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2021год\Замер сопротивления 2021\"/>
    </mc:Choice>
  </mc:AlternateContent>
  <bookViews>
    <workbookView xWindow="0" yWindow="0" windowWidth="2370" windowHeight="0"/>
  </bookViews>
  <sheets>
    <sheet name="Смета 12 гр. ТЕР МО" sheetId="5" r:id="rId1"/>
    <sheet name="Source" sheetId="1" r:id="rId2"/>
    <sheet name="SourceObSm" sheetId="2" r:id="rId3"/>
    <sheet name="SmtRes" sheetId="3" r:id="rId4"/>
    <sheet name="EtalonRes" sheetId="4" r:id="rId5"/>
  </sheets>
  <definedNames>
    <definedName name="_xlnm.Print_Titles" localSheetId="0">'Смета 12 гр. ТЕР МО'!$24:$24</definedName>
    <definedName name="_xlnm.Print_Area" localSheetId="0">'Смета 12 гр. ТЕР МО'!$A$1:$L$68</definedName>
  </definedNames>
  <calcPr calcId="162913"/>
</workbook>
</file>

<file path=xl/calcChain.xml><?xml version="1.0" encoding="utf-8"?>
<calcChain xmlns="http://schemas.openxmlformats.org/spreadsheetml/2006/main">
  <c r="I66" i="5" l="1"/>
  <c r="I63" i="5"/>
  <c r="I60" i="5"/>
  <c r="D66" i="5"/>
  <c r="D63" i="5"/>
  <c r="D60" i="5"/>
  <c r="J57" i="5"/>
  <c r="C57" i="5"/>
  <c r="J56" i="5"/>
  <c r="C56" i="5"/>
  <c r="J55" i="5"/>
  <c r="C55" i="5"/>
  <c r="I16" i="5"/>
  <c r="I15" i="5"/>
  <c r="I14" i="5"/>
  <c r="A53" i="5"/>
  <c r="Q51" i="5"/>
  <c r="L51" i="5"/>
  <c r="Y51" i="5"/>
  <c r="X51" i="5"/>
  <c r="W51" i="5"/>
  <c r="L50" i="5"/>
  <c r="G50" i="5"/>
  <c r="E50" i="5"/>
  <c r="J49" i="5"/>
  <c r="E49" i="5"/>
  <c r="J48" i="5"/>
  <c r="E48" i="5"/>
  <c r="K47" i="5"/>
  <c r="J47" i="5"/>
  <c r="H47" i="5"/>
  <c r="G47" i="5"/>
  <c r="F47" i="5"/>
  <c r="V46" i="5"/>
  <c r="K49" i="5" s="1"/>
  <c r="T46" i="5"/>
  <c r="K48" i="5" s="1"/>
  <c r="U46" i="5"/>
  <c r="H49" i="5" s="1"/>
  <c r="S46" i="5"/>
  <c r="H48" i="5" s="1"/>
  <c r="F46" i="5"/>
  <c r="E46" i="5"/>
  <c r="D46" i="5"/>
  <c r="I46" i="5"/>
  <c r="C46" i="5"/>
  <c r="B46" i="5"/>
  <c r="A46" i="5"/>
  <c r="L45" i="5"/>
  <c r="Q45" i="5" s="1"/>
  <c r="Y45" i="5"/>
  <c r="X45" i="5"/>
  <c r="W45" i="5"/>
  <c r="L44" i="5"/>
  <c r="G44" i="5"/>
  <c r="E44" i="5"/>
  <c r="J43" i="5"/>
  <c r="E43" i="5"/>
  <c r="J42" i="5"/>
  <c r="E42" i="5"/>
  <c r="K41" i="5"/>
  <c r="J41" i="5"/>
  <c r="H41" i="5"/>
  <c r="R41" i="5" s="1"/>
  <c r="G41" i="5"/>
  <c r="F41" i="5"/>
  <c r="V40" i="5"/>
  <c r="K43" i="5" s="1"/>
  <c r="T40" i="5"/>
  <c r="K42" i="5" s="1"/>
  <c r="U40" i="5"/>
  <c r="H43" i="5" s="1"/>
  <c r="S40" i="5"/>
  <c r="H42" i="5" s="1"/>
  <c r="F40" i="5"/>
  <c r="E40" i="5"/>
  <c r="D40" i="5"/>
  <c r="I40" i="5"/>
  <c r="C40" i="5"/>
  <c r="B40" i="5"/>
  <c r="A40" i="5"/>
  <c r="L39" i="5"/>
  <c r="Q39" i="5" s="1"/>
  <c r="Y39" i="5"/>
  <c r="X39" i="5"/>
  <c r="W39" i="5"/>
  <c r="L38" i="5"/>
  <c r="G38" i="5"/>
  <c r="E38" i="5"/>
  <c r="J37" i="5"/>
  <c r="E37" i="5"/>
  <c r="J36" i="5"/>
  <c r="E36" i="5"/>
  <c r="K35" i="5"/>
  <c r="J35" i="5"/>
  <c r="H35" i="5"/>
  <c r="G35" i="5"/>
  <c r="F35" i="5"/>
  <c r="V34" i="5"/>
  <c r="K37" i="5" s="1"/>
  <c r="T34" i="5"/>
  <c r="K36" i="5" s="1"/>
  <c r="U34" i="5"/>
  <c r="H37" i="5" s="1"/>
  <c r="S34" i="5"/>
  <c r="H36" i="5" s="1"/>
  <c r="G39" i="5" s="1"/>
  <c r="O39" i="5" s="1"/>
  <c r="F34" i="5"/>
  <c r="E34" i="5"/>
  <c r="D34" i="5"/>
  <c r="I34" i="5"/>
  <c r="C34" i="5"/>
  <c r="B34" i="5"/>
  <c r="A34" i="5"/>
  <c r="L33" i="5"/>
  <c r="Q33" i="5" s="1"/>
  <c r="Y33" i="5"/>
  <c r="X33" i="5"/>
  <c r="W33" i="5"/>
  <c r="L32" i="5"/>
  <c r="G32" i="5"/>
  <c r="E32" i="5"/>
  <c r="J31" i="5"/>
  <c r="E31" i="5"/>
  <c r="J30" i="5"/>
  <c r="E30" i="5"/>
  <c r="K29" i="5"/>
  <c r="J29" i="5"/>
  <c r="H29" i="5"/>
  <c r="R29" i="5" s="1"/>
  <c r="G29" i="5"/>
  <c r="F29" i="5"/>
  <c r="C28" i="5"/>
  <c r="V27" i="5"/>
  <c r="K31" i="5" s="1"/>
  <c r="T27" i="5"/>
  <c r="K30" i="5" s="1"/>
  <c r="U27" i="5"/>
  <c r="H31" i="5" s="1"/>
  <c r="S27" i="5"/>
  <c r="H30" i="5" s="1"/>
  <c r="F27" i="5"/>
  <c r="E27" i="5"/>
  <c r="D27" i="5"/>
  <c r="I27" i="5"/>
  <c r="C27" i="5"/>
  <c r="B27" i="5"/>
  <c r="A27" i="5"/>
  <c r="A26" i="5"/>
  <c r="A10" i="5"/>
  <c r="B3" i="5"/>
  <c r="A1" i="5"/>
  <c r="J39" i="5" l="1"/>
  <c r="P39" i="5" s="1"/>
  <c r="J51" i="5"/>
  <c r="P51" i="5" s="1"/>
  <c r="G51" i="5"/>
  <c r="O51" i="5" s="1"/>
  <c r="Z45" i="5"/>
  <c r="L53" i="5"/>
  <c r="G33" i="5"/>
  <c r="O33" i="5" s="1"/>
  <c r="Z33" i="5"/>
  <c r="Z39" i="5"/>
  <c r="J45" i="5"/>
  <c r="P45" i="5" s="1"/>
  <c r="J33" i="5"/>
  <c r="P33" i="5" s="1"/>
  <c r="G45" i="5"/>
  <c r="O45" i="5" s="1"/>
  <c r="R35" i="5"/>
  <c r="R47" i="5"/>
  <c r="Z51" i="5"/>
  <c r="A1" i="4"/>
  <c r="A2" i="4"/>
  <c r="A3" i="4"/>
  <c r="A4" i="4"/>
  <c r="A5" i="4"/>
  <c r="A6" i="4"/>
  <c r="A7" i="4"/>
  <c r="A8" i="4"/>
  <c r="A1" i="3"/>
  <c r="CY1" i="3"/>
  <c r="CZ1" i="3"/>
  <c r="DA1" i="3"/>
  <c r="DB1" i="3"/>
  <c r="DC1" i="3"/>
  <c r="A2" i="3"/>
  <c r="CY2" i="3"/>
  <c r="CZ2" i="3"/>
  <c r="DB2" i="3" s="1"/>
  <c r="DA2" i="3"/>
  <c r="DC2" i="3"/>
  <c r="A3" i="3"/>
  <c r="CX3" i="3"/>
  <c r="CY3" i="3"/>
  <c r="CZ3" i="3"/>
  <c r="DB3" i="3" s="1"/>
  <c r="DA3" i="3"/>
  <c r="DC3" i="3"/>
  <c r="A4" i="3"/>
  <c r="CX4" i="3"/>
  <c r="CY4" i="3"/>
  <c r="CZ4" i="3"/>
  <c r="DA4" i="3"/>
  <c r="DB4" i="3"/>
  <c r="DC4" i="3"/>
  <c r="A5" i="3"/>
  <c r="CX5" i="3"/>
  <c r="CY5" i="3"/>
  <c r="CZ5" i="3"/>
  <c r="DA5" i="3"/>
  <c r="DB5" i="3"/>
  <c r="DC5" i="3"/>
  <c r="A6" i="3"/>
  <c r="CX6" i="3"/>
  <c r="CY6" i="3"/>
  <c r="CZ6" i="3"/>
  <c r="DB6" i="3" s="1"/>
  <c r="DA6" i="3"/>
  <c r="DC6" i="3"/>
  <c r="A7" i="3"/>
  <c r="CX7" i="3"/>
  <c r="CY7" i="3"/>
  <c r="CZ7" i="3"/>
  <c r="DB7" i="3" s="1"/>
  <c r="DA7" i="3"/>
  <c r="DC7" i="3"/>
  <c r="A8" i="3"/>
  <c r="CX8" i="3"/>
  <c r="CY8" i="3"/>
  <c r="CZ8" i="3"/>
  <c r="DA8" i="3"/>
  <c r="DB8" i="3"/>
  <c r="DC8" i="3"/>
  <c r="D12" i="1"/>
  <c r="E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BE18" i="1"/>
  <c r="BF18" i="1"/>
  <c r="BG18" i="1"/>
  <c r="BH18" i="1"/>
  <c r="BI18" i="1"/>
  <c r="BJ18" i="1"/>
  <c r="BK18" i="1"/>
  <c r="BL18" i="1"/>
  <c r="BM18" i="1"/>
  <c r="BN18" i="1"/>
  <c r="BO18" i="1"/>
  <c r="BP18" i="1"/>
  <c r="BQ18" i="1"/>
  <c r="BR18" i="1"/>
  <c r="BS18" i="1"/>
  <c r="BT18" i="1"/>
  <c r="BU18" i="1"/>
  <c r="BV18" i="1"/>
  <c r="BW18" i="1"/>
  <c r="BX18" i="1"/>
  <c r="BY18" i="1"/>
  <c r="BZ18" i="1"/>
  <c r="CA18" i="1"/>
  <c r="CB18" i="1"/>
  <c r="CC18" i="1"/>
  <c r="CD18" i="1"/>
  <c r="CE18" i="1"/>
  <c r="CF18" i="1"/>
  <c r="CG18" i="1"/>
  <c r="CH18" i="1"/>
  <c r="CI18" i="1"/>
  <c r="CJ18" i="1"/>
  <c r="CK18" i="1"/>
  <c r="CL18" i="1"/>
  <c r="CM18" i="1"/>
  <c r="CN18" i="1"/>
  <c r="CO18" i="1"/>
  <c r="CP18" i="1"/>
  <c r="CQ18" i="1"/>
  <c r="CR18" i="1"/>
  <c r="CS18" i="1"/>
  <c r="CT18" i="1"/>
  <c r="CU18" i="1"/>
  <c r="CV18" i="1"/>
  <c r="CW18" i="1"/>
  <c r="CX18" i="1"/>
  <c r="CY18" i="1"/>
  <c r="CZ18" i="1"/>
  <c r="DA18" i="1"/>
  <c r="DB18" i="1"/>
  <c r="DC18" i="1"/>
  <c r="DD18" i="1"/>
  <c r="DE18" i="1"/>
  <c r="DF18" i="1"/>
  <c r="DG18" i="1"/>
  <c r="DH18" i="1"/>
  <c r="DI18" i="1"/>
  <c r="DJ18" i="1"/>
  <c r="DK18" i="1"/>
  <c r="DL18" i="1"/>
  <c r="DM18" i="1"/>
  <c r="DN18" i="1"/>
  <c r="DO18" i="1"/>
  <c r="DP18" i="1"/>
  <c r="DQ18" i="1"/>
  <c r="DR18" i="1"/>
  <c r="DS18" i="1"/>
  <c r="DT18" i="1"/>
  <c r="DU18" i="1"/>
  <c r="DV18" i="1"/>
  <c r="DW18" i="1"/>
  <c r="DX18" i="1"/>
  <c r="DY18" i="1"/>
  <c r="DZ18" i="1"/>
  <c r="EA18" i="1"/>
  <c r="EB18" i="1"/>
  <c r="EC18" i="1"/>
  <c r="ED18" i="1"/>
  <c r="EE18" i="1"/>
  <c r="EF18" i="1"/>
  <c r="EG18" i="1"/>
  <c r="EH18" i="1"/>
  <c r="EI18" i="1"/>
  <c r="EJ18" i="1"/>
  <c r="EK18" i="1"/>
  <c r="EL18" i="1"/>
  <c r="EM18" i="1"/>
  <c r="EN18" i="1"/>
  <c r="EO18" i="1"/>
  <c r="EP18" i="1"/>
  <c r="EQ18" i="1"/>
  <c r="ER18" i="1"/>
  <c r="ES18" i="1"/>
  <c r="ET18" i="1"/>
  <c r="EU18" i="1"/>
  <c r="EV18" i="1"/>
  <c r="EW18" i="1"/>
  <c r="EX18" i="1"/>
  <c r="EY18" i="1"/>
  <c r="EZ18" i="1"/>
  <c r="FA18" i="1"/>
  <c r="FB18" i="1"/>
  <c r="FC18" i="1"/>
  <c r="FD18" i="1"/>
  <c r="FE18" i="1"/>
  <c r="FF18" i="1"/>
  <c r="FG18" i="1"/>
  <c r="FH18" i="1"/>
  <c r="FI18" i="1"/>
  <c r="FJ18" i="1"/>
  <c r="FK18" i="1"/>
  <c r="FL18" i="1"/>
  <c r="FM18" i="1"/>
  <c r="FN18" i="1"/>
  <c r="FO18" i="1"/>
  <c r="FP18" i="1"/>
  <c r="FQ18" i="1"/>
  <c r="FR18" i="1"/>
  <c r="FS18" i="1"/>
  <c r="FT18" i="1"/>
  <c r="FU18" i="1"/>
  <c r="FV18" i="1"/>
  <c r="FW18" i="1"/>
  <c r="FX18" i="1"/>
  <c r="FY18" i="1"/>
  <c r="FZ18" i="1"/>
  <c r="GA18" i="1"/>
  <c r="GB18" i="1"/>
  <c r="GC18" i="1"/>
  <c r="GD18" i="1"/>
  <c r="GE18" i="1"/>
  <c r="GF18" i="1"/>
  <c r="GG18" i="1"/>
  <c r="GH18" i="1"/>
  <c r="GI18" i="1"/>
  <c r="GJ18" i="1"/>
  <c r="GK18" i="1"/>
  <c r="GL18" i="1"/>
  <c r="GM18" i="1"/>
  <c r="GN18" i="1"/>
  <c r="GO18" i="1"/>
  <c r="GP18" i="1"/>
  <c r="GQ18" i="1"/>
  <c r="GR18" i="1"/>
  <c r="GS18" i="1"/>
  <c r="GT18" i="1"/>
  <c r="GU18" i="1"/>
  <c r="GV18" i="1"/>
  <c r="GW18" i="1"/>
  <c r="GX18" i="1"/>
  <c r="D20" i="1"/>
  <c r="E22" i="1"/>
  <c r="Z22" i="1"/>
  <c r="AA22" i="1"/>
  <c r="AM22" i="1"/>
  <c r="AN22" i="1"/>
  <c r="BE22" i="1"/>
  <c r="BF22" i="1"/>
  <c r="BG22" i="1"/>
  <c r="BH22" i="1"/>
  <c r="BI22" i="1"/>
  <c r="BJ22" i="1"/>
  <c r="BK22" i="1"/>
  <c r="BL22" i="1"/>
  <c r="BM22" i="1"/>
  <c r="BN22" i="1"/>
  <c r="BO22" i="1"/>
  <c r="BP22" i="1"/>
  <c r="BQ22" i="1"/>
  <c r="BR22" i="1"/>
  <c r="BS22" i="1"/>
  <c r="BT22" i="1"/>
  <c r="BU22" i="1"/>
  <c r="BV22" i="1"/>
  <c r="BW22" i="1"/>
  <c r="CN22" i="1"/>
  <c r="CO22" i="1"/>
  <c r="CP22" i="1"/>
  <c r="CQ22" i="1"/>
  <c r="CR22" i="1"/>
  <c r="CS22" i="1"/>
  <c r="CT22" i="1"/>
  <c r="CU22" i="1"/>
  <c r="CV22" i="1"/>
  <c r="CW22" i="1"/>
  <c r="CX22" i="1"/>
  <c r="CY22" i="1"/>
  <c r="CZ22" i="1"/>
  <c r="DA22" i="1"/>
  <c r="DB22" i="1"/>
  <c r="DC22" i="1"/>
  <c r="DD22" i="1"/>
  <c r="DE22" i="1"/>
  <c r="DF22" i="1"/>
  <c r="DG22" i="1"/>
  <c r="DH22" i="1"/>
  <c r="DI22" i="1"/>
  <c r="DJ22" i="1"/>
  <c r="DK22" i="1"/>
  <c r="DL22" i="1"/>
  <c r="DM22" i="1"/>
  <c r="DN22" i="1"/>
  <c r="DO22" i="1"/>
  <c r="DP22" i="1"/>
  <c r="DQ22" i="1"/>
  <c r="DR22" i="1"/>
  <c r="DS22" i="1"/>
  <c r="DT22" i="1"/>
  <c r="DU22" i="1"/>
  <c r="DV22" i="1"/>
  <c r="DW22" i="1"/>
  <c r="DX22" i="1"/>
  <c r="DY22" i="1"/>
  <c r="DZ22" i="1"/>
  <c r="EA22" i="1"/>
  <c r="EB22" i="1"/>
  <c r="EC22" i="1"/>
  <c r="ED22" i="1"/>
  <c r="EE22" i="1"/>
  <c r="EF22" i="1"/>
  <c r="EG22" i="1"/>
  <c r="EH22" i="1"/>
  <c r="EI22" i="1"/>
  <c r="EJ22" i="1"/>
  <c r="EK22" i="1"/>
  <c r="EL22" i="1"/>
  <c r="EM22" i="1"/>
  <c r="EN22" i="1"/>
  <c r="EO22" i="1"/>
  <c r="EP22" i="1"/>
  <c r="EQ22" i="1"/>
  <c r="ER22" i="1"/>
  <c r="ES22" i="1"/>
  <c r="ET22" i="1"/>
  <c r="EU22" i="1"/>
  <c r="EV22" i="1"/>
  <c r="EW22" i="1"/>
  <c r="EX22" i="1"/>
  <c r="EY22" i="1"/>
  <c r="EZ22" i="1"/>
  <c r="FA22" i="1"/>
  <c r="FB22" i="1"/>
  <c r="FC22" i="1"/>
  <c r="FD22" i="1"/>
  <c r="FE22" i="1"/>
  <c r="FF22" i="1"/>
  <c r="FG22" i="1"/>
  <c r="FH22" i="1"/>
  <c r="FI22" i="1"/>
  <c r="FJ22" i="1"/>
  <c r="FK22" i="1"/>
  <c r="FL22" i="1"/>
  <c r="FM22" i="1"/>
  <c r="FN22" i="1"/>
  <c r="FO22" i="1"/>
  <c r="FP22" i="1"/>
  <c r="FQ22" i="1"/>
  <c r="FR22" i="1"/>
  <c r="FS22" i="1"/>
  <c r="FT22" i="1"/>
  <c r="FU22" i="1"/>
  <c r="FV22" i="1"/>
  <c r="FW22" i="1"/>
  <c r="FX22" i="1"/>
  <c r="FY22" i="1"/>
  <c r="FZ22" i="1"/>
  <c r="GA22" i="1"/>
  <c r="GB22" i="1"/>
  <c r="GC22" i="1"/>
  <c r="GD22" i="1"/>
  <c r="GE22" i="1"/>
  <c r="GF22" i="1"/>
  <c r="GG22" i="1"/>
  <c r="GH22" i="1"/>
  <c r="GI22" i="1"/>
  <c r="GJ22" i="1"/>
  <c r="GK22" i="1"/>
  <c r="GL22" i="1"/>
  <c r="GM22" i="1"/>
  <c r="GN22" i="1"/>
  <c r="GO22" i="1"/>
  <c r="GP22" i="1"/>
  <c r="GQ22" i="1"/>
  <c r="GR22" i="1"/>
  <c r="GS22" i="1"/>
  <c r="GT22" i="1"/>
  <c r="GU22" i="1"/>
  <c r="GV22" i="1"/>
  <c r="GW22" i="1"/>
  <c r="GX22" i="1"/>
  <c r="C24" i="1"/>
  <c r="D24" i="1"/>
  <c r="I24" i="1"/>
  <c r="CX2" i="3" s="1"/>
  <c r="AC24" i="1"/>
  <c r="AB24" i="1" s="1"/>
  <c r="AE24" i="1"/>
  <c r="AD24" i="1" s="1"/>
  <c r="CR24" i="1" s="1"/>
  <c r="Q24" i="1" s="1"/>
  <c r="AF24" i="1"/>
  <c r="AG24" i="1"/>
  <c r="CU24" i="1" s="1"/>
  <c r="T24" i="1" s="1"/>
  <c r="AH24" i="1"/>
  <c r="AI24" i="1"/>
  <c r="AJ24" i="1"/>
  <c r="CS24" i="1"/>
  <c r="R24" i="1" s="1"/>
  <c r="CT24" i="1"/>
  <c r="S24" i="1" s="1"/>
  <c r="CV24" i="1"/>
  <c r="U24" i="1" s="1"/>
  <c r="CW24" i="1"/>
  <c r="V24" i="1" s="1"/>
  <c r="CX24" i="1"/>
  <c r="W24" i="1" s="1"/>
  <c r="FR24" i="1"/>
  <c r="GL24" i="1"/>
  <c r="GN24" i="1"/>
  <c r="GO24" i="1"/>
  <c r="GV24" i="1"/>
  <c r="HC24" i="1"/>
  <c r="GX24" i="1" s="1"/>
  <c r="C25" i="1"/>
  <c r="D25" i="1"/>
  <c r="AC25" i="1"/>
  <c r="AB25" i="1" s="1"/>
  <c r="AD25" i="1"/>
  <c r="CR25" i="1" s="1"/>
  <c r="Q25" i="1" s="1"/>
  <c r="AE25" i="1"/>
  <c r="CS25" i="1" s="1"/>
  <c r="R25" i="1" s="1"/>
  <c r="AF25" i="1"/>
  <c r="AG25" i="1"/>
  <c r="AH25" i="1"/>
  <c r="CV25" i="1" s="1"/>
  <c r="U25" i="1" s="1"/>
  <c r="AI25" i="1"/>
  <c r="CW25" i="1" s="1"/>
  <c r="V25" i="1" s="1"/>
  <c r="AJ25" i="1"/>
  <c r="CQ25" i="1"/>
  <c r="P25" i="1" s="1"/>
  <c r="CP25" i="1" s="1"/>
  <c r="O25" i="1" s="1"/>
  <c r="CT25" i="1"/>
  <c r="S25" i="1" s="1"/>
  <c r="CU25" i="1"/>
  <c r="T25" i="1" s="1"/>
  <c r="CX25" i="1"/>
  <c r="W25" i="1" s="1"/>
  <c r="FR25" i="1"/>
  <c r="GL25" i="1"/>
  <c r="GN25" i="1"/>
  <c r="GO25" i="1"/>
  <c r="GV25" i="1"/>
  <c r="HC25" i="1" s="1"/>
  <c r="GX25" i="1" s="1"/>
  <c r="CJ29" i="1" s="1"/>
  <c r="C26" i="1"/>
  <c r="D26" i="1"/>
  <c r="AC26" i="1"/>
  <c r="AD26" i="1"/>
  <c r="CR26" i="1" s="1"/>
  <c r="Q26" i="1" s="1"/>
  <c r="AE26" i="1"/>
  <c r="AF26" i="1"/>
  <c r="AB26" i="1" s="1"/>
  <c r="AG26" i="1"/>
  <c r="AH26" i="1"/>
  <c r="CV26" i="1" s="1"/>
  <c r="U26" i="1" s="1"/>
  <c r="AI26" i="1"/>
  <c r="AJ26" i="1"/>
  <c r="CX26" i="1" s="1"/>
  <c r="W26" i="1" s="1"/>
  <c r="CQ26" i="1"/>
  <c r="P26" i="1" s="1"/>
  <c r="CS26" i="1"/>
  <c r="R26" i="1" s="1"/>
  <c r="CU26" i="1"/>
  <c r="T26" i="1" s="1"/>
  <c r="CW26" i="1"/>
  <c r="V26" i="1" s="1"/>
  <c r="FR26" i="1"/>
  <c r="GL26" i="1"/>
  <c r="GN26" i="1"/>
  <c r="GO26" i="1"/>
  <c r="GV26" i="1"/>
  <c r="HC26" i="1"/>
  <c r="GX26" i="1" s="1"/>
  <c r="C27" i="1"/>
  <c r="D27" i="1"/>
  <c r="AC27" i="1"/>
  <c r="AD27" i="1"/>
  <c r="CR27" i="1" s="1"/>
  <c r="Q27" i="1" s="1"/>
  <c r="AE27" i="1"/>
  <c r="AF27" i="1"/>
  <c r="CT27" i="1" s="1"/>
  <c r="S27" i="1" s="1"/>
  <c r="AG27" i="1"/>
  <c r="AH27" i="1"/>
  <c r="CV27" i="1" s="1"/>
  <c r="U27" i="1" s="1"/>
  <c r="AI27" i="1"/>
  <c r="AJ27" i="1"/>
  <c r="CX27" i="1" s="1"/>
  <c r="W27" i="1" s="1"/>
  <c r="CQ27" i="1"/>
  <c r="P27" i="1" s="1"/>
  <c r="CS27" i="1"/>
  <c r="R27" i="1" s="1"/>
  <c r="CU27" i="1"/>
  <c r="T27" i="1" s="1"/>
  <c r="CW27" i="1"/>
  <c r="V27" i="1" s="1"/>
  <c r="FR27" i="1"/>
  <c r="GL27" i="1"/>
  <c r="GN27" i="1"/>
  <c r="GO27" i="1"/>
  <c r="GV27" i="1"/>
  <c r="HC27" i="1" s="1"/>
  <c r="GX27" i="1" s="1"/>
  <c r="B29" i="1"/>
  <c r="B22" i="1" s="1"/>
  <c r="C29" i="1"/>
  <c r="C22" i="1" s="1"/>
  <c r="D29" i="1"/>
  <c r="D22" i="1" s="1"/>
  <c r="F29" i="1"/>
  <c r="F22" i="1" s="1"/>
  <c r="G29" i="1"/>
  <c r="G22" i="1" s="1"/>
  <c r="BX29" i="1"/>
  <c r="AO29" i="1" s="1"/>
  <c r="AO22" i="1" s="1"/>
  <c r="BY29" i="1"/>
  <c r="BY22" i="1" s="1"/>
  <c r="BZ29" i="1"/>
  <c r="AQ29" i="1" s="1"/>
  <c r="AQ22" i="1" s="1"/>
  <c r="CB29" i="1"/>
  <c r="CC29" i="1"/>
  <c r="CC22" i="1" s="1"/>
  <c r="CK29" i="1"/>
  <c r="CK22" i="1" s="1"/>
  <c r="CL29" i="1"/>
  <c r="CM29" i="1"/>
  <c r="BD29" i="1" s="1"/>
  <c r="BD62" i="1" s="1"/>
  <c r="F33" i="1"/>
  <c r="F39" i="1"/>
  <c r="B62" i="1"/>
  <c r="B18" i="1" s="1"/>
  <c r="C62" i="1"/>
  <c r="C18" i="1" s="1"/>
  <c r="D62" i="1"/>
  <c r="D18" i="1" s="1"/>
  <c r="F62" i="1"/>
  <c r="F18" i="1" s="1"/>
  <c r="G62" i="1"/>
  <c r="G18" i="1" s="1"/>
  <c r="AO62" i="1"/>
  <c r="AO18" i="1" s="1"/>
  <c r="AQ62" i="1"/>
  <c r="AQ18" i="1" s="1"/>
  <c r="F72" i="1"/>
  <c r="J53" i="5" l="1"/>
  <c r="G53" i="5"/>
  <c r="BA29" i="1"/>
  <c r="CJ22" i="1"/>
  <c r="BD18" i="1"/>
  <c r="F87" i="1"/>
  <c r="AS29" i="1"/>
  <c r="CB22" i="1"/>
  <c r="F66" i="1"/>
  <c r="BC29" i="1"/>
  <c r="CL22" i="1"/>
  <c r="CP27" i="1"/>
  <c r="O27" i="1" s="1"/>
  <c r="AJ29" i="1"/>
  <c r="AE29" i="1"/>
  <c r="AG29" i="1"/>
  <c r="CY27" i="1"/>
  <c r="X27" i="1" s="1"/>
  <c r="CZ27" i="1"/>
  <c r="Y27" i="1" s="1"/>
  <c r="AI29" i="1"/>
  <c r="CY25" i="1"/>
  <c r="X25" i="1" s="1"/>
  <c r="GP25" i="1" s="1"/>
  <c r="CZ25" i="1"/>
  <c r="Y25" i="1" s="1"/>
  <c r="AH29" i="1"/>
  <c r="AD29" i="1"/>
  <c r="F54" i="1"/>
  <c r="BD22" i="1"/>
  <c r="CY24" i="1"/>
  <c r="X24" i="1" s="1"/>
  <c r="CZ24" i="1"/>
  <c r="Y24" i="1" s="1"/>
  <c r="CG29" i="1"/>
  <c r="BB29" i="1"/>
  <c r="AT29" i="1"/>
  <c r="AP29" i="1"/>
  <c r="BX22" i="1"/>
  <c r="AB27" i="1"/>
  <c r="CQ24" i="1"/>
  <c r="P24" i="1" s="1"/>
  <c r="CM22" i="1"/>
  <c r="CI29" i="1"/>
  <c r="CT26" i="1"/>
  <c r="S26" i="1" s="1"/>
  <c r="CP26" i="1" s="1"/>
  <c r="O26" i="1" s="1"/>
  <c r="BZ22" i="1"/>
  <c r="CX1" i="3"/>
  <c r="AK29" i="1" l="1"/>
  <c r="AD22" i="1"/>
  <c r="Q29" i="1"/>
  <c r="AI22" i="1"/>
  <c r="V29" i="1"/>
  <c r="AP22" i="1"/>
  <c r="F38" i="1"/>
  <c r="G16" i="2" s="1"/>
  <c r="G18" i="2" s="1"/>
  <c r="AP62" i="1"/>
  <c r="AF29" i="1"/>
  <c r="GM25" i="1"/>
  <c r="AH22" i="1"/>
  <c r="U29" i="1"/>
  <c r="W29" i="1"/>
  <c r="AJ22" i="1"/>
  <c r="BC22" i="1"/>
  <c r="F45" i="1"/>
  <c r="BC62" i="1"/>
  <c r="AC29" i="1"/>
  <c r="CP24" i="1"/>
  <c r="O24" i="1" s="1"/>
  <c r="AT22" i="1"/>
  <c r="AT62" i="1"/>
  <c r="F47" i="1"/>
  <c r="F16" i="2" s="1"/>
  <c r="F18" i="2" s="1"/>
  <c r="AL29" i="1"/>
  <c r="AG22" i="1"/>
  <c r="T29" i="1"/>
  <c r="GM27" i="1"/>
  <c r="GP27" i="1"/>
  <c r="CY26" i="1"/>
  <c r="X26" i="1" s="1"/>
  <c r="GP26" i="1" s="1"/>
  <c r="CZ26" i="1"/>
  <c r="Y26" i="1" s="1"/>
  <c r="BB22" i="1"/>
  <c r="F42" i="1"/>
  <c r="BB62" i="1"/>
  <c r="AZ29" i="1"/>
  <c r="CI22" i="1"/>
  <c r="CG22" i="1"/>
  <c r="AX29" i="1"/>
  <c r="AE22" i="1"/>
  <c r="R29" i="1"/>
  <c r="AS22" i="1"/>
  <c r="F46" i="1"/>
  <c r="E16" i="2" s="1"/>
  <c r="AS62" i="1"/>
  <c r="BA22" i="1"/>
  <c r="F49" i="1"/>
  <c r="BA62" i="1"/>
  <c r="AL22" i="1" l="1"/>
  <c r="Y29" i="1"/>
  <c r="R22" i="1"/>
  <c r="F43" i="1"/>
  <c r="R62" i="1"/>
  <c r="AC22" i="1"/>
  <c r="P29" i="1"/>
  <c r="CE29" i="1"/>
  <c r="CH29" i="1"/>
  <c r="CF29" i="1"/>
  <c r="AS18" i="1"/>
  <c r="F79" i="1"/>
  <c r="AZ22" i="1"/>
  <c r="F40" i="1"/>
  <c r="AZ62" i="1"/>
  <c r="F50" i="1"/>
  <c r="T22" i="1"/>
  <c r="T62" i="1"/>
  <c r="AT18" i="1"/>
  <c r="F80" i="1"/>
  <c r="BC18" i="1"/>
  <c r="F78" i="1"/>
  <c r="W62" i="1"/>
  <c r="W22" i="1"/>
  <c r="F53" i="1"/>
  <c r="AK22" i="1"/>
  <c r="X29" i="1"/>
  <c r="S29" i="1"/>
  <c r="AF22" i="1"/>
  <c r="V22" i="1"/>
  <c r="F52" i="1"/>
  <c r="V62" i="1"/>
  <c r="BA18" i="1"/>
  <c r="F82" i="1"/>
  <c r="E18" i="2"/>
  <c r="AX22" i="1"/>
  <c r="AX62" i="1"/>
  <c r="F36" i="1"/>
  <c r="BB18" i="1"/>
  <c r="F75" i="1"/>
  <c r="U22" i="1"/>
  <c r="F51" i="1"/>
  <c r="U62" i="1"/>
  <c r="AP18" i="1"/>
  <c r="F71" i="1"/>
  <c r="GM26" i="1"/>
  <c r="GP24" i="1"/>
  <c r="CD29" i="1" s="1"/>
  <c r="GM24" i="1"/>
  <c r="CA29" i="1" s="1"/>
  <c r="AB29" i="1"/>
  <c r="Q22" i="1"/>
  <c r="F41" i="1"/>
  <c r="Q62" i="1"/>
  <c r="AU29" i="1" l="1"/>
  <c r="CD22" i="1"/>
  <c r="U18" i="1"/>
  <c r="F84" i="1"/>
  <c r="F85" i="1"/>
  <c r="V18" i="1"/>
  <c r="S62" i="1"/>
  <c r="S22" i="1"/>
  <c r="F44" i="1"/>
  <c r="J16" i="2" s="1"/>
  <c r="J18" i="2" s="1"/>
  <c r="AV29" i="1"/>
  <c r="CE22" i="1"/>
  <c r="X22" i="1"/>
  <c r="F55" i="1"/>
  <c r="X62" i="1"/>
  <c r="W18" i="1"/>
  <c r="F86" i="1"/>
  <c r="AZ18" i="1"/>
  <c r="F73" i="1"/>
  <c r="P22" i="1"/>
  <c r="F32" i="1"/>
  <c r="P62" i="1"/>
  <c r="Q18" i="1"/>
  <c r="F74" i="1"/>
  <c r="O29" i="1"/>
  <c r="AB22" i="1"/>
  <c r="F69" i="1"/>
  <c r="AX18" i="1"/>
  <c r="T18" i="1"/>
  <c r="F83" i="1"/>
  <c r="AW29" i="1"/>
  <c r="CF22" i="1"/>
  <c r="Y22" i="1"/>
  <c r="F56" i="1"/>
  <c r="Y62" i="1"/>
  <c r="AR29" i="1"/>
  <c r="CA22" i="1"/>
  <c r="AY29" i="1"/>
  <c r="CH22" i="1"/>
  <c r="R18" i="1"/>
  <c r="F76" i="1"/>
  <c r="AU22" i="1" l="1"/>
  <c r="AU62" i="1"/>
  <c r="F48" i="1"/>
  <c r="H16" i="2" s="1"/>
  <c r="O62" i="1"/>
  <c r="O22" i="1"/>
  <c r="F31" i="1"/>
  <c r="AY22" i="1"/>
  <c r="AY62" i="1"/>
  <c r="F37" i="1"/>
  <c r="P18" i="1"/>
  <c r="F65" i="1"/>
  <c r="AR22" i="1"/>
  <c r="F57" i="1"/>
  <c r="F58" i="1" s="1"/>
  <c r="AR62" i="1"/>
  <c r="F77" i="1"/>
  <c r="S18" i="1"/>
  <c r="Y18" i="1"/>
  <c r="F89" i="1"/>
  <c r="AW22" i="1"/>
  <c r="F35" i="1"/>
  <c r="AW62" i="1"/>
  <c r="X18" i="1"/>
  <c r="F88" i="1"/>
  <c r="F34" i="1"/>
  <c r="AV22" i="1"/>
  <c r="AV62" i="1"/>
  <c r="F59" i="1" l="1"/>
  <c r="F60" i="1" s="1"/>
  <c r="AY18" i="1"/>
  <c r="F70" i="1"/>
  <c r="O18" i="1"/>
  <c r="F64" i="1"/>
  <c r="H18" i="2"/>
  <c r="I16" i="2"/>
  <c r="I18" i="2" s="1"/>
  <c r="AV18" i="1"/>
  <c r="F67" i="1"/>
  <c r="AR18" i="1"/>
  <c r="F90" i="1"/>
  <c r="F91" i="1" s="1"/>
  <c r="F81" i="1"/>
  <c r="AU18" i="1"/>
  <c r="AW18" i="1"/>
  <c r="F68" i="1"/>
  <c r="F92" i="1" l="1"/>
  <c r="F93" i="1" s="1"/>
</calcChain>
</file>

<file path=xl/sharedStrings.xml><?xml version="1.0" encoding="utf-8"?>
<sst xmlns="http://schemas.openxmlformats.org/spreadsheetml/2006/main" count="857" uniqueCount="199">
  <si>
    <t>Smeta.RU Flash  (495) 974-1589</t>
  </si>
  <si>
    <t>_PS_</t>
  </si>
  <si>
    <t>Smeta.RU Flash</t>
  </si>
  <si>
    <t/>
  </si>
  <si>
    <t>1</t>
  </si>
  <si>
    <t>Замеры сопротивления</t>
  </si>
  <si>
    <t>дефектная ведомость</t>
  </si>
  <si>
    <t>Сметные нормы списания</t>
  </si>
  <si>
    <t>Коды ценников</t>
  </si>
  <si>
    <t>ТСНБ-2001 Московской области (Версия 15.0)</t>
  </si>
  <si>
    <t>ТР для Версии 11: Центральные регионы (с уч. п-ма 2536-ИП/12/ГС от 27.11.12, 01/57049-ЮЛ от 27.04.2018) от 27.04.2020 г</t>
  </si>
  <si>
    <t>ТСНБ-2001 Московской области (редакция 2014 г версия 16.0-17.0)</t>
  </si>
  <si>
    <t>Поправки  для НБ 2014 года от 28.11.2019</t>
  </si>
  <si>
    <t>Новая локальная смета</t>
  </si>
  <si>
    <t>п01-11-011-1</t>
  </si>
  <si>
    <t>Проверка наличия цепи между заземлителями и заземленными элементами</t>
  </si>
  <si>
    <t>100 точек</t>
  </si>
  <si>
    <t>ТЕРп Московской обл., п01-11-011-1, приказ Минстроя России №675/пр от 28.02.2017 № 262/пр</t>
  </si>
  <si>
    <t>Пусконаладочные работы</t>
  </si>
  <si>
    <t>Пусконаладочные работы : все сборники, отдел 05 ( диагностика лифтов ) и отдел 06 ( техническое освидетельствование ) сборника мрФЕР-01</t>
  </si>
  <si>
    <t>пФЕРп</t>
  </si>
  <si>
    <t>2</t>
  </si>
  <si>
    <t>п01-11-028-1</t>
  </si>
  <si>
    <t>Измерение сопротивления изоляции мегаомметром кабельных и других линий напряжением до 1 кВ, предназначенных для передачи электроэнергии к распределительным устройствам, щитам, шкафам, коммутационным аппаратам и электропотребителям</t>
  </si>
  <si>
    <t>1 линия</t>
  </si>
  <si>
    <t>ТЕРп Московской обл., п01-11-028-1, приказ Минстроя России №675/пр от 28.02.2017 № 262/пр</t>
  </si>
  <si>
    <t>3</t>
  </si>
  <si>
    <t>п01-11-013-1</t>
  </si>
  <si>
    <t>Замер полного сопротивления цепи «фаза-нуль»</t>
  </si>
  <si>
    <t>1 токоприемник</t>
  </si>
  <si>
    <t>ТЕРп Московской обл., п01-11-013-1, приказ Минстроя России №675/пр от 28.02.2017 № 262/пр</t>
  </si>
  <si>
    <t>4</t>
  </si>
  <si>
    <t>п01-11-010-1</t>
  </si>
  <si>
    <t>Измерение сопротивления растеканию тока заземлителя</t>
  </si>
  <si>
    <t>1 измерение</t>
  </si>
  <si>
    <t>ТЕРп Московской обл., п01-11-010-1, приказ Минстроя России №675/пр от 28.02.2017 № 262/пр</t>
  </si>
  <si>
    <t>ПЗ</t>
  </si>
  <si>
    <t>Прямые затраты</t>
  </si>
  <si>
    <t>СтМатОб</t>
  </si>
  <si>
    <t>Стоимость материальных ресурсов (всего)</t>
  </si>
  <si>
    <t>СтМатОбЗак</t>
  </si>
  <si>
    <t>Стоимость материалов и оборудования заказчика</t>
  </si>
  <si>
    <t>СтМатОбПод</t>
  </si>
  <si>
    <t>Стоимость материалов и оборудования подрядчика</t>
  </si>
  <si>
    <t>СтМат</t>
  </si>
  <si>
    <t>Стоимость материалов (всего)</t>
  </si>
  <si>
    <t>СтМатЗак</t>
  </si>
  <si>
    <t>Стоимость материалов заказчика</t>
  </si>
  <si>
    <t>СтМатПод</t>
  </si>
  <si>
    <t>Стоимость материалов подрядчика</t>
  </si>
  <si>
    <t>Оборуд</t>
  </si>
  <si>
    <t>Стоимость оборудования (всего)</t>
  </si>
  <si>
    <t>ОборудЗак</t>
  </si>
  <si>
    <t>Стоимость оборудования заказчика</t>
  </si>
  <si>
    <t>ОборудПод</t>
  </si>
  <si>
    <t>Стоимость оборудования подрядчика</t>
  </si>
  <si>
    <t>ЭММ</t>
  </si>
  <si>
    <t>Эксплуатация машин</t>
  </si>
  <si>
    <t>ЭММсНРиСП</t>
  </si>
  <si>
    <t>Эксплуатация машин по ТСН-2001.16</t>
  </si>
  <si>
    <t>ЗПМ</t>
  </si>
  <si>
    <t>ЗП машинистов</t>
  </si>
  <si>
    <t>ОЗП</t>
  </si>
  <si>
    <t>Основная ЗП рабочих</t>
  </si>
  <si>
    <t>ОЗПсНРиСП</t>
  </si>
  <si>
    <t>Основная ЗП рабочих по ТСН-2001.16</t>
  </si>
  <si>
    <t>Строит</t>
  </si>
  <si>
    <t>Строительные работы с НР и СП</t>
  </si>
  <si>
    <t>Монтаж</t>
  </si>
  <si>
    <t>Монтажные работы с НР и СП</t>
  </si>
  <si>
    <t>Прочие</t>
  </si>
  <si>
    <t>Прочие работы с НР и СП</t>
  </si>
  <si>
    <t>ПрочиеЗатр</t>
  </si>
  <si>
    <t>Прочие затраты по ТСН-2001.16</t>
  </si>
  <si>
    <t>ВозврМат</t>
  </si>
  <si>
    <t>Возврат материалов</t>
  </si>
  <si>
    <t>ТрудСтр</t>
  </si>
  <si>
    <t>Трудозатраты строителей</t>
  </si>
  <si>
    <t>ТрудМаш</t>
  </si>
  <si>
    <t>Трудозатраты машинистов</t>
  </si>
  <si>
    <t>ТранспМат</t>
  </si>
  <si>
    <t>Транспорт материалов</t>
  </si>
  <si>
    <t>Перевозка</t>
  </si>
  <si>
    <t>Перевозка грузов</t>
  </si>
  <si>
    <t>НР</t>
  </si>
  <si>
    <t>Накладные расходы</t>
  </si>
  <si>
    <t>СмПриб</t>
  </si>
  <si>
    <t>Сметная прибыль</t>
  </si>
  <si>
    <t>Всего</t>
  </si>
  <si>
    <t>Всего с НР и СП</t>
  </si>
  <si>
    <t>и1</t>
  </si>
  <si>
    <t>Итого</t>
  </si>
  <si>
    <t>и2</t>
  </si>
  <si>
    <t>НДС 20%</t>
  </si>
  <si>
    <t>и3</t>
  </si>
  <si>
    <t>СТР_РЕК</t>
  </si>
  <si>
    <t>СТРОИТЕЛЬСТВО и РЕКОНСТРУКЦИЯ  зданий и сооружений всех назначений</t>
  </si>
  <si>
    <t>РЕМ_ЖИЛ</t>
  </si>
  <si>
    <t>КАП. РЕМ. ЖИЛЫХ И ОБЩЕСТВЕННЫХ ЗДАНИЙ</t>
  </si>
  <si>
    <t>РЕМ_ПР</t>
  </si>
  <si>
    <t>КАП. РЕМ. ПРОИЗВОДСТВЕННЫХ ЗД, и СООРУЖЕНИЙ,  НАРУЖНЫХ ИНЖЕНЕРНЫХ СЕТЕЙ, УЛИЦ И ДОРОГ МЕСТНОГО ЗНАЧЕНИЯ, МОСТОВ И ПУТЕПРОВОДОВ</t>
  </si>
  <si>
    <t>УПР</t>
  </si>
  <si>
    <t>{вкл} - УПРОЩЕННОЕ НАЛОГООБЛОЖЕНИЕ</t>
  </si>
  <si>
    <t>Для всех  расценок. (  при применении упрощенной системы налогообложения)  · {УПР} - ( вкл.)    -  при упрощенной системе   ;  к = 0,9 к СП ( к= 0,7 к НР отменен с 1.01.11)  · {УПР} - ( выкл.) -  при  обычной системе налогообложения</t>
  </si>
  <si>
    <t>ХОЗ</t>
  </si>
  <si>
    <t>{вкл} - ХОЗЯЙСТВЕННЫЙ СПОСОБ</t>
  </si>
  <si>
    <t>Для всех  расценок. (  при хозяйственном способе производства работ):  · {ХОЗ} - ( вкл.)    -  при  хоз. способе (к=0,6 к НР )  · {ХОЗ} - ( выкл.) -  при обычном способе производства работ</t>
  </si>
  <si>
    <t>СЛЖ</t>
  </si>
  <si>
    <t>{вкл} -  При  РЕКОНСТРУКЦИИ сложных объектов, РЕКОНСТРУКЦИИ и КАП. РЕМОНТЕ объектов с дейст. яд. реакторами</t>
  </si>
  <si>
    <t>Для сборников ФЕР ( при производстве работ на технически сложных объектах ):  ·  { СЛЖ } - (вкл.)    - работа на сложных объектах  (к=1,2 к НР)           ·  { СЛЖ } - (выкл.) - работа на обычных объектах</t>
  </si>
  <si>
    <t>ТЕК_М/Т/Я</t>
  </si>
  <si>
    <t>При работе в тек. уровне цен с 27.04.2018 г. (письмо № 01/57049-ЮЛ от 27.04.2018 Минюст РФ), коэффициенты к НР =0,85 и к СП-0,8 не назначаются. До 27.04.2018 г. только для мостов, тоннелей, метро, АЭС, объектов с ядерным топливом (см. прим.)</t>
  </si>
  <si>
    <t>ОПТ/В</t>
  </si>
  <si>
    <t>{вкл}    - Прокладка  МЕЖДУГОРОДНИХ  ВОЛОКОННО-ОПТИЧЕСКИХ ЛИНИЙ (для ФЕРм10, отд. 6 разд.3)  {выкл} - Прокладка  ГОРОДСКИХ               ВОЛОКОННО-ОПТИТЕСКИХ ЛИНИЙ  (для ФЕРм10, отд. 6 разд.3)</t>
  </si>
  <si>
    <t>Для сборников ФЕРм-10  ( волоконно-оптические линии связи ): ·  {М_ГОР_опт} -  ( вкл.)  - междугородные сети связи ( НР=120% , СП=70% )           ·  {М_ГОР_опт} - ( выкл.) - городские сети связи  ( НР=100%; СП=65%)</t>
  </si>
  <si>
    <t>ЗАКР</t>
  </si>
  <si>
    <t>{вкл}   -  Обслуживающие и сопутстующие работы в тоннелях при  производве работ ЗАКРЫТЫМ СПОСОБОМ   {выкл} - Обслуживающие и сопутстующие работы в тоннелях при  производве работ  ОТКРЫТЫМ                       (ФЕР-29, разд.04 )</t>
  </si>
  <si>
    <t>Для сборника ФЕР -29 ( сопутствующие работы в тоннелях и метро. ): ·  {ЗАКР} - (вкл.)     -  при выполнении работ в тоннелях  и метро закрытым способом  (НР=145% , СП=75%); ·                {ЗАКР} - (выкл.) -   при выполнении работ в тоннелях и метро  отк</t>
  </si>
  <si>
    <t>АВИ</t>
  </si>
  <si>
    <t>(вкл)   -  При работах по ДИСПЕТЧЕРЕЗАЦИИ управления движением АВИАТРАНСПОРТОМ {вкл}  (монтажные работы )</t>
  </si>
  <si>
    <t>Для сборников ФЕРм 08;10;11 :    · {мАВИА} -  (вкл.)     -  производство монтажных  работы по диспетчеризации управления  движением авиатранспортном (НР=95%, СП=55%) ;    ·            {мАВИА} -  (выкл. ) -  при производстве работ на прочих объектах , кром</t>
  </si>
  <si>
    <t>АЭС</t>
  </si>
  <si>
    <t>(вкл)  -  Производство эл./монт. работ на АЭС ( ФЕРм -08 , отдел 01-03 ),  и контроль свар. швов  на АЭС {вкл}  (ФЕРм-39, отд. 02 и 03 )  (вык) -  Произовдство эл./монт. работ  и и контроль свар. швов на ОБЫЧНЫХ СООРУЖ,</t>
  </si>
  <si>
    <t>Для сборника ФЕРм -39  и ФЕРМ-08  ( при работах по контролю сварных соединений) :    {мАЭС} - ( вкл.)  -     при выполнении работ по на АЭС  (HР=101%; СП= 68%;             {мАЭС} - (выкл.) -  при выполнении работ  на обычных объектах</t>
  </si>
  <si>
    <t>Инд_исп.Сводный</t>
  </si>
  <si>
    <t>Используется Индекс "по сводному"</t>
  </si>
  <si>
    <t>К_НР_РЕМ</t>
  </si>
  <si>
    <t>при ремонте жилых и общественных зданий если  ( если {РЕМ_ЖИЛ}= [вкл.]</t>
  </si>
  <si>
    <t>Для сборников  ФЕР и  ФЕРмр :  · Значение {_МДСрем_НР}= 0,90 -  при ремонте зданий жилого и гражданского назначений ( 0,90 к НР) ;  · Значение {_МДСрем_НР}= 1,00  - при строительстве  и реконструкции  объектов всех назначений</t>
  </si>
  <si>
    <t>К_СП_РЕМ</t>
  </si>
  <si>
    <t>к нормам СП при капитальном ремонте зданий и сооружений всех назначений ( если или {РЕМ_ЖИЛ}=[вкл] , или (РЕМ_ПР}=[вкл] )</t>
  </si>
  <si>
    <t>Для сборников  ФЕР и  ФЕРмр :   · Значение {_МДСрем_СП} = 0.85  -  при ремонте зданий всех назначений ( 0,85 к СП);   · Значение {_МДСрем_СП} = 1,00 -  при строительстве  и реконструкции  объектов всех назначений</t>
  </si>
  <si>
    <t>К_НР_05</t>
  </si>
  <si>
    <t>К нормам НР  с 1.01.2005 по 1.01.2011</t>
  </si>
  <si>
    <t>Для норм НР с 1.01.2011 года:  · {_ТЕК_НР} = 0.85  -  Коэффициент   учитывающий изменение нормы страховых взносов с  1.01.1 - (при расчете в текущем уровне цен  индексами по статьям затрат )  · {_ТЕК_НР} = 1,00  -  при расчет в текущем уровне цен и при уп</t>
  </si>
  <si>
    <t>К_НР_11</t>
  </si>
  <si>
    <t>Коэфф.  к НР для текущего уровня цен с 01.01.2011  при обычном и упрощенном налогообложении  при постатейной индексации</t>
  </si>
  <si>
    <t>К_СП_11</t>
  </si>
  <si>
    <t>Коэф. к  СП в текущем уровне цен  с 01.01.2011</t>
  </si>
  <si>
    <t>Для норм СП с 1.01.2011 года:  · {_ТЕК_СП} = 0.80  -  Коэффициент   учитывающий изменение нормы страховых взносов с  1.01.11 - (при расчете в текущем уровне цен  индексами по статьям затрат )  · {_ТЕК_СП} = 1,00  -  без учета</t>
  </si>
  <si>
    <t>К_НР_12</t>
  </si>
  <si>
    <t>Корректировка НР с 03.12.12 до 27.04.18 если (ТЕК_М/Т/Я) = {выкл.}</t>
  </si>
  <si>
    <t>К_СП_12</t>
  </si>
  <si>
    <t>Корректировка СП с 03.12.12 до 27.04.18 в текущем уровне цен по письму  2536-ИП/12/ГС от 27.11.12  ( если (ТЕК_М/Т/Я) = {выкл.} )</t>
  </si>
  <si>
    <t>К_НР_УПР</t>
  </si>
  <si>
    <t>Коэф. к  НР при упрощенном налогообложении    ( если {УПР} = [вкл] )</t>
  </si>
  <si>
    <t>К_СП_УПР</t>
  </si>
  <si>
    <t>Коэф. к СП при упрощенном налогообложении    ( если {УПР} = [вкл] )</t>
  </si>
  <si>
    <t>К_НР_ХОЗ</t>
  </si>
  <si>
    <t>Коэф. к НР при хозяйственном способе производства работ   ( если {ХОЗ}= {вкл} )</t>
  </si>
  <si>
    <t>К_НР_СЛЖ</t>
  </si>
  <si>
    <t>Коэф.  при реконструкции сложных объектов (мосты, метро, путепроводы)  и  кап. ремонте АЭС, объектов с яд. реакторами   ( если {СЛЖ} = [вкл] )</t>
  </si>
  <si>
    <t>Р_ОКР</t>
  </si>
  <si>
    <t>Разрядность округления результата расчета НР и СП  ( с 01.01.2011 - до целых )</t>
  </si>
  <si>
    <t>К_НР_УПР_ПУ</t>
  </si>
  <si>
    <t>Коэф. к НР при упрощенном налогообложении ( если {УПР} = [вкл] ) для расценок на изготовление материалов, полуфабрикатов, а также металлических и трубопроводных заготовок, изготовляемых в построечных условиях</t>
  </si>
  <si>
    <t>Уровень цен</t>
  </si>
  <si>
    <t>Сборник индексов</t>
  </si>
  <si>
    <t>ТСНБ-2001 Московской области (редакция 2014 г)</t>
  </si>
  <si>
    <t>_OBSM_</t>
  </si>
  <si>
    <t>0-3306-90</t>
  </si>
  <si>
    <t>Электромонтажник-наладчик 6 разряда</t>
  </si>
  <si>
    <t>чел.-ч</t>
  </si>
  <si>
    <t>2-0023-90</t>
  </si>
  <si>
    <t>Инженер по наладке и испытаниям III категории</t>
  </si>
  <si>
    <t>(наименование работ и затрат, наименование объекта)</t>
  </si>
  <si>
    <t>текущая цена</t>
  </si>
  <si>
    <t>Сметная стоимость</t>
  </si>
  <si>
    <t>тыс. руб.</t>
  </si>
  <si>
    <t>Нормативная трудоемкость</t>
  </si>
  <si>
    <t>чел. -ч.</t>
  </si>
  <si>
    <t>Средства на оплату труда</t>
  </si>
  <si>
    <t>Строительный объем:</t>
  </si>
  <si>
    <t>Стоимость ед.стр.объема:</t>
  </si>
  <si>
    <t>№ п/п</t>
  </si>
  <si>
    <t>Шифр расценки и коды ресурсов</t>
  </si>
  <si>
    <t>Наименование работ и затрат</t>
  </si>
  <si>
    <t>Ед. изм.</t>
  </si>
  <si>
    <t>Кол-во единиц</t>
  </si>
  <si>
    <t>Цена на ед. изм.</t>
  </si>
  <si>
    <t>Попра-вочные коэфф.</t>
  </si>
  <si>
    <t>Стоимость в ценах 2001г.</t>
  </si>
  <si>
    <t>Пункт коэфф. пересчета</t>
  </si>
  <si>
    <t>Коэфф. пересчета</t>
  </si>
  <si>
    <t>Стоимость в текущих ценах</t>
  </si>
  <si>
    <t>ЗТР всего чел.-час</t>
  </si>
  <si>
    <t>Составлена в ценах ТСНБ-2001 Московской области (редакция 2014 г) сентябрь 2020 года</t>
  </si>
  <si>
    <t>Зарплата</t>
  </si>
  <si>
    <t>НР от ФОТ</t>
  </si>
  <si>
    <t>%</t>
  </si>
  <si>
    <t>СП от ФОТ</t>
  </si>
  <si>
    <t>Затраты труда</t>
  </si>
  <si>
    <t>чел-ч</t>
  </si>
  <si>
    <t xml:space="preserve">   </t>
  </si>
  <si>
    <t xml:space="preserve">Объемы согласовал  </t>
  </si>
  <si>
    <t>[должность,подпись(инициалы,фамилия)]</t>
  </si>
  <si>
    <t xml:space="preserve">Составил  </t>
  </si>
  <si>
    <t xml:space="preserve">Проверил  </t>
  </si>
  <si>
    <t>Замеры сопротивления изоляции и испытание защитного заземления в зданиях по адресу: г.о.Коломна, д.Тарбушево, территория ДОЛ "Лесная поляна"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</si>
</sst>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;[Red]\-\ #,##0.00"/>
    <numFmt numFmtId="165" formatCode="#,##0;[Red]\-\ #,##0"/>
  </numFmts>
  <fonts count="19" x14ac:knownFonts="1">
    <font>
      <sz val="10"/>
      <name val="Arial"/>
      <charset val="204"/>
    </font>
    <font>
      <b/>
      <sz val="10"/>
      <color indexed="12"/>
      <name val="Arial"/>
      <charset val="204"/>
    </font>
    <font>
      <b/>
      <sz val="10"/>
      <color indexed="16"/>
      <name val="Arial"/>
      <charset val="204"/>
    </font>
    <font>
      <b/>
      <sz val="10"/>
      <color indexed="20"/>
      <name val="Arial"/>
      <charset val="204"/>
    </font>
    <font>
      <b/>
      <sz val="10"/>
      <color indexed="17"/>
      <name val="Arial"/>
      <charset val="204"/>
    </font>
    <font>
      <sz val="10"/>
      <color indexed="17"/>
      <name val="Arial"/>
      <charset val="204"/>
    </font>
    <font>
      <sz val="10"/>
      <color indexed="12"/>
      <name val="Arial"/>
      <charset val="204"/>
    </font>
    <font>
      <sz val="10"/>
      <color indexed="14"/>
      <name val="Arial"/>
      <charset val="204"/>
    </font>
    <font>
      <b/>
      <sz val="10"/>
      <color indexed="14"/>
      <name val="Arial"/>
      <charset val="204"/>
    </font>
    <font>
      <sz val="10"/>
      <name val="Arial"/>
      <family val="2"/>
      <charset val="204"/>
    </font>
    <font>
      <sz val="9"/>
      <name val="Arial"/>
      <family val="2"/>
      <charset val="204"/>
    </font>
    <font>
      <sz val="11"/>
      <name val="Arial"/>
      <family val="2"/>
      <charset val="204"/>
    </font>
    <font>
      <b/>
      <sz val="12"/>
      <name val="Arial"/>
      <family val="2"/>
      <charset val="204"/>
    </font>
    <font>
      <b/>
      <sz val="11"/>
      <name val="Arial"/>
      <family val="2"/>
      <charset val="204"/>
    </font>
    <font>
      <b/>
      <sz val="14"/>
      <name val="Arial"/>
      <family val="2"/>
      <charset val="204"/>
    </font>
    <font>
      <sz val="12"/>
      <name val="Arial"/>
      <family val="2"/>
      <charset val="204"/>
    </font>
    <font>
      <b/>
      <sz val="13"/>
      <name val="Arial"/>
      <family val="2"/>
      <charset val="204"/>
    </font>
    <font>
      <b/>
      <sz val="9"/>
      <name val="Arial"/>
      <family val="2"/>
      <charset val="204"/>
    </font>
    <font>
      <i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10" fillId="0" borderId="0" xfId="0" applyFont="1"/>
    <xf numFmtId="0" fontId="11" fillId="0" borderId="0" xfId="0" applyFont="1" applyBorder="1" applyAlignment="1">
      <alignment wrapText="1"/>
    </xf>
    <xf numFmtId="0" fontId="11" fillId="0" borderId="0" xfId="0" applyFont="1"/>
    <xf numFmtId="0" fontId="13" fillId="0" borderId="0" xfId="0" applyFont="1" applyAlignment="1">
      <alignment vertical="center" wrapText="1"/>
    </xf>
    <xf numFmtId="0" fontId="12" fillId="0" borderId="0" xfId="0" applyFont="1" applyBorder="1" applyAlignment="1">
      <alignment horizontal="center" wrapText="1"/>
    </xf>
    <xf numFmtId="0" fontId="13" fillId="0" borderId="0" xfId="0" applyFont="1" applyBorder="1" applyAlignment="1">
      <alignment wrapText="1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left" vertical="top"/>
    </xf>
    <xf numFmtId="0" fontId="13" fillId="0" borderId="0" xfId="0" applyFont="1" applyAlignment="1">
      <alignment horizontal="right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right" vertical="top"/>
    </xf>
    <xf numFmtId="0" fontId="11" fillId="0" borderId="0" xfId="0" applyFont="1" applyAlignment="1"/>
    <xf numFmtId="0" fontId="15" fillId="0" borderId="0" xfId="0" applyFont="1" applyAlignment="1">
      <alignment horizontal="right" vertical="top"/>
    </xf>
    <xf numFmtId="0" fontId="15" fillId="0" borderId="0" xfId="0" applyFont="1" applyAlignment="1">
      <alignment horizontal="left"/>
    </xf>
    <xf numFmtId="0" fontId="11" fillId="0" borderId="0" xfId="0" applyFont="1" applyAlignment="1">
      <alignment horizontal="right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9" fillId="0" borderId="0" xfId="0" applyFont="1" applyAlignment="1">
      <alignment wrapText="1"/>
    </xf>
    <xf numFmtId="165" fontId="0" fillId="0" borderId="0" xfId="0" applyNumberFormat="1"/>
    <xf numFmtId="0" fontId="11" fillId="0" borderId="2" xfId="0" applyFont="1" applyBorder="1"/>
    <xf numFmtId="164" fontId="0" fillId="0" borderId="0" xfId="0" applyNumberFormat="1"/>
    <xf numFmtId="0" fontId="11" fillId="0" borderId="0" xfId="0" applyFont="1" applyAlignment="1">
      <alignment vertical="center"/>
    </xf>
    <xf numFmtId="0" fontId="13" fillId="0" borderId="0" xfId="0" applyFont="1"/>
    <xf numFmtId="0" fontId="11" fillId="0" borderId="0" xfId="0" applyFont="1" applyAlignment="1">
      <alignment horizontal="left" wrapText="1"/>
    </xf>
    <xf numFmtId="0" fontId="18" fillId="0" borderId="0" xfId="0" applyFont="1" applyAlignment="1">
      <alignment horizontal="right" wrapText="1"/>
    </xf>
    <xf numFmtId="164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 wrapText="1"/>
    </xf>
    <xf numFmtId="165" fontId="11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0" fontId="9" fillId="0" borderId="0" xfId="0" applyFont="1" applyAlignment="1">
      <alignment horizontal="right" wrapText="1"/>
    </xf>
    <xf numFmtId="0" fontId="18" fillId="0" borderId="2" xfId="0" applyFont="1" applyBorder="1" applyAlignment="1">
      <alignment horizontal="right" wrapText="1"/>
    </xf>
    <xf numFmtId="0" fontId="11" fillId="0" borderId="2" xfId="0" applyFont="1" applyBorder="1" applyAlignment="1">
      <alignment horizontal="right"/>
    </xf>
    <xf numFmtId="164" fontId="11" fillId="0" borderId="2" xfId="0" applyNumberFormat="1" applyFont="1" applyBorder="1" applyAlignment="1">
      <alignment horizontal="right"/>
    </xf>
    <xf numFmtId="0" fontId="11" fillId="0" borderId="2" xfId="0" applyFont="1" applyBorder="1" applyAlignment="1">
      <alignment horizontal="right" wrapText="1"/>
    </xf>
    <xf numFmtId="165" fontId="11" fillId="0" borderId="2" xfId="0" applyNumberFormat="1" applyFont="1" applyBorder="1" applyAlignment="1">
      <alignment horizontal="right"/>
    </xf>
    <xf numFmtId="164" fontId="10" fillId="0" borderId="2" xfId="0" applyNumberFormat="1" applyFont="1" applyBorder="1" applyAlignment="1">
      <alignment horizontal="right"/>
    </xf>
    <xf numFmtId="164" fontId="17" fillId="0" borderId="0" xfId="0" applyNumberFormat="1" applyFont="1" applyAlignment="1">
      <alignment horizontal="right"/>
    </xf>
    <xf numFmtId="0" fontId="11" fillId="0" borderId="0" xfId="0" applyFont="1" applyAlignment="1">
      <alignment horizontal="left" vertical="top" wrapText="1"/>
    </xf>
    <xf numFmtId="0" fontId="11" fillId="0" borderId="2" xfId="0" applyFont="1" applyBorder="1" applyAlignment="1">
      <alignment horizontal="left" vertical="top"/>
    </xf>
    <xf numFmtId="0" fontId="11" fillId="0" borderId="2" xfId="0" applyFont="1" applyBorder="1" applyAlignment="1">
      <alignment horizontal="left" vertical="top" wrapText="1"/>
    </xf>
    <xf numFmtId="164" fontId="9" fillId="0" borderId="0" xfId="0" applyNumberFormat="1" applyFont="1" applyAlignment="1">
      <alignment horizontal="left"/>
    </xf>
    <xf numFmtId="0" fontId="13" fillId="0" borderId="0" xfId="0" applyFont="1" applyAlignment="1">
      <alignment horizontal="right"/>
    </xf>
    <xf numFmtId="164" fontId="11" fillId="0" borderId="0" xfId="0" applyNumberFormat="1" applyFont="1" applyAlignment="1">
      <alignment horizontal="right"/>
    </xf>
    <xf numFmtId="0" fontId="11" fillId="0" borderId="0" xfId="0" applyFont="1"/>
    <xf numFmtId="0" fontId="12" fillId="0" borderId="0" xfId="0" applyFont="1" applyBorder="1" applyAlignment="1">
      <alignment horizontal="center" wrapText="1"/>
    </xf>
    <xf numFmtId="0" fontId="14" fillId="0" borderId="0" xfId="0" applyFont="1" applyBorder="1" applyAlignment="1">
      <alignment horizontal="center" wrapText="1"/>
    </xf>
    <xf numFmtId="0" fontId="14" fillId="0" borderId="2" xfId="0" applyFont="1" applyBorder="1" applyAlignment="1">
      <alignment horizontal="center" wrapText="1"/>
    </xf>
    <xf numFmtId="0" fontId="10" fillId="0" borderId="0" xfId="0" applyFont="1" applyBorder="1" applyAlignment="1">
      <alignment horizontal="center" vertical="top" wrapText="1"/>
    </xf>
    <xf numFmtId="0" fontId="11" fillId="0" borderId="0" xfId="0" applyFont="1" applyAlignment="1">
      <alignment horizontal="left" wrapText="1"/>
    </xf>
    <xf numFmtId="0" fontId="11" fillId="0" borderId="0" xfId="0" applyFont="1" applyAlignment="1">
      <alignment horizontal="center" vertical="top"/>
    </xf>
    <xf numFmtId="0" fontId="11" fillId="0" borderId="0" xfId="0" applyFont="1" applyAlignment="1">
      <alignment horizontal="right"/>
    </xf>
    <xf numFmtId="0" fontId="11" fillId="0" borderId="2" xfId="0" applyFont="1" applyBorder="1" applyAlignment="1">
      <alignment horizontal="left"/>
    </xf>
    <xf numFmtId="165" fontId="13" fillId="0" borderId="1" xfId="0" applyNumberFormat="1" applyFont="1" applyBorder="1" applyAlignment="1">
      <alignment horizontal="right"/>
    </xf>
    <xf numFmtId="0" fontId="10" fillId="0" borderId="1" xfId="0" applyFont="1" applyBorder="1" applyAlignment="1">
      <alignment horizontal="center" vertical="top"/>
    </xf>
    <xf numFmtId="165" fontId="13" fillId="0" borderId="0" xfId="0" applyNumberFormat="1" applyFont="1" applyAlignment="1">
      <alignment horizontal="right"/>
    </xf>
    <xf numFmtId="0" fontId="13" fillId="0" borderId="0" xfId="0" applyFont="1" applyAlignment="1">
      <alignment horizontal="left" wrapText="1"/>
    </xf>
    <xf numFmtId="0" fontId="16" fillId="0" borderId="0" xfId="0" applyFont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67"/>
  <sheetViews>
    <sheetView tabSelected="1" topLeftCell="A12" zoomScaleNormal="100" workbookViewId="0">
      <selection activeCell="C12" sqref="C12"/>
    </sheetView>
  </sheetViews>
  <sheetFormatPr defaultRowHeight="12.75" x14ac:dyDescent="0.2"/>
  <cols>
    <col min="1" max="1" width="5.7109375" customWidth="1"/>
    <col min="2" max="2" width="11.7109375" customWidth="1"/>
    <col min="3" max="3" width="40.7109375" customWidth="1"/>
    <col min="4" max="5" width="10.7109375" customWidth="1"/>
    <col min="6" max="8" width="12.7109375" customWidth="1"/>
    <col min="9" max="9" width="17.7109375" customWidth="1"/>
    <col min="10" max="10" width="8.7109375" customWidth="1"/>
    <col min="11" max="11" width="12.7109375" customWidth="1"/>
    <col min="12" max="12" width="9.7109375" customWidth="1"/>
    <col min="15" max="36" width="0" hidden="1" customWidth="1"/>
  </cols>
  <sheetData>
    <row r="1" spans="1:12" x14ac:dyDescent="0.2">
      <c r="A1" s="9" t="str">
        <f>Source!B1</f>
        <v>Smeta.RU Flash  (495) 974-1589</v>
      </c>
    </row>
    <row r="2" spans="1:12" ht="14.25" x14ac:dyDescent="0.2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12" ht="15.75" x14ac:dyDescent="0.25">
      <c r="A3" s="12"/>
      <c r="B3" s="54" t="str">
        <f>CONCATENATE( "ЛОКАЛЬНАЯ СМЕТА № ",IF(Source!F12&lt;&gt;"Новый объект", Source!F12, ""))</f>
        <v>ЛОКАЛЬНАЯ СМЕТА № 1</v>
      </c>
      <c r="C3" s="54"/>
      <c r="D3" s="54"/>
      <c r="E3" s="54"/>
      <c r="F3" s="54"/>
      <c r="G3" s="54"/>
      <c r="H3" s="54"/>
      <c r="I3" s="54"/>
      <c r="J3" s="54"/>
      <c r="K3" s="54"/>
      <c r="L3" s="12"/>
    </row>
    <row r="4" spans="1:12" ht="15.75" x14ac:dyDescent="0.25">
      <c r="A4" s="12"/>
      <c r="B4" s="13"/>
      <c r="C4" s="13"/>
      <c r="D4" s="13"/>
      <c r="E4" s="13"/>
      <c r="F4" s="13"/>
      <c r="G4" s="13"/>
      <c r="H4" s="13"/>
      <c r="I4" s="13"/>
      <c r="J4" s="13"/>
      <c r="K4" s="13"/>
      <c r="L4" s="12"/>
    </row>
    <row r="5" spans="1:12" ht="18" hidden="1" x14ac:dyDescent="0.25">
      <c r="A5" s="12"/>
      <c r="B5" s="55"/>
      <c r="C5" s="55"/>
      <c r="D5" s="55"/>
      <c r="E5" s="55"/>
      <c r="F5" s="55"/>
      <c r="G5" s="55"/>
      <c r="H5" s="55"/>
      <c r="I5" s="55"/>
      <c r="J5" s="55"/>
      <c r="K5" s="55"/>
      <c r="L5" s="12"/>
    </row>
    <row r="6" spans="1:12" ht="14.25" hidden="1" x14ac:dyDescent="0.2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12" ht="43.5" customHeight="1" x14ac:dyDescent="0.25">
      <c r="A7" s="11"/>
      <c r="B7" s="56" t="s">
        <v>198</v>
      </c>
      <c r="C7" s="56"/>
      <c r="D7" s="56"/>
      <c r="E7" s="56"/>
      <c r="F7" s="56"/>
      <c r="G7" s="56"/>
      <c r="H7" s="56"/>
      <c r="I7" s="56"/>
      <c r="J7" s="56"/>
      <c r="K7" s="56"/>
      <c r="L7" s="14"/>
    </row>
    <row r="8" spans="1:12" ht="14.25" x14ac:dyDescent="0.2">
      <c r="A8" s="11"/>
      <c r="B8" s="57" t="s">
        <v>165</v>
      </c>
      <c r="C8" s="57"/>
      <c r="D8" s="57"/>
      <c r="E8" s="57"/>
      <c r="F8" s="57"/>
      <c r="G8" s="57"/>
      <c r="H8" s="57"/>
      <c r="I8" s="57"/>
      <c r="J8" s="57"/>
      <c r="K8" s="57"/>
      <c r="L8" s="10"/>
    </row>
    <row r="9" spans="1:12" ht="14.25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12" ht="14.25" x14ac:dyDescent="0.2">
      <c r="A10" s="58" t="str">
        <f>CONCATENATE("Основание: ", Source!J12)</f>
        <v>Основание: дефектная ведомость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</row>
    <row r="11" spans="1:12" ht="14.25" x14ac:dyDescent="0.2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12" ht="14.25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</row>
    <row r="13" spans="1:12" ht="14.25" x14ac:dyDescent="0.2">
      <c r="A13" s="11"/>
      <c r="B13" s="11"/>
      <c r="C13" s="11"/>
      <c r="D13" s="11"/>
      <c r="E13" s="15"/>
      <c r="F13" s="15"/>
      <c r="G13" s="59"/>
      <c r="H13" s="59"/>
      <c r="I13" s="59" t="s">
        <v>166</v>
      </c>
      <c r="J13" s="59"/>
      <c r="K13" s="11"/>
      <c r="L13" s="11"/>
    </row>
    <row r="14" spans="1:12" ht="15" x14ac:dyDescent="0.25">
      <c r="A14" s="11"/>
      <c r="B14" s="11"/>
      <c r="C14" s="51" t="s">
        <v>167</v>
      </c>
      <c r="D14" s="51"/>
      <c r="E14" s="51"/>
      <c r="F14" s="51"/>
      <c r="G14" s="52"/>
      <c r="H14" s="52"/>
      <c r="I14" s="52">
        <f>(Source!F93/1000)</f>
        <v>221.20439999999999</v>
      </c>
      <c r="J14" s="52"/>
      <c r="K14" s="53" t="s">
        <v>168</v>
      </c>
      <c r="L14" s="53"/>
    </row>
    <row r="15" spans="1:12" ht="15" x14ac:dyDescent="0.25">
      <c r="A15" s="11"/>
      <c r="B15" s="11"/>
      <c r="C15" s="51" t="s">
        <v>169</v>
      </c>
      <c r="D15" s="51"/>
      <c r="E15" s="51"/>
      <c r="F15" s="51"/>
      <c r="G15" s="52"/>
      <c r="H15" s="52"/>
      <c r="I15" s="52">
        <f>(Source!F84+Source!F85)</f>
        <v>219.85599999999999</v>
      </c>
      <c r="J15" s="52"/>
      <c r="K15" s="53" t="s">
        <v>170</v>
      </c>
      <c r="L15" s="53"/>
    </row>
    <row r="16" spans="1:12" ht="15" x14ac:dyDescent="0.25">
      <c r="A16" s="11"/>
      <c r="B16" s="11"/>
      <c r="C16" s="51" t="s">
        <v>171</v>
      </c>
      <c r="D16" s="51"/>
      <c r="E16" s="51"/>
      <c r="F16" s="51"/>
      <c r="G16" s="52"/>
      <c r="H16" s="52"/>
      <c r="I16" s="52">
        <f>(Source!F77+ Source!F76)/1000</f>
        <v>89.92</v>
      </c>
      <c r="J16" s="52"/>
      <c r="K16" s="53" t="s">
        <v>168</v>
      </c>
      <c r="L16" s="53"/>
    </row>
    <row r="17" spans="1:22" ht="14.25" hidden="1" x14ac:dyDescent="0.2">
      <c r="A17" s="11"/>
      <c r="B17" s="11"/>
      <c r="C17" s="60" t="s">
        <v>75</v>
      </c>
      <c r="D17" s="60"/>
      <c r="E17" s="60"/>
      <c r="F17" s="60"/>
      <c r="G17" s="52"/>
      <c r="H17" s="52"/>
      <c r="I17" s="52"/>
      <c r="J17" s="52"/>
      <c r="K17" s="16" t="s">
        <v>168</v>
      </c>
      <c r="L17" s="11"/>
    </row>
    <row r="18" spans="1:22" ht="15" x14ac:dyDescent="0.25">
      <c r="A18" s="11"/>
      <c r="B18" s="11"/>
      <c r="C18" s="17"/>
      <c r="D18" s="17"/>
      <c r="E18" s="17"/>
      <c r="F18" s="18"/>
      <c r="G18" s="19"/>
      <c r="H18" s="19"/>
      <c r="I18" s="19"/>
      <c r="J18" s="19"/>
      <c r="K18" s="19"/>
      <c r="L18" s="19"/>
    </row>
    <row r="19" spans="1:22" ht="15" hidden="1" x14ac:dyDescent="0.2">
      <c r="A19" s="18" t="s">
        <v>172</v>
      </c>
      <c r="B19" s="11"/>
      <c r="C19" s="11"/>
      <c r="D19" s="20"/>
      <c r="E19" s="11"/>
      <c r="F19" s="11"/>
      <c r="G19" s="21"/>
      <c r="H19" s="21"/>
      <c r="I19" s="22"/>
      <c r="J19" s="21"/>
      <c r="K19" s="21"/>
      <c r="L19" s="21"/>
    </row>
    <row r="20" spans="1:22" ht="15" hidden="1" x14ac:dyDescent="0.2">
      <c r="A20" s="18" t="s">
        <v>173</v>
      </c>
      <c r="B20" s="11"/>
      <c r="C20" s="11"/>
      <c r="D20" s="20"/>
      <c r="E20" s="11"/>
      <c r="F20" s="11"/>
      <c r="G20" s="21"/>
      <c r="H20" s="21"/>
      <c r="I20" s="22"/>
      <c r="J20" s="21"/>
      <c r="K20" s="21"/>
      <c r="L20" s="21"/>
    </row>
    <row r="21" spans="1:22" ht="15" hidden="1" x14ac:dyDescent="0.2">
      <c r="A21" s="11"/>
      <c r="B21" s="11"/>
      <c r="C21" s="23"/>
      <c r="D21" s="23"/>
      <c r="E21" s="23"/>
      <c r="F21" s="23"/>
      <c r="G21" s="21"/>
      <c r="H21" s="21"/>
      <c r="I21" s="22"/>
      <c r="J21" s="21"/>
      <c r="K21" s="21"/>
      <c r="L21" s="21"/>
    </row>
    <row r="22" spans="1:22" ht="14.25" x14ac:dyDescent="0.2">
      <c r="A22" s="61" t="s">
        <v>186</v>
      </c>
      <c r="B22" s="61"/>
      <c r="C22" s="61"/>
      <c r="D22" s="61"/>
      <c r="E22" s="61"/>
      <c r="F22" s="61"/>
      <c r="G22" s="61"/>
      <c r="H22" s="61"/>
      <c r="I22" s="61"/>
      <c r="J22" s="61"/>
      <c r="K22" s="61"/>
      <c r="L22" s="61"/>
    </row>
    <row r="23" spans="1:22" ht="57" x14ac:dyDescent="0.2">
      <c r="A23" s="24" t="s">
        <v>174</v>
      </c>
      <c r="B23" s="24" t="s">
        <v>175</v>
      </c>
      <c r="C23" s="24" t="s">
        <v>176</v>
      </c>
      <c r="D23" s="24" t="s">
        <v>177</v>
      </c>
      <c r="E23" s="24" t="s">
        <v>178</v>
      </c>
      <c r="F23" s="24" t="s">
        <v>179</v>
      </c>
      <c r="G23" s="24" t="s">
        <v>180</v>
      </c>
      <c r="H23" s="24" t="s">
        <v>181</v>
      </c>
      <c r="I23" s="24" t="s">
        <v>182</v>
      </c>
      <c r="J23" s="24" t="s">
        <v>183</v>
      </c>
      <c r="K23" s="24" t="s">
        <v>184</v>
      </c>
      <c r="L23" s="24" t="s">
        <v>185</v>
      </c>
    </row>
    <row r="24" spans="1:22" ht="14.25" x14ac:dyDescent="0.2">
      <c r="A24" s="25">
        <v>1</v>
      </c>
      <c r="B24" s="25">
        <v>2</v>
      </c>
      <c r="C24" s="25">
        <v>3</v>
      </c>
      <c r="D24" s="25">
        <v>4</v>
      </c>
      <c r="E24" s="25">
        <v>5</v>
      </c>
      <c r="F24" s="25">
        <v>6</v>
      </c>
      <c r="G24" s="25">
        <v>7</v>
      </c>
      <c r="H24" s="25">
        <v>8</v>
      </c>
      <c r="I24" s="25">
        <v>9</v>
      </c>
      <c r="J24" s="25">
        <v>10</v>
      </c>
      <c r="K24" s="25">
        <v>11</v>
      </c>
      <c r="L24" s="26">
        <v>12</v>
      </c>
    </row>
    <row r="26" spans="1:22" ht="16.5" x14ac:dyDescent="0.25">
      <c r="A26" s="66" t="str">
        <f>CONCATENATE("Локальная смета: ",IF(Source!G20&lt;&gt;"Новая локальная смета", Source!G20, ""))</f>
        <v xml:space="preserve">Локальная смета: </v>
      </c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</row>
    <row r="27" spans="1:22" ht="42.75" x14ac:dyDescent="0.2">
      <c r="A27" s="16" t="str">
        <f>Source!E24</f>
        <v>1</v>
      </c>
      <c r="B27" s="47" t="str">
        <f>Source!F24</f>
        <v>п01-11-011-1</v>
      </c>
      <c r="C27" s="47" t="str">
        <f>Source!G24</f>
        <v>Проверка наличия цепи между заземлителями и заземленными элементами</v>
      </c>
      <c r="D27" s="34" t="str">
        <f>Source!H24</f>
        <v>100 точек</v>
      </c>
      <c r="E27" s="23">
        <f>Source!I24</f>
        <v>1.6</v>
      </c>
      <c r="F27" s="35">
        <f>Source!AL24+Source!AM24+Source!AO24</f>
        <v>165.95</v>
      </c>
      <c r="G27" s="36"/>
      <c r="H27" s="37"/>
      <c r="I27" s="36" t="str">
        <f>Source!BO24</f>
        <v/>
      </c>
      <c r="J27" s="36"/>
      <c r="K27" s="37"/>
      <c r="L27" s="38"/>
      <c r="S27">
        <f>ROUND((Source!FX24/100)*((ROUND(Source!AF24*Source!I24, 0)+ROUND(Source!AE24*Source!I24, 0))), 0)</f>
        <v>173</v>
      </c>
      <c r="T27">
        <f>Source!X24</f>
        <v>5513</v>
      </c>
      <c r="U27">
        <f>ROUND((Source!FY24/100)*((ROUND(Source!AF24*Source!I24, 0)+ROUND(Source!AE24*Source!I24, 0))), 0)</f>
        <v>106</v>
      </c>
      <c r="V27">
        <f>Source!Y24</f>
        <v>3392</v>
      </c>
    </row>
    <row r="28" spans="1:22" x14ac:dyDescent="0.2">
      <c r="C28" s="27" t="str">
        <f>"Объем: "&amp;Source!I24&amp;"=160/"&amp;"100"</f>
        <v>Объем: 1,6=160/100</v>
      </c>
    </row>
    <row r="29" spans="1:22" ht="14.25" x14ac:dyDescent="0.2">
      <c r="A29" s="16"/>
      <c r="B29" s="47"/>
      <c r="C29" s="47" t="s">
        <v>187</v>
      </c>
      <c r="D29" s="34"/>
      <c r="E29" s="23"/>
      <c r="F29" s="35">
        <f>Source!AO24</f>
        <v>165.95</v>
      </c>
      <c r="G29" s="36" t="str">
        <f>Source!DG24</f>
        <v/>
      </c>
      <c r="H29" s="37">
        <f>ROUND(Source!AF24*Source!I24, 0)</f>
        <v>266</v>
      </c>
      <c r="I29" s="36"/>
      <c r="J29" s="36">
        <f>IF(Source!BA24&lt;&gt; 0, Source!BA24, 1)</f>
        <v>31.94</v>
      </c>
      <c r="K29" s="37">
        <f>Source!S24</f>
        <v>8481</v>
      </c>
      <c r="L29" s="38"/>
      <c r="R29">
        <f>H29</f>
        <v>266</v>
      </c>
    </row>
    <row r="30" spans="1:22" ht="14.25" x14ac:dyDescent="0.2">
      <c r="A30" s="16"/>
      <c r="B30" s="47"/>
      <c r="C30" s="47" t="s">
        <v>188</v>
      </c>
      <c r="D30" s="34" t="s">
        <v>189</v>
      </c>
      <c r="E30" s="23">
        <f>Source!BZ24</f>
        <v>65</v>
      </c>
      <c r="F30" s="50"/>
      <c r="G30" s="36"/>
      <c r="H30" s="37">
        <f>SUM(S27:S32)</f>
        <v>173</v>
      </c>
      <c r="I30" s="39"/>
      <c r="J30" s="33">
        <f>Source!AT24</f>
        <v>65</v>
      </c>
      <c r="K30" s="37">
        <f>SUM(T27:T32)</f>
        <v>5513</v>
      </c>
      <c r="L30" s="38"/>
    </row>
    <row r="31" spans="1:22" ht="14.25" x14ac:dyDescent="0.2">
      <c r="A31" s="16"/>
      <c r="B31" s="47"/>
      <c r="C31" s="47" t="s">
        <v>190</v>
      </c>
      <c r="D31" s="34" t="s">
        <v>189</v>
      </c>
      <c r="E31" s="23">
        <f>Source!CA24</f>
        <v>40</v>
      </c>
      <c r="F31" s="50"/>
      <c r="G31" s="36"/>
      <c r="H31" s="37">
        <f>SUM(U27:U32)</f>
        <v>106</v>
      </c>
      <c r="I31" s="39"/>
      <c r="J31" s="33">
        <f>Source!AU24</f>
        <v>40</v>
      </c>
      <c r="K31" s="37">
        <f>SUM(V27:V32)</f>
        <v>3392</v>
      </c>
      <c r="L31" s="38"/>
    </row>
    <row r="32" spans="1:22" ht="14.25" x14ac:dyDescent="0.2">
      <c r="A32" s="48"/>
      <c r="B32" s="49"/>
      <c r="C32" s="49" t="s">
        <v>191</v>
      </c>
      <c r="D32" s="40" t="s">
        <v>192</v>
      </c>
      <c r="E32" s="41">
        <f>Source!AQ24</f>
        <v>12.96</v>
      </c>
      <c r="F32" s="42"/>
      <c r="G32" s="43" t="str">
        <f>Source!DI24</f>
        <v/>
      </c>
      <c r="H32" s="44"/>
      <c r="I32" s="43"/>
      <c r="J32" s="43"/>
      <c r="K32" s="44"/>
      <c r="L32" s="45">
        <f>Source!U24</f>
        <v>20.736000000000004</v>
      </c>
    </row>
    <row r="33" spans="1:26" ht="15" x14ac:dyDescent="0.25">
      <c r="G33" s="62">
        <f>H29+H30+H31</f>
        <v>545</v>
      </c>
      <c r="H33" s="62"/>
      <c r="J33" s="62">
        <f>K29+K30+K31</f>
        <v>17386</v>
      </c>
      <c r="K33" s="62"/>
      <c r="L33" s="46">
        <f>Source!U24</f>
        <v>20.736000000000004</v>
      </c>
      <c r="O33" s="28">
        <f>G33</f>
        <v>545</v>
      </c>
      <c r="P33" s="28">
        <f>J33</f>
        <v>17386</v>
      </c>
      <c r="Q33" s="30">
        <f>L33</f>
        <v>20.736000000000004</v>
      </c>
      <c r="W33">
        <f>IF(Source!BI24&lt;=1,H29+H30+H31, 0)</f>
        <v>0</v>
      </c>
      <c r="X33">
        <f>IF(Source!BI24=2,H29+H30+H31, 0)</f>
        <v>0</v>
      </c>
      <c r="Y33">
        <f>IF(Source!BI24=3,H29+H30+H31, 0)</f>
        <v>0</v>
      </c>
      <c r="Z33">
        <f>IF(Source!BI24=4,H29+H30+H31, 0)</f>
        <v>545</v>
      </c>
    </row>
    <row r="34" spans="1:26" ht="114" x14ac:dyDescent="0.2">
      <c r="A34" s="16" t="str">
        <f>Source!E25</f>
        <v>2</v>
      </c>
      <c r="B34" s="47" t="str">
        <f>Source!F25</f>
        <v>п01-11-028-1</v>
      </c>
      <c r="C34" s="47" t="str">
        <f>Source!G25</f>
        <v>Измерение сопротивления изоляции мегаомметром кабельных и других линий напряжением до 1 кВ, предназначенных для передачи электроэнергии к распределительным устройствам, щитам, шкафам, коммутационным аппаратам и электропотребителям</v>
      </c>
      <c r="D34" s="34" t="str">
        <f>Source!H25</f>
        <v>1 линия</v>
      </c>
      <c r="E34" s="23">
        <f>Source!I25</f>
        <v>119</v>
      </c>
      <c r="F34" s="35">
        <f>Source!AL25+Source!AM25+Source!AO25</f>
        <v>4.0999999999999996</v>
      </c>
      <c r="G34" s="36"/>
      <c r="H34" s="37"/>
      <c r="I34" s="36" t="str">
        <f>Source!BO25</f>
        <v/>
      </c>
      <c r="J34" s="36"/>
      <c r="K34" s="37"/>
      <c r="L34" s="38"/>
      <c r="S34">
        <f>ROUND((Source!FX25/100)*((ROUND(Source!AF25*Source!I25, 0)+ROUND(Source!AE25*Source!I25, 0))), 0)</f>
        <v>317</v>
      </c>
      <c r="T34">
        <f>Source!X25</f>
        <v>10130</v>
      </c>
      <c r="U34">
        <f>ROUND((Source!FY25/100)*((ROUND(Source!AF25*Source!I25, 0)+ROUND(Source!AE25*Source!I25, 0))), 0)</f>
        <v>195</v>
      </c>
      <c r="V34">
        <f>Source!Y25</f>
        <v>6234</v>
      </c>
    </row>
    <row r="35" spans="1:26" ht="14.25" x14ac:dyDescent="0.2">
      <c r="A35" s="16"/>
      <c r="B35" s="47"/>
      <c r="C35" s="47" t="s">
        <v>187</v>
      </c>
      <c r="D35" s="34"/>
      <c r="E35" s="23"/>
      <c r="F35" s="35">
        <f>Source!AO25</f>
        <v>4.0999999999999996</v>
      </c>
      <c r="G35" s="36" t="str">
        <f>Source!DG25</f>
        <v/>
      </c>
      <c r="H35" s="37">
        <f>ROUND(Source!AF25*Source!I25, 0)</f>
        <v>488</v>
      </c>
      <c r="I35" s="36"/>
      <c r="J35" s="36">
        <f>IF(Source!BA25&lt;&gt; 0, Source!BA25, 1)</f>
        <v>31.94</v>
      </c>
      <c r="K35" s="37">
        <f>Source!S25</f>
        <v>15584</v>
      </c>
      <c r="L35" s="38"/>
      <c r="R35">
        <f>H35</f>
        <v>488</v>
      </c>
    </row>
    <row r="36" spans="1:26" ht="14.25" x14ac:dyDescent="0.2">
      <c r="A36" s="16"/>
      <c r="B36" s="47"/>
      <c r="C36" s="47" t="s">
        <v>188</v>
      </c>
      <c r="D36" s="34" t="s">
        <v>189</v>
      </c>
      <c r="E36" s="23">
        <f>Source!BZ25</f>
        <v>65</v>
      </c>
      <c r="F36" s="50"/>
      <c r="G36" s="36"/>
      <c r="H36" s="37">
        <f>SUM(S34:S38)</f>
        <v>317</v>
      </c>
      <c r="I36" s="39"/>
      <c r="J36" s="33">
        <f>Source!AT25</f>
        <v>65</v>
      </c>
      <c r="K36" s="37">
        <f>SUM(T34:T38)</f>
        <v>10130</v>
      </c>
      <c r="L36" s="38"/>
    </row>
    <row r="37" spans="1:26" ht="14.25" x14ac:dyDescent="0.2">
      <c r="A37" s="16"/>
      <c r="B37" s="47"/>
      <c r="C37" s="47" t="s">
        <v>190</v>
      </c>
      <c r="D37" s="34" t="s">
        <v>189</v>
      </c>
      <c r="E37" s="23">
        <f>Source!CA25</f>
        <v>40</v>
      </c>
      <c r="F37" s="50"/>
      <c r="G37" s="36"/>
      <c r="H37" s="37">
        <f>SUM(U34:U38)</f>
        <v>195</v>
      </c>
      <c r="I37" s="39"/>
      <c r="J37" s="33">
        <f>Source!AU25</f>
        <v>40</v>
      </c>
      <c r="K37" s="37">
        <f>SUM(V34:V38)</f>
        <v>6234</v>
      </c>
      <c r="L37" s="38"/>
    </row>
    <row r="38" spans="1:26" ht="14.25" x14ac:dyDescent="0.2">
      <c r="A38" s="48"/>
      <c r="B38" s="49"/>
      <c r="C38" s="49" t="s">
        <v>191</v>
      </c>
      <c r="D38" s="40" t="s">
        <v>192</v>
      </c>
      <c r="E38" s="41">
        <f>Source!AQ25</f>
        <v>0.32</v>
      </c>
      <c r="F38" s="42"/>
      <c r="G38" s="43" t="str">
        <f>Source!DI25</f>
        <v/>
      </c>
      <c r="H38" s="44"/>
      <c r="I38" s="43"/>
      <c r="J38" s="43"/>
      <c r="K38" s="44"/>
      <c r="L38" s="45">
        <f>Source!U25</f>
        <v>38.08</v>
      </c>
    </row>
    <row r="39" spans="1:26" ht="15" x14ac:dyDescent="0.25">
      <c r="G39" s="62">
        <f>H35+H36+H37</f>
        <v>1000</v>
      </c>
      <c r="H39" s="62"/>
      <c r="J39" s="62">
        <f>K35+K36+K37</f>
        <v>31948</v>
      </c>
      <c r="K39" s="62"/>
      <c r="L39" s="46">
        <f>Source!U25</f>
        <v>38.08</v>
      </c>
      <c r="O39" s="28">
        <f>G39</f>
        <v>1000</v>
      </c>
      <c r="P39" s="28">
        <f>J39</f>
        <v>31948</v>
      </c>
      <c r="Q39" s="30">
        <f>L39</f>
        <v>38.08</v>
      </c>
      <c r="W39">
        <f>IF(Source!BI25&lt;=1,H35+H36+H37, 0)</f>
        <v>0</v>
      </c>
      <c r="X39">
        <f>IF(Source!BI25=2,H35+H36+H37, 0)</f>
        <v>0</v>
      </c>
      <c r="Y39">
        <f>IF(Source!BI25=3,H35+H36+H37, 0)</f>
        <v>0</v>
      </c>
      <c r="Z39">
        <f>IF(Source!BI25=4,H35+H36+H37, 0)</f>
        <v>1000</v>
      </c>
    </row>
    <row r="40" spans="1:26" ht="42.75" x14ac:dyDescent="0.2">
      <c r="A40" s="16" t="str">
        <f>Source!E26</f>
        <v>3</v>
      </c>
      <c r="B40" s="47" t="str">
        <f>Source!F26</f>
        <v>п01-11-013-1</v>
      </c>
      <c r="C40" s="47" t="str">
        <f>Source!G26</f>
        <v>Замер полного сопротивления цепи «фаза-нуль»</v>
      </c>
      <c r="D40" s="34" t="str">
        <f>Source!H26</f>
        <v>1 токоприемник</v>
      </c>
      <c r="E40" s="23">
        <f>Source!I26</f>
        <v>119</v>
      </c>
      <c r="F40" s="35">
        <f>Source!AL26+Source!AM26+Source!AO26</f>
        <v>15.62</v>
      </c>
      <c r="G40" s="36"/>
      <c r="H40" s="37"/>
      <c r="I40" s="36" t="str">
        <f>Source!BO26</f>
        <v/>
      </c>
      <c r="J40" s="36"/>
      <c r="K40" s="37"/>
      <c r="L40" s="38"/>
      <c r="S40">
        <f>ROUND((Source!FX26/100)*((ROUND(Source!AF26*Source!I26, 0)+ROUND(Source!AE26*Source!I26, 0))), 0)</f>
        <v>1208</v>
      </c>
      <c r="T40">
        <f>Source!X26</f>
        <v>38590</v>
      </c>
      <c r="U40">
        <f>ROUND((Source!FY26/100)*((ROUND(Source!AF26*Source!I26, 0)+ROUND(Source!AE26*Source!I26, 0))), 0)</f>
        <v>744</v>
      </c>
      <c r="V40">
        <f>Source!Y26</f>
        <v>23748</v>
      </c>
    </row>
    <row r="41" spans="1:26" ht="14.25" x14ac:dyDescent="0.2">
      <c r="A41" s="16"/>
      <c r="B41" s="47"/>
      <c r="C41" s="47" t="s">
        <v>187</v>
      </c>
      <c r="D41" s="34"/>
      <c r="E41" s="23"/>
      <c r="F41" s="35">
        <f>Source!AO26</f>
        <v>15.62</v>
      </c>
      <c r="G41" s="36" t="str">
        <f>Source!DG26</f>
        <v/>
      </c>
      <c r="H41" s="37">
        <f>ROUND(Source!AF26*Source!I26, 0)</f>
        <v>1859</v>
      </c>
      <c r="I41" s="36"/>
      <c r="J41" s="36">
        <f>IF(Source!BA26&lt;&gt; 0, Source!BA26, 1)</f>
        <v>31.94</v>
      </c>
      <c r="K41" s="37">
        <f>Source!S26</f>
        <v>59369</v>
      </c>
      <c r="L41" s="38"/>
      <c r="R41">
        <f>H41</f>
        <v>1859</v>
      </c>
    </row>
    <row r="42" spans="1:26" ht="14.25" x14ac:dyDescent="0.2">
      <c r="A42" s="16"/>
      <c r="B42" s="47"/>
      <c r="C42" s="47" t="s">
        <v>188</v>
      </c>
      <c r="D42" s="34" t="s">
        <v>189</v>
      </c>
      <c r="E42" s="23">
        <f>Source!BZ26</f>
        <v>65</v>
      </c>
      <c r="F42" s="50"/>
      <c r="G42" s="36"/>
      <c r="H42" s="37">
        <f>SUM(S40:S44)</f>
        <v>1208</v>
      </c>
      <c r="I42" s="39"/>
      <c r="J42" s="33">
        <f>Source!AT26</f>
        <v>65</v>
      </c>
      <c r="K42" s="37">
        <f>SUM(T40:T44)</f>
        <v>38590</v>
      </c>
      <c r="L42" s="38"/>
    </row>
    <row r="43" spans="1:26" ht="14.25" x14ac:dyDescent="0.2">
      <c r="A43" s="16"/>
      <c r="B43" s="47"/>
      <c r="C43" s="47" t="s">
        <v>190</v>
      </c>
      <c r="D43" s="34" t="s">
        <v>189</v>
      </c>
      <c r="E43" s="23">
        <f>Source!CA26</f>
        <v>40</v>
      </c>
      <c r="F43" s="50"/>
      <c r="G43" s="36"/>
      <c r="H43" s="37">
        <f>SUM(U40:U44)</f>
        <v>744</v>
      </c>
      <c r="I43" s="39"/>
      <c r="J43" s="33">
        <f>Source!AU26</f>
        <v>40</v>
      </c>
      <c r="K43" s="37">
        <f>SUM(V40:V44)</f>
        <v>23748</v>
      </c>
      <c r="L43" s="38"/>
    </row>
    <row r="44" spans="1:26" ht="14.25" x14ac:dyDescent="0.2">
      <c r="A44" s="48"/>
      <c r="B44" s="49"/>
      <c r="C44" s="49" t="s">
        <v>191</v>
      </c>
      <c r="D44" s="40" t="s">
        <v>192</v>
      </c>
      <c r="E44" s="41">
        <f>Source!AQ26</f>
        <v>1.22</v>
      </c>
      <c r="F44" s="42"/>
      <c r="G44" s="43" t="str">
        <f>Source!DI26</f>
        <v/>
      </c>
      <c r="H44" s="44"/>
      <c r="I44" s="43"/>
      <c r="J44" s="43"/>
      <c r="K44" s="44"/>
      <c r="L44" s="45">
        <f>Source!U26</f>
        <v>145.18</v>
      </c>
    </row>
    <row r="45" spans="1:26" ht="15" x14ac:dyDescent="0.25">
      <c r="G45" s="62">
        <f>H41+H42+H43</f>
        <v>3811</v>
      </c>
      <c r="H45" s="62"/>
      <c r="J45" s="62">
        <f>K41+K42+K43</f>
        <v>121707</v>
      </c>
      <c r="K45" s="62"/>
      <c r="L45" s="46">
        <f>Source!U26</f>
        <v>145.18</v>
      </c>
      <c r="O45" s="28">
        <f>G45</f>
        <v>3811</v>
      </c>
      <c r="P45" s="28">
        <f>J45</f>
        <v>121707</v>
      </c>
      <c r="Q45" s="30">
        <f>L45</f>
        <v>145.18</v>
      </c>
      <c r="W45">
        <f>IF(Source!BI26&lt;=1,H41+H42+H43, 0)</f>
        <v>0</v>
      </c>
      <c r="X45">
        <f>IF(Source!BI26=2,H41+H42+H43, 0)</f>
        <v>0</v>
      </c>
      <c r="Y45">
        <f>IF(Source!BI26=3,H41+H42+H43, 0)</f>
        <v>0</v>
      </c>
      <c r="Z45">
        <f>IF(Source!BI26=4,H41+H42+H43, 0)</f>
        <v>3811</v>
      </c>
    </row>
    <row r="46" spans="1:26" ht="42.75" x14ac:dyDescent="0.2">
      <c r="A46" s="16" t="str">
        <f>Source!E27</f>
        <v>4</v>
      </c>
      <c r="B46" s="47" t="str">
        <f>Source!F27</f>
        <v>п01-11-010-1</v>
      </c>
      <c r="C46" s="47" t="str">
        <f>Source!G27</f>
        <v>Измерение сопротивления растеканию тока заземлителя</v>
      </c>
      <c r="D46" s="34" t="str">
        <f>Source!H27</f>
        <v>1 измерение</v>
      </c>
      <c r="E46" s="23">
        <f>Source!I27</f>
        <v>13</v>
      </c>
      <c r="F46" s="35">
        <f>Source!AL27+Source!AM27+Source!AO27</f>
        <v>15.62</v>
      </c>
      <c r="G46" s="36"/>
      <c r="H46" s="37"/>
      <c r="I46" s="36" t="str">
        <f>Source!BO27</f>
        <v/>
      </c>
      <c r="J46" s="36"/>
      <c r="K46" s="37"/>
      <c r="L46" s="38"/>
      <c r="S46">
        <f>ROUND((Source!FX27/100)*((ROUND(Source!AF27*Source!I27, 0)+ROUND(Source!AE27*Source!I27, 0))), 0)</f>
        <v>132</v>
      </c>
      <c r="T46">
        <f>Source!X27</f>
        <v>4216</v>
      </c>
      <c r="U46">
        <f>ROUND((Source!FY27/100)*((ROUND(Source!AF27*Source!I27, 0)+ROUND(Source!AE27*Source!I27, 0))), 0)</f>
        <v>81</v>
      </c>
      <c r="V46">
        <f>Source!Y27</f>
        <v>2594</v>
      </c>
    </row>
    <row r="47" spans="1:26" ht="14.25" x14ac:dyDescent="0.2">
      <c r="A47" s="16"/>
      <c r="B47" s="47"/>
      <c r="C47" s="47" t="s">
        <v>187</v>
      </c>
      <c r="D47" s="34"/>
      <c r="E47" s="23"/>
      <c r="F47" s="35">
        <f>Source!AO27</f>
        <v>15.62</v>
      </c>
      <c r="G47" s="36" t="str">
        <f>Source!DG27</f>
        <v/>
      </c>
      <c r="H47" s="37">
        <f>ROUND(Source!AF27*Source!I27, 0)</f>
        <v>203</v>
      </c>
      <c r="I47" s="36"/>
      <c r="J47" s="36">
        <f>IF(Source!BA27&lt;&gt; 0, Source!BA27, 1)</f>
        <v>31.94</v>
      </c>
      <c r="K47" s="37">
        <f>Source!S27</f>
        <v>6486</v>
      </c>
      <c r="L47" s="38"/>
      <c r="R47">
        <f>H47</f>
        <v>203</v>
      </c>
    </row>
    <row r="48" spans="1:26" ht="14.25" x14ac:dyDescent="0.2">
      <c r="A48" s="16"/>
      <c r="B48" s="47"/>
      <c r="C48" s="47" t="s">
        <v>188</v>
      </c>
      <c r="D48" s="34" t="s">
        <v>189</v>
      </c>
      <c r="E48" s="23">
        <f>Source!BZ27</f>
        <v>65</v>
      </c>
      <c r="F48" s="50"/>
      <c r="G48" s="36"/>
      <c r="H48" s="37">
        <f>SUM(S46:S50)</f>
        <v>132</v>
      </c>
      <c r="I48" s="39"/>
      <c r="J48" s="33">
        <f>Source!AT27</f>
        <v>65</v>
      </c>
      <c r="K48" s="37">
        <f>SUM(T46:T50)</f>
        <v>4216</v>
      </c>
      <c r="L48" s="38"/>
    </row>
    <row r="49" spans="1:26" ht="14.25" x14ac:dyDescent="0.2">
      <c r="A49" s="16"/>
      <c r="B49" s="47"/>
      <c r="C49" s="47" t="s">
        <v>190</v>
      </c>
      <c r="D49" s="34" t="s">
        <v>189</v>
      </c>
      <c r="E49" s="23">
        <f>Source!CA27</f>
        <v>40</v>
      </c>
      <c r="F49" s="50"/>
      <c r="G49" s="36"/>
      <c r="H49" s="37">
        <f>SUM(U46:U50)</f>
        <v>81</v>
      </c>
      <c r="I49" s="39"/>
      <c r="J49" s="33">
        <f>Source!AU27</f>
        <v>40</v>
      </c>
      <c r="K49" s="37">
        <f>SUM(V46:V50)</f>
        <v>2594</v>
      </c>
      <c r="L49" s="38"/>
    </row>
    <row r="50" spans="1:26" ht="14.25" x14ac:dyDescent="0.2">
      <c r="A50" s="48"/>
      <c r="B50" s="49"/>
      <c r="C50" s="49" t="s">
        <v>191</v>
      </c>
      <c r="D50" s="40" t="s">
        <v>192</v>
      </c>
      <c r="E50" s="41">
        <f>Source!AQ27</f>
        <v>1.22</v>
      </c>
      <c r="F50" s="42"/>
      <c r="G50" s="43" t="str">
        <f>Source!DI27</f>
        <v/>
      </c>
      <c r="H50" s="44"/>
      <c r="I50" s="43"/>
      <c r="J50" s="43"/>
      <c r="K50" s="44"/>
      <c r="L50" s="45">
        <f>Source!U27</f>
        <v>15.86</v>
      </c>
    </row>
    <row r="51" spans="1:26" ht="15" x14ac:dyDescent="0.25">
      <c r="G51" s="62">
        <f>H47+H48+H49</f>
        <v>416</v>
      </c>
      <c r="H51" s="62"/>
      <c r="J51" s="62">
        <f>K47+K48+K49</f>
        <v>13296</v>
      </c>
      <c r="K51" s="62"/>
      <c r="L51" s="46">
        <f>Source!U27</f>
        <v>15.86</v>
      </c>
      <c r="O51" s="28">
        <f>G51</f>
        <v>416</v>
      </c>
      <c r="P51" s="28">
        <f>J51</f>
        <v>13296</v>
      </c>
      <c r="Q51" s="30">
        <f>L51</f>
        <v>15.86</v>
      </c>
      <c r="W51">
        <f>IF(Source!BI27&lt;=1,H47+H48+H49, 0)</f>
        <v>0</v>
      </c>
      <c r="X51">
        <f>IF(Source!BI27=2,H47+H48+H49, 0)</f>
        <v>0</v>
      </c>
      <c r="Y51">
        <f>IF(Source!BI27=3,H47+H48+H49, 0)</f>
        <v>0</v>
      </c>
      <c r="Z51">
        <f>IF(Source!BI27=4,H47+H48+H49, 0)</f>
        <v>416</v>
      </c>
    </row>
    <row r="53" spans="1:26" ht="15" x14ac:dyDescent="0.25">
      <c r="A53" s="65" t="str">
        <f>CONCATENATE("Итого по смете: ",IF(Source!G62&lt;&gt;"Новый объект", Source!G62, ""))</f>
        <v>Итого по смете: Замеры сопротивления</v>
      </c>
      <c r="B53" s="65"/>
      <c r="C53" s="65"/>
      <c r="D53" s="65"/>
      <c r="E53" s="65"/>
      <c r="F53" s="65"/>
      <c r="G53" s="64">
        <f>SUM(O1:O52)</f>
        <v>5772</v>
      </c>
      <c r="H53" s="64"/>
      <c r="I53" s="32"/>
      <c r="J53" s="64">
        <f>SUM(P1:P52)</f>
        <v>184337</v>
      </c>
      <c r="K53" s="64"/>
      <c r="L53" s="46">
        <f>SUM(Q1:Q52)</f>
        <v>219.85599999999999</v>
      </c>
    </row>
    <row r="55" spans="1:26" ht="14.25" x14ac:dyDescent="0.2">
      <c r="C55" s="58" t="str">
        <f>Source!H91</f>
        <v>Итого</v>
      </c>
      <c r="D55" s="58"/>
      <c r="E55" s="58"/>
      <c r="F55" s="58"/>
      <c r="G55" s="58"/>
      <c r="H55" s="58"/>
      <c r="I55" s="58"/>
      <c r="J55" s="52">
        <f>IF(Source!F91=0, "", Source!F91)</f>
        <v>184337</v>
      </c>
      <c r="K55" s="52"/>
    </row>
    <row r="56" spans="1:26" ht="14.25" x14ac:dyDescent="0.2">
      <c r="C56" s="58" t="str">
        <f>Source!H92</f>
        <v>НДС 20%</v>
      </c>
      <c r="D56" s="58"/>
      <c r="E56" s="58"/>
      <c r="F56" s="58"/>
      <c r="G56" s="58"/>
      <c r="H56" s="58"/>
      <c r="I56" s="58"/>
      <c r="J56" s="52">
        <f>IF(Source!F92=0, "", Source!F92)</f>
        <v>36867.4</v>
      </c>
      <c r="K56" s="52"/>
    </row>
    <row r="57" spans="1:26" ht="14.25" x14ac:dyDescent="0.2">
      <c r="C57" s="58" t="str">
        <f>Source!H93</f>
        <v>Всего</v>
      </c>
      <c r="D57" s="58"/>
      <c r="E57" s="58"/>
      <c r="F57" s="58"/>
      <c r="G57" s="58"/>
      <c r="H57" s="58"/>
      <c r="I57" s="58"/>
      <c r="J57" s="52">
        <f>IF(Source!F93=0, "", Source!F93)</f>
        <v>221204.4</v>
      </c>
      <c r="K57" s="52"/>
    </row>
    <row r="60" spans="1:26" ht="14.25" x14ac:dyDescent="0.2">
      <c r="A60" s="31" t="s">
        <v>193</v>
      </c>
      <c r="B60" s="31"/>
      <c r="C60" s="23" t="s">
        <v>194</v>
      </c>
      <c r="D60" s="29" t="str">
        <f>IF(Source!CP12&lt;&gt;"", Source!CP12," ")</f>
        <v xml:space="preserve"> </v>
      </c>
      <c r="E60" s="29"/>
      <c r="F60" s="29"/>
      <c r="G60" s="29"/>
      <c r="H60" s="29"/>
      <c r="I60" s="11" t="str">
        <f>IF(Source!CO12&lt;&gt;"", Source!CO12," ")</f>
        <v xml:space="preserve"> </v>
      </c>
      <c r="J60" s="23"/>
      <c r="K60" s="11"/>
      <c r="L60" s="11"/>
    </row>
    <row r="61" spans="1:26" ht="14.25" x14ac:dyDescent="0.2">
      <c r="A61" s="11"/>
      <c r="B61" s="11"/>
      <c r="C61" s="23"/>
      <c r="D61" s="63" t="s">
        <v>195</v>
      </c>
      <c r="E61" s="63"/>
      <c r="F61" s="63"/>
      <c r="G61" s="63"/>
      <c r="H61" s="63"/>
      <c r="I61" s="11"/>
      <c r="J61" s="23"/>
      <c r="K61" s="11"/>
      <c r="L61" s="11"/>
    </row>
    <row r="62" spans="1:26" ht="14.25" x14ac:dyDescent="0.2">
      <c r="A62" s="11"/>
      <c r="B62" s="11"/>
      <c r="C62" s="23"/>
      <c r="D62" s="11"/>
      <c r="E62" s="11"/>
      <c r="F62" s="11"/>
      <c r="G62" s="11"/>
      <c r="H62" s="11"/>
      <c r="I62" s="11"/>
      <c r="J62" s="23"/>
      <c r="K62" s="11"/>
      <c r="L62" s="11"/>
    </row>
    <row r="63" spans="1:26" ht="14.25" x14ac:dyDescent="0.2">
      <c r="A63" s="31" t="s">
        <v>193</v>
      </c>
      <c r="B63" s="31"/>
      <c r="C63" s="23" t="s">
        <v>196</v>
      </c>
      <c r="D63" s="29" t="str">
        <f>IF(Source!AC12&lt;&gt;"", Source!AC12," ")</f>
        <v xml:space="preserve"> </v>
      </c>
      <c r="E63" s="29"/>
      <c r="F63" s="29"/>
      <c r="G63" s="29"/>
      <c r="H63" s="29"/>
      <c r="I63" s="11" t="str">
        <f>IF(Source!AB12&lt;&gt;"", Source!AB12," ")</f>
        <v xml:space="preserve"> </v>
      </c>
      <c r="J63" s="23"/>
      <c r="K63" s="11"/>
      <c r="L63" s="11"/>
    </row>
    <row r="64" spans="1:26" ht="14.25" x14ac:dyDescent="0.2">
      <c r="A64" s="11"/>
      <c r="B64" s="11"/>
      <c r="C64" s="11"/>
      <c r="D64" s="63" t="s">
        <v>195</v>
      </c>
      <c r="E64" s="63"/>
      <c r="F64" s="63"/>
      <c r="G64" s="63"/>
      <c r="H64" s="63"/>
      <c r="I64" s="11"/>
      <c r="J64" s="11"/>
      <c r="K64" s="11"/>
      <c r="L64" s="11"/>
    </row>
    <row r="65" spans="1:12" ht="14.25" x14ac:dyDescent="0.2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</row>
    <row r="66" spans="1:12" ht="14.25" x14ac:dyDescent="0.2">
      <c r="A66" s="11"/>
      <c r="B66" s="11"/>
      <c r="C66" s="23" t="s">
        <v>197</v>
      </c>
      <c r="D66" s="29" t="str">
        <f>IF(Source!AE12&lt;&gt;"", Source!AE12," ")</f>
        <v xml:space="preserve"> </v>
      </c>
      <c r="E66" s="29"/>
      <c r="F66" s="29"/>
      <c r="G66" s="29"/>
      <c r="H66" s="29"/>
      <c r="I66" s="11" t="str">
        <f>IF(Source!AD12&lt;&gt;"", Source!AD12," ")</f>
        <v xml:space="preserve"> </v>
      </c>
      <c r="J66" s="23"/>
      <c r="K66" s="11"/>
      <c r="L66" s="11"/>
    </row>
    <row r="67" spans="1:12" ht="14.25" x14ac:dyDescent="0.2">
      <c r="A67" s="11"/>
      <c r="B67" s="11"/>
      <c r="C67" s="11"/>
      <c r="D67" s="63" t="s">
        <v>195</v>
      </c>
      <c r="E67" s="63"/>
      <c r="F67" s="63"/>
      <c r="G67" s="63"/>
      <c r="H67" s="63"/>
      <c r="I67" s="11"/>
      <c r="J67" s="11"/>
      <c r="K67" s="11"/>
      <c r="L67" s="11"/>
    </row>
  </sheetData>
  <mergeCells count="44">
    <mergeCell ref="D67:H67"/>
    <mergeCell ref="G53:H53"/>
    <mergeCell ref="J53:K53"/>
    <mergeCell ref="A53:F53"/>
    <mergeCell ref="C56:I56"/>
    <mergeCell ref="J56:K56"/>
    <mergeCell ref="C57:I57"/>
    <mergeCell ref="J57:K57"/>
    <mergeCell ref="D61:H61"/>
    <mergeCell ref="D64:H64"/>
    <mergeCell ref="C55:I55"/>
    <mergeCell ref="J55:K55"/>
    <mergeCell ref="C17:F17"/>
    <mergeCell ref="G17:H17"/>
    <mergeCell ref="I17:J17"/>
    <mergeCell ref="A22:L22"/>
    <mergeCell ref="J51:K51"/>
    <mergeCell ref="G51:H51"/>
    <mergeCell ref="J45:K45"/>
    <mergeCell ref="G45:H45"/>
    <mergeCell ref="J39:K39"/>
    <mergeCell ref="G39:H39"/>
    <mergeCell ref="J33:K33"/>
    <mergeCell ref="G33:H33"/>
    <mergeCell ref="A26:L26"/>
    <mergeCell ref="C15:F15"/>
    <mergeCell ref="G15:H15"/>
    <mergeCell ref="I15:J15"/>
    <mergeCell ref="K15:L15"/>
    <mergeCell ref="C16:F16"/>
    <mergeCell ref="G16:H16"/>
    <mergeCell ref="I16:J16"/>
    <mergeCell ref="K16:L16"/>
    <mergeCell ref="C14:F14"/>
    <mergeCell ref="G14:H14"/>
    <mergeCell ref="I14:J14"/>
    <mergeCell ref="K14:L14"/>
    <mergeCell ref="B3:K3"/>
    <mergeCell ref="B5:K5"/>
    <mergeCell ref="B7:K7"/>
    <mergeCell ref="B8:K8"/>
    <mergeCell ref="A10:L10"/>
    <mergeCell ref="G13:H13"/>
    <mergeCell ref="I13:J13"/>
  </mergeCells>
  <pageMargins left="0.4" right="0.2" top="0.2" bottom="0.4" header="0.2" footer="0.2"/>
  <pageSetup paperSize="9" scale="59" fitToHeight="0" orientation="portrait" r:id="rId1"/>
  <headerFooter>
    <oddHeader>&amp;L&amp;8</oddHead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K129"/>
  <sheetViews>
    <sheetView workbookViewId="0">
      <selection activeCell="A125" sqref="A125:AA125"/>
    </sheetView>
  </sheetViews>
  <sheetFormatPr defaultColWidth="9.140625" defaultRowHeight="12.75" x14ac:dyDescent="0.2"/>
  <cols>
    <col min="1" max="256" width="9.140625" customWidth="1"/>
  </cols>
  <sheetData>
    <row r="1" spans="1:133" x14ac:dyDescent="0.2">
      <c r="A1">
        <v>0</v>
      </c>
      <c r="B1" t="s">
        <v>0</v>
      </c>
      <c r="D1" t="s">
        <v>1</v>
      </c>
      <c r="F1">
        <v>0</v>
      </c>
      <c r="G1">
        <v>0</v>
      </c>
      <c r="H1">
        <v>0</v>
      </c>
      <c r="I1" t="s">
        <v>2</v>
      </c>
      <c r="J1" t="s">
        <v>3</v>
      </c>
      <c r="K1">
        <v>1</v>
      </c>
      <c r="L1">
        <v>66549</v>
      </c>
      <c r="M1">
        <v>11</v>
      </c>
      <c r="N1">
        <v>11</v>
      </c>
      <c r="O1">
        <v>2</v>
      </c>
      <c r="P1">
        <v>0</v>
      </c>
      <c r="Q1">
        <v>0</v>
      </c>
    </row>
    <row r="12" spans="1:133" x14ac:dyDescent="0.2">
      <c r="A12" s="1">
        <v>1</v>
      </c>
      <c r="B12" s="1">
        <v>124</v>
      </c>
      <c r="C12" s="1">
        <v>0</v>
      </c>
      <c r="D12" s="1">
        <f>ROW(A62)</f>
        <v>62</v>
      </c>
      <c r="E12" s="1">
        <v>0</v>
      </c>
      <c r="F12" s="1" t="s">
        <v>4</v>
      </c>
      <c r="G12" s="1" t="s">
        <v>5</v>
      </c>
      <c r="H12" s="1" t="s">
        <v>3</v>
      </c>
      <c r="I12" s="1">
        <v>0</v>
      </c>
      <c r="J12" s="1" t="s">
        <v>6</v>
      </c>
      <c r="K12" s="1">
        <v>0</v>
      </c>
      <c r="L12" s="1"/>
      <c r="M12" s="1"/>
      <c r="N12" s="1"/>
      <c r="O12" s="1">
        <v>0</v>
      </c>
      <c r="P12" s="1">
        <v>0</v>
      </c>
      <c r="Q12" s="1">
        <v>0</v>
      </c>
      <c r="R12" s="1">
        <v>0</v>
      </c>
      <c r="S12" s="1"/>
      <c r="T12" s="1"/>
      <c r="U12" s="1" t="s">
        <v>3</v>
      </c>
      <c r="V12" s="1">
        <v>0</v>
      </c>
      <c r="W12" s="1" t="s">
        <v>3</v>
      </c>
      <c r="X12" s="1" t="s">
        <v>3</v>
      </c>
      <c r="Y12" s="1" t="s">
        <v>3</v>
      </c>
      <c r="Z12" s="1" t="s">
        <v>3</v>
      </c>
      <c r="AA12" s="1" t="s">
        <v>3</v>
      </c>
      <c r="AB12" s="1" t="s">
        <v>3</v>
      </c>
      <c r="AC12" s="1" t="s">
        <v>3</v>
      </c>
      <c r="AD12" s="1" t="s">
        <v>3</v>
      </c>
      <c r="AE12" s="1" t="s">
        <v>3</v>
      </c>
      <c r="AF12" s="1" t="s">
        <v>3</v>
      </c>
      <c r="AG12" s="1" t="s">
        <v>3</v>
      </c>
      <c r="AH12" s="1" t="s">
        <v>3</v>
      </c>
      <c r="AI12" s="1" t="s">
        <v>3</v>
      </c>
      <c r="AJ12" s="1" t="s">
        <v>3</v>
      </c>
      <c r="AK12" s="1"/>
      <c r="AL12" s="1" t="s">
        <v>3</v>
      </c>
      <c r="AM12" s="1" t="s">
        <v>3</v>
      </c>
      <c r="AN12" s="1" t="s">
        <v>3</v>
      </c>
      <c r="AO12" s="1"/>
      <c r="AP12" s="1" t="s">
        <v>3</v>
      </c>
      <c r="AQ12" s="1" t="s">
        <v>3</v>
      </c>
      <c r="AR12" s="1" t="s">
        <v>3</v>
      </c>
      <c r="AS12" s="1"/>
      <c r="AT12" s="1"/>
      <c r="AU12" s="1"/>
      <c r="AV12" s="1"/>
      <c r="AW12" s="1"/>
      <c r="AX12" s="1" t="s">
        <v>3</v>
      </c>
      <c r="AY12" s="1" t="s">
        <v>3</v>
      </c>
      <c r="AZ12" s="1" t="s">
        <v>3</v>
      </c>
      <c r="BA12" s="1"/>
      <c r="BB12" s="1"/>
      <c r="BC12" s="1"/>
      <c r="BD12" s="1"/>
      <c r="BE12" s="1"/>
      <c r="BF12" s="1"/>
      <c r="BG12" s="1"/>
      <c r="BH12" s="1" t="s">
        <v>7</v>
      </c>
      <c r="BI12" s="1" t="s">
        <v>8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2</v>
      </c>
      <c r="BQ12" s="1">
        <v>0</v>
      </c>
      <c r="BR12" s="1">
        <v>1</v>
      </c>
      <c r="BS12" s="1">
        <v>1</v>
      </c>
      <c r="BT12" s="1">
        <v>0</v>
      </c>
      <c r="BU12" s="1">
        <v>0</v>
      </c>
      <c r="BV12" s="1">
        <v>0</v>
      </c>
      <c r="BW12" s="1">
        <v>0</v>
      </c>
      <c r="BX12" s="1">
        <v>0</v>
      </c>
      <c r="BY12" s="1" t="s">
        <v>9</v>
      </c>
      <c r="BZ12" s="1" t="s">
        <v>10</v>
      </c>
      <c r="CA12" s="1" t="s">
        <v>11</v>
      </c>
      <c r="CB12" s="1" t="s">
        <v>11</v>
      </c>
      <c r="CC12" s="1" t="s">
        <v>11</v>
      </c>
      <c r="CD12" s="1" t="s">
        <v>11</v>
      </c>
      <c r="CE12" s="1" t="s">
        <v>12</v>
      </c>
      <c r="CF12" s="1">
        <v>0</v>
      </c>
      <c r="CG12" s="1">
        <v>0</v>
      </c>
      <c r="CH12" s="1">
        <v>8200</v>
      </c>
      <c r="CI12" s="1" t="s">
        <v>3</v>
      </c>
      <c r="CJ12" s="1" t="s">
        <v>3</v>
      </c>
      <c r="CK12" s="1">
        <v>1</v>
      </c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5" spans="1:133" x14ac:dyDescent="0.2">
      <c r="A15" s="1">
        <v>15</v>
      </c>
      <c r="B15" s="1">
        <v>1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</row>
    <row r="18" spans="1:245" x14ac:dyDescent="0.2">
      <c r="A18" s="2">
        <v>52</v>
      </c>
      <c r="B18" s="2">
        <f t="shared" ref="B18:G18" si="0">B62</f>
        <v>124</v>
      </c>
      <c r="C18" s="2">
        <f t="shared" si="0"/>
        <v>1</v>
      </c>
      <c r="D18" s="2">
        <f t="shared" si="0"/>
        <v>12</v>
      </c>
      <c r="E18" s="2">
        <f t="shared" si="0"/>
        <v>0</v>
      </c>
      <c r="F18" s="2" t="str">
        <f t="shared" si="0"/>
        <v>1</v>
      </c>
      <c r="G18" s="2" t="str">
        <f t="shared" si="0"/>
        <v>Замеры сопротивления</v>
      </c>
      <c r="H18" s="2"/>
      <c r="I18" s="2"/>
      <c r="J18" s="2"/>
      <c r="K18" s="2"/>
      <c r="L18" s="2"/>
      <c r="M18" s="2"/>
      <c r="N18" s="2"/>
      <c r="O18" s="2">
        <f t="shared" ref="O18:AT18" si="1">O62</f>
        <v>89920</v>
      </c>
      <c r="P18" s="2">
        <f t="shared" si="1"/>
        <v>0</v>
      </c>
      <c r="Q18" s="2">
        <f t="shared" si="1"/>
        <v>0</v>
      </c>
      <c r="R18" s="2">
        <f t="shared" si="1"/>
        <v>0</v>
      </c>
      <c r="S18" s="2">
        <f t="shared" si="1"/>
        <v>89920</v>
      </c>
      <c r="T18" s="2">
        <f t="shared" si="1"/>
        <v>0</v>
      </c>
      <c r="U18" s="2">
        <f t="shared" si="1"/>
        <v>219.85599999999999</v>
      </c>
      <c r="V18" s="2">
        <f t="shared" si="1"/>
        <v>0</v>
      </c>
      <c r="W18" s="2">
        <f t="shared" si="1"/>
        <v>0</v>
      </c>
      <c r="X18" s="2">
        <f t="shared" si="1"/>
        <v>58449</v>
      </c>
      <c r="Y18" s="2">
        <f t="shared" si="1"/>
        <v>35968</v>
      </c>
      <c r="Z18" s="2">
        <f t="shared" si="1"/>
        <v>0</v>
      </c>
      <c r="AA18" s="2">
        <f t="shared" si="1"/>
        <v>0</v>
      </c>
      <c r="AB18" s="2">
        <f t="shared" si="1"/>
        <v>0</v>
      </c>
      <c r="AC18" s="2">
        <f t="shared" si="1"/>
        <v>0</v>
      </c>
      <c r="AD18" s="2">
        <f t="shared" si="1"/>
        <v>0</v>
      </c>
      <c r="AE18" s="2">
        <f t="shared" si="1"/>
        <v>0</v>
      </c>
      <c r="AF18" s="2">
        <f t="shared" si="1"/>
        <v>0</v>
      </c>
      <c r="AG18" s="2">
        <f t="shared" si="1"/>
        <v>0</v>
      </c>
      <c r="AH18" s="2">
        <f t="shared" si="1"/>
        <v>0</v>
      </c>
      <c r="AI18" s="2">
        <f t="shared" si="1"/>
        <v>0</v>
      </c>
      <c r="AJ18" s="2">
        <f t="shared" si="1"/>
        <v>0</v>
      </c>
      <c r="AK18" s="2">
        <f t="shared" si="1"/>
        <v>0</v>
      </c>
      <c r="AL18" s="2">
        <f t="shared" si="1"/>
        <v>0</v>
      </c>
      <c r="AM18" s="2">
        <f t="shared" si="1"/>
        <v>0</v>
      </c>
      <c r="AN18" s="2">
        <f t="shared" si="1"/>
        <v>0</v>
      </c>
      <c r="AO18" s="2">
        <f t="shared" si="1"/>
        <v>0</v>
      </c>
      <c r="AP18" s="2">
        <f t="shared" si="1"/>
        <v>0</v>
      </c>
      <c r="AQ18" s="2">
        <f t="shared" si="1"/>
        <v>0</v>
      </c>
      <c r="AR18" s="2">
        <f t="shared" si="1"/>
        <v>184337</v>
      </c>
      <c r="AS18" s="2">
        <f t="shared" si="1"/>
        <v>0</v>
      </c>
      <c r="AT18" s="2">
        <f t="shared" si="1"/>
        <v>0</v>
      </c>
      <c r="AU18" s="2">
        <f t="shared" ref="AU18:BZ18" si="2">AU62</f>
        <v>184337</v>
      </c>
      <c r="AV18" s="2">
        <f t="shared" si="2"/>
        <v>0</v>
      </c>
      <c r="AW18" s="2">
        <f t="shared" si="2"/>
        <v>0</v>
      </c>
      <c r="AX18" s="2">
        <f t="shared" si="2"/>
        <v>0</v>
      </c>
      <c r="AY18" s="2">
        <f t="shared" si="2"/>
        <v>0</v>
      </c>
      <c r="AZ18" s="2">
        <f t="shared" si="2"/>
        <v>0</v>
      </c>
      <c r="BA18" s="2">
        <f t="shared" si="2"/>
        <v>0</v>
      </c>
      <c r="BB18" s="2">
        <f t="shared" si="2"/>
        <v>0</v>
      </c>
      <c r="BC18" s="2">
        <f t="shared" si="2"/>
        <v>0</v>
      </c>
      <c r="BD18" s="2">
        <f t="shared" si="2"/>
        <v>0</v>
      </c>
      <c r="BE18" s="2">
        <f t="shared" si="2"/>
        <v>0</v>
      </c>
      <c r="BF18" s="2">
        <f t="shared" si="2"/>
        <v>0</v>
      </c>
      <c r="BG18" s="2">
        <f t="shared" si="2"/>
        <v>0</v>
      </c>
      <c r="BH18" s="2">
        <f t="shared" si="2"/>
        <v>0</v>
      </c>
      <c r="BI18" s="2">
        <f t="shared" si="2"/>
        <v>0</v>
      </c>
      <c r="BJ18" s="2">
        <f t="shared" si="2"/>
        <v>0</v>
      </c>
      <c r="BK18" s="2">
        <f t="shared" si="2"/>
        <v>0</v>
      </c>
      <c r="BL18" s="2">
        <f t="shared" si="2"/>
        <v>0</v>
      </c>
      <c r="BM18" s="2">
        <f t="shared" si="2"/>
        <v>0</v>
      </c>
      <c r="BN18" s="2">
        <f t="shared" si="2"/>
        <v>0</v>
      </c>
      <c r="BO18" s="2">
        <f t="shared" si="2"/>
        <v>0</v>
      </c>
      <c r="BP18" s="2">
        <f t="shared" si="2"/>
        <v>0</v>
      </c>
      <c r="BQ18" s="2">
        <f t="shared" si="2"/>
        <v>0</v>
      </c>
      <c r="BR18" s="2">
        <f t="shared" si="2"/>
        <v>0</v>
      </c>
      <c r="BS18" s="2">
        <f t="shared" si="2"/>
        <v>0</v>
      </c>
      <c r="BT18" s="2">
        <f t="shared" si="2"/>
        <v>0</v>
      </c>
      <c r="BU18" s="2">
        <f t="shared" si="2"/>
        <v>0</v>
      </c>
      <c r="BV18" s="2">
        <f t="shared" si="2"/>
        <v>0</v>
      </c>
      <c r="BW18" s="2">
        <f t="shared" si="2"/>
        <v>0</v>
      </c>
      <c r="BX18" s="2">
        <f t="shared" si="2"/>
        <v>0</v>
      </c>
      <c r="BY18" s="2">
        <f t="shared" si="2"/>
        <v>0</v>
      </c>
      <c r="BZ18" s="2">
        <f t="shared" si="2"/>
        <v>0</v>
      </c>
      <c r="CA18" s="2">
        <f t="shared" ref="CA18:DF18" si="3">CA62</f>
        <v>0</v>
      </c>
      <c r="CB18" s="2">
        <f t="shared" si="3"/>
        <v>0</v>
      </c>
      <c r="CC18" s="2">
        <f t="shared" si="3"/>
        <v>0</v>
      </c>
      <c r="CD18" s="2">
        <f t="shared" si="3"/>
        <v>0</v>
      </c>
      <c r="CE18" s="2">
        <f t="shared" si="3"/>
        <v>0</v>
      </c>
      <c r="CF18" s="2">
        <f t="shared" si="3"/>
        <v>0</v>
      </c>
      <c r="CG18" s="2">
        <f t="shared" si="3"/>
        <v>0</v>
      </c>
      <c r="CH18" s="2">
        <f t="shared" si="3"/>
        <v>0</v>
      </c>
      <c r="CI18" s="2">
        <f t="shared" si="3"/>
        <v>0</v>
      </c>
      <c r="CJ18" s="2">
        <f t="shared" si="3"/>
        <v>0</v>
      </c>
      <c r="CK18" s="2">
        <f t="shared" si="3"/>
        <v>0</v>
      </c>
      <c r="CL18" s="2">
        <f t="shared" si="3"/>
        <v>0</v>
      </c>
      <c r="CM18" s="2">
        <f t="shared" si="3"/>
        <v>0</v>
      </c>
      <c r="CN18" s="2">
        <f t="shared" si="3"/>
        <v>0</v>
      </c>
      <c r="CO18" s="2">
        <f t="shared" si="3"/>
        <v>0</v>
      </c>
      <c r="CP18" s="2">
        <f t="shared" si="3"/>
        <v>0</v>
      </c>
      <c r="CQ18" s="2">
        <f t="shared" si="3"/>
        <v>0</v>
      </c>
      <c r="CR18" s="2">
        <f t="shared" si="3"/>
        <v>0</v>
      </c>
      <c r="CS18" s="2">
        <f t="shared" si="3"/>
        <v>0</v>
      </c>
      <c r="CT18" s="2">
        <f t="shared" si="3"/>
        <v>0</v>
      </c>
      <c r="CU18" s="2">
        <f t="shared" si="3"/>
        <v>0</v>
      </c>
      <c r="CV18" s="2">
        <f t="shared" si="3"/>
        <v>0</v>
      </c>
      <c r="CW18" s="2">
        <f t="shared" si="3"/>
        <v>0</v>
      </c>
      <c r="CX18" s="2">
        <f t="shared" si="3"/>
        <v>0</v>
      </c>
      <c r="CY18" s="2">
        <f t="shared" si="3"/>
        <v>0</v>
      </c>
      <c r="CZ18" s="2">
        <f t="shared" si="3"/>
        <v>0</v>
      </c>
      <c r="DA18" s="2">
        <f t="shared" si="3"/>
        <v>0</v>
      </c>
      <c r="DB18" s="2">
        <f t="shared" si="3"/>
        <v>0</v>
      </c>
      <c r="DC18" s="2">
        <f t="shared" si="3"/>
        <v>0</v>
      </c>
      <c r="DD18" s="2">
        <f t="shared" si="3"/>
        <v>0</v>
      </c>
      <c r="DE18" s="2">
        <f t="shared" si="3"/>
        <v>0</v>
      </c>
      <c r="DF18" s="2">
        <f t="shared" si="3"/>
        <v>0</v>
      </c>
      <c r="DG18" s="3">
        <f t="shared" ref="DG18:EL18" si="4">DG62</f>
        <v>0</v>
      </c>
      <c r="DH18" s="3">
        <f t="shared" si="4"/>
        <v>0</v>
      </c>
      <c r="DI18" s="3">
        <f t="shared" si="4"/>
        <v>0</v>
      </c>
      <c r="DJ18" s="3">
        <f t="shared" si="4"/>
        <v>0</v>
      </c>
      <c r="DK18" s="3">
        <f t="shared" si="4"/>
        <v>0</v>
      </c>
      <c r="DL18" s="3">
        <f t="shared" si="4"/>
        <v>0</v>
      </c>
      <c r="DM18" s="3">
        <f t="shared" si="4"/>
        <v>0</v>
      </c>
      <c r="DN18" s="3">
        <f t="shared" si="4"/>
        <v>0</v>
      </c>
      <c r="DO18" s="3">
        <f t="shared" si="4"/>
        <v>0</v>
      </c>
      <c r="DP18" s="3">
        <f t="shared" si="4"/>
        <v>0</v>
      </c>
      <c r="DQ18" s="3">
        <f t="shared" si="4"/>
        <v>0</v>
      </c>
      <c r="DR18" s="3">
        <f t="shared" si="4"/>
        <v>0</v>
      </c>
      <c r="DS18" s="3">
        <f t="shared" si="4"/>
        <v>0</v>
      </c>
      <c r="DT18" s="3">
        <f t="shared" si="4"/>
        <v>0</v>
      </c>
      <c r="DU18" s="3">
        <f t="shared" si="4"/>
        <v>0</v>
      </c>
      <c r="DV18" s="3">
        <f t="shared" si="4"/>
        <v>0</v>
      </c>
      <c r="DW18" s="3">
        <f t="shared" si="4"/>
        <v>0</v>
      </c>
      <c r="DX18" s="3">
        <f t="shared" si="4"/>
        <v>0</v>
      </c>
      <c r="DY18" s="3">
        <f t="shared" si="4"/>
        <v>0</v>
      </c>
      <c r="DZ18" s="3">
        <f t="shared" si="4"/>
        <v>0</v>
      </c>
      <c r="EA18" s="3">
        <f t="shared" si="4"/>
        <v>0</v>
      </c>
      <c r="EB18" s="3">
        <f t="shared" si="4"/>
        <v>0</v>
      </c>
      <c r="EC18" s="3">
        <f t="shared" si="4"/>
        <v>0</v>
      </c>
      <c r="ED18" s="3">
        <f t="shared" si="4"/>
        <v>0</v>
      </c>
      <c r="EE18" s="3">
        <f t="shared" si="4"/>
        <v>0</v>
      </c>
      <c r="EF18" s="3">
        <f t="shared" si="4"/>
        <v>0</v>
      </c>
      <c r="EG18" s="3">
        <f t="shared" si="4"/>
        <v>0</v>
      </c>
      <c r="EH18" s="3">
        <f t="shared" si="4"/>
        <v>0</v>
      </c>
      <c r="EI18" s="3">
        <f t="shared" si="4"/>
        <v>0</v>
      </c>
      <c r="EJ18" s="3">
        <f t="shared" si="4"/>
        <v>0</v>
      </c>
      <c r="EK18" s="3">
        <f t="shared" si="4"/>
        <v>0</v>
      </c>
      <c r="EL18" s="3">
        <f t="shared" si="4"/>
        <v>0</v>
      </c>
      <c r="EM18" s="3">
        <f t="shared" ref="EM18:FR18" si="5">EM62</f>
        <v>0</v>
      </c>
      <c r="EN18" s="3">
        <f t="shared" si="5"/>
        <v>0</v>
      </c>
      <c r="EO18" s="3">
        <f t="shared" si="5"/>
        <v>0</v>
      </c>
      <c r="EP18" s="3">
        <f t="shared" si="5"/>
        <v>0</v>
      </c>
      <c r="EQ18" s="3">
        <f t="shared" si="5"/>
        <v>0</v>
      </c>
      <c r="ER18" s="3">
        <f t="shared" si="5"/>
        <v>0</v>
      </c>
      <c r="ES18" s="3">
        <f t="shared" si="5"/>
        <v>0</v>
      </c>
      <c r="ET18" s="3">
        <f t="shared" si="5"/>
        <v>0</v>
      </c>
      <c r="EU18" s="3">
        <f t="shared" si="5"/>
        <v>0</v>
      </c>
      <c r="EV18" s="3">
        <f t="shared" si="5"/>
        <v>0</v>
      </c>
      <c r="EW18" s="3">
        <f t="shared" si="5"/>
        <v>0</v>
      </c>
      <c r="EX18" s="3">
        <f t="shared" si="5"/>
        <v>0</v>
      </c>
      <c r="EY18" s="3">
        <f t="shared" si="5"/>
        <v>0</v>
      </c>
      <c r="EZ18" s="3">
        <f t="shared" si="5"/>
        <v>0</v>
      </c>
      <c r="FA18" s="3">
        <f t="shared" si="5"/>
        <v>0</v>
      </c>
      <c r="FB18" s="3">
        <f t="shared" si="5"/>
        <v>0</v>
      </c>
      <c r="FC18" s="3">
        <f t="shared" si="5"/>
        <v>0</v>
      </c>
      <c r="FD18" s="3">
        <f t="shared" si="5"/>
        <v>0</v>
      </c>
      <c r="FE18" s="3">
        <f t="shared" si="5"/>
        <v>0</v>
      </c>
      <c r="FF18" s="3">
        <f t="shared" si="5"/>
        <v>0</v>
      </c>
      <c r="FG18" s="3">
        <f t="shared" si="5"/>
        <v>0</v>
      </c>
      <c r="FH18" s="3">
        <f t="shared" si="5"/>
        <v>0</v>
      </c>
      <c r="FI18" s="3">
        <f t="shared" si="5"/>
        <v>0</v>
      </c>
      <c r="FJ18" s="3">
        <f t="shared" si="5"/>
        <v>0</v>
      </c>
      <c r="FK18" s="3">
        <f t="shared" si="5"/>
        <v>0</v>
      </c>
      <c r="FL18" s="3">
        <f t="shared" si="5"/>
        <v>0</v>
      </c>
      <c r="FM18" s="3">
        <f t="shared" si="5"/>
        <v>0</v>
      </c>
      <c r="FN18" s="3">
        <f t="shared" si="5"/>
        <v>0</v>
      </c>
      <c r="FO18" s="3">
        <f t="shared" si="5"/>
        <v>0</v>
      </c>
      <c r="FP18" s="3">
        <f t="shared" si="5"/>
        <v>0</v>
      </c>
      <c r="FQ18" s="3">
        <f t="shared" si="5"/>
        <v>0</v>
      </c>
      <c r="FR18" s="3">
        <f t="shared" si="5"/>
        <v>0</v>
      </c>
      <c r="FS18" s="3">
        <f t="shared" ref="FS18:GX18" si="6">FS62</f>
        <v>0</v>
      </c>
      <c r="FT18" s="3">
        <f t="shared" si="6"/>
        <v>0</v>
      </c>
      <c r="FU18" s="3">
        <f t="shared" si="6"/>
        <v>0</v>
      </c>
      <c r="FV18" s="3">
        <f t="shared" si="6"/>
        <v>0</v>
      </c>
      <c r="FW18" s="3">
        <f t="shared" si="6"/>
        <v>0</v>
      </c>
      <c r="FX18" s="3">
        <f t="shared" si="6"/>
        <v>0</v>
      </c>
      <c r="FY18" s="3">
        <f t="shared" si="6"/>
        <v>0</v>
      </c>
      <c r="FZ18" s="3">
        <f t="shared" si="6"/>
        <v>0</v>
      </c>
      <c r="GA18" s="3">
        <f t="shared" si="6"/>
        <v>0</v>
      </c>
      <c r="GB18" s="3">
        <f t="shared" si="6"/>
        <v>0</v>
      </c>
      <c r="GC18" s="3">
        <f t="shared" si="6"/>
        <v>0</v>
      </c>
      <c r="GD18" s="3">
        <f t="shared" si="6"/>
        <v>0</v>
      </c>
      <c r="GE18" s="3">
        <f t="shared" si="6"/>
        <v>0</v>
      </c>
      <c r="GF18" s="3">
        <f t="shared" si="6"/>
        <v>0</v>
      </c>
      <c r="GG18" s="3">
        <f t="shared" si="6"/>
        <v>0</v>
      </c>
      <c r="GH18" s="3">
        <f t="shared" si="6"/>
        <v>0</v>
      </c>
      <c r="GI18" s="3">
        <f t="shared" si="6"/>
        <v>0</v>
      </c>
      <c r="GJ18" s="3">
        <f t="shared" si="6"/>
        <v>0</v>
      </c>
      <c r="GK18" s="3">
        <f t="shared" si="6"/>
        <v>0</v>
      </c>
      <c r="GL18" s="3">
        <f t="shared" si="6"/>
        <v>0</v>
      </c>
      <c r="GM18" s="3">
        <f t="shared" si="6"/>
        <v>0</v>
      </c>
      <c r="GN18" s="3">
        <f t="shared" si="6"/>
        <v>0</v>
      </c>
      <c r="GO18" s="3">
        <f t="shared" si="6"/>
        <v>0</v>
      </c>
      <c r="GP18" s="3">
        <f t="shared" si="6"/>
        <v>0</v>
      </c>
      <c r="GQ18" s="3">
        <f t="shared" si="6"/>
        <v>0</v>
      </c>
      <c r="GR18" s="3">
        <f t="shared" si="6"/>
        <v>0</v>
      </c>
      <c r="GS18" s="3">
        <f t="shared" si="6"/>
        <v>0</v>
      </c>
      <c r="GT18" s="3">
        <f t="shared" si="6"/>
        <v>0</v>
      </c>
      <c r="GU18" s="3">
        <f t="shared" si="6"/>
        <v>0</v>
      </c>
      <c r="GV18" s="3">
        <f t="shared" si="6"/>
        <v>0</v>
      </c>
      <c r="GW18" s="3">
        <f t="shared" si="6"/>
        <v>0</v>
      </c>
      <c r="GX18" s="3">
        <f t="shared" si="6"/>
        <v>0</v>
      </c>
    </row>
    <row r="20" spans="1:245" x14ac:dyDescent="0.2">
      <c r="A20" s="1">
        <v>3</v>
      </c>
      <c r="B20" s="1">
        <v>1</v>
      </c>
      <c r="C20" s="1"/>
      <c r="D20" s="1">
        <f>ROW(A29)</f>
        <v>29</v>
      </c>
      <c r="E20" s="1"/>
      <c r="F20" s="1" t="s">
        <v>13</v>
      </c>
      <c r="G20" s="1" t="s">
        <v>13</v>
      </c>
      <c r="H20" s="1" t="s">
        <v>3</v>
      </c>
      <c r="I20" s="1">
        <v>0</v>
      </c>
      <c r="J20" s="1" t="s">
        <v>3</v>
      </c>
      <c r="K20" s="1">
        <v>0</v>
      </c>
      <c r="L20" s="1" t="s">
        <v>3</v>
      </c>
      <c r="M20" s="1"/>
      <c r="N20" s="1"/>
      <c r="O20" s="1"/>
      <c r="P20" s="1"/>
      <c r="Q20" s="1"/>
      <c r="R20" s="1"/>
      <c r="S20" s="1"/>
      <c r="T20" s="1"/>
      <c r="U20" s="1" t="s">
        <v>3</v>
      </c>
      <c r="V20" s="1">
        <v>0</v>
      </c>
      <c r="W20" s="1"/>
      <c r="X20" s="1"/>
      <c r="Y20" s="1"/>
      <c r="Z20" s="1"/>
      <c r="AA20" s="1"/>
      <c r="AB20" s="1" t="s">
        <v>3</v>
      </c>
      <c r="AC20" s="1" t="s">
        <v>3</v>
      </c>
      <c r="AD20" s="1" t="s">
        <v>3</v>
      </c>
      <c r="AE20" s="1" t="s">
        <v>3</v>
      </c>
      <c r="AF20" s="1" t="s">
        <v>3</v>
      </c>
      <c r="AG20" s="1" t="s">
        <v>3</v>
      </c>
      <c r="AH20" s="1"/>
      <c r="AI20" s="1"/>
      <c r="AJ20" s="1"/>
      <c r="AK20" s="1"/>
      <c r="AL20" s="1"/>
      <c r="AM20" s="1"/>
      <c r="AN20" s="1"/>
      <c r="AO20" s="1"/>
      <c r="AP20" s="1" t="s">
        <v>3</v>
      </c>
      <c r="AQ20" s="1" t="s">
        <v>3</v>
      </c>
      <c r="AR20" s="1" t="s">
        <v>3</v>
      </c>
      <c r="AS20" s="1"/>
      <c r="AT20" s="1"/>
      <c r="AU20" s="1"/>
      <c r="AV20" s="1"/>
      <c r="AW20" s="1"/>
      <c r="AX20" s="1"/>
      <c r="AY20" s="1"/>
      <c r="AZ20" s="1" t="s">
        <v>3</v>
      </c>
      <c r="BA20" s="1"/>
      <c r="BB20" s="1" t="s">
        <v>3</v>
      </c>
      <c r="BC20" s="1" t="s">
        <v>3</v>
      </c>
      <c r="BD20" s="1" t="s">
        <v>3</v>
      </c>
      <c r="BE20" s="1" t="s">
        <v>3</v>
      </c>
      <c r="BF20" s="1" t="s">
        <v>3</v>
      </c>
      <c r="BG20" s="1" t="s">
        <v>3</v>
      </c>
      <c r="BH20" s="1" t="s">
        <v>3</v>
      </c>
      <c r="BI20" s="1" t="s">
        <v>3</v>
      </c>
      <c r="BJ20" s="1" t="s">
        <v>3</v>
      </c>
      <c r="BK20" s="1" t="s">
        <v>3</v>
      </c>
      <c r="BL20" s="1" t="s">
        <v>3</v>
      </c>
      <c r="BM20" s="1" t="s">
        <v>3</v>
      </c>
      <c r="BN20" s="1" t="s">
        <v>3</v>
      </c>
      <c r="BO20" s="1" t="s">
        <v>3</v>
      </c>
      <c r="BP20" s="1" t="s">
        <v>3</v>
      </c>
      <c r="BQ20" s="1"/>
      <c r="BR20" s="1"/>
      <c r="BS20" s="1"/>
      <c r="BT20" s="1"/>
      <c r="BU20" s="1"/>
      <c r="BV20" s="1"/>
      <c r="BW20" s="1"/>
      <c r="BX20" s="1">
        <v>0</v>
      </c>
      <c r="BY20" s="1"/>
      <c r="BZ20" s="1"/>
      <c r="CA20" s="1"/>
      <c r="CB20" s="1"/>
      <c r="CC20" s="1"/>
      <c r="CD20" s="1"/>
      <c r="CE20" s="1"/>
      <c r="CF20" s="1">
        <v>0</v>
      </c>
      <c r="CG20" s="1">
        <v>0</v>
      </c>
      <c r="CH20" s="1"/>
      <c r="CI20" s="1" t="s">
        <v>3</v>
      </c>
      <c r="CJ20" s="1" t="s">
        <v>3</v>
      </c>
      <c r="CK20" t="s">
        <v>3</v>
      </c>
      <c r="CL20" t="s">
        <v>3</v>
      </c>
      <c r="CM20" t="s">
        <v>3</v>
      </c>
      <c r="CN20" t="s">
        <v>3</v>
      </c>
      <c r="CO20" t="s">
        <v>3</v>
      </c>
      <c r="CP20" t="s">
        <v>3</v>
      </c>
      <c r="CQ20" t="s">
        <v>3</v>
      </c>
      <c r="CR20" t="s">
        <v>3</v>
      </c>
    </row>
    <row r="22" spans="1:245" x14ac:dyDescent="0.2">
      <c r="A22" s="2">
        <v>52</v>
      </c>
      <c r="B22" s="2">
        <f t="shared" ref="B22:G22" si="7">B29</f>
        <v>1</v>
      </c>
      <c r="C22" s="2">
        <f t="shared" si="7"/>
        <v>3</v>
      </c>
      <c r="D22" s="2">
        <f t="shared" si="7"/>
        <v>20</v>
      </c>
      <c r="E22" s="2">
        <f t="shared" si="7"/>
        <v>0</v>
      </c>
      <c r="F22" s="2" t="str">
        <f t="shared" si="7"/>
        <v>Новая локальная смета</v>
      </c>
      <c r="G22" s="2" t="str">
        <f t="shared" si="7"/>
        <v>Новая локальная смета</v>
      </c>
      <c r="H22" s="2"/>
      <c r="I22" s="2"/>
      <c r="J22" s="2"/>
      <c r="K22" s="2"/>
      <c r="L22" s="2"/>
      <c r="M22" s="2"/>
      <c r="N22" s="2"/>
      <c r="O22" s="2">
        <f t="shared" ref="O22:AT22" si="8">O29</f>
        <v>89920</v>
      </c>
      <c r="P22" s="2">
        <f t="shared" si="8"/>
        <v>0</v>
      </c>
      <c r="Q22" s="2">
        <f t="shared" si="8"/>
        <v>0</v>
      </c>
      <c r="R22" s="2">
        <f t="shared" si="8"/>
        <v>0</v>
      </c>
      <c r="S22" s="2">
        <f t="shared" si="8"/>
        <v>89920</v>
      </c>
      <c r="T22" s="2">
        <f t="shared" si="8"/>
        <v>0</v>
      </c>
      <c r="U22" s="2">
        <f t="shared" si="8"/>
        <v>219.85599999999999</v>
      </c>
      <c r="V22" s="2">
        <f t="shared" si="8"/>
        <v>0</v>
      </c>
      <c r="W22" s="2">
        <f t="shared" si="8"/>
        <v>0</v>
      </c>
      <c r="X22" s="2">
        <f t="shared" si="8"/>
        <v>58449</v>
      </c>
      <c r="Y22" s="2">
        <f t="shared" si="8"/>
        <v>35968</v>
      </c>
      <c r="Z22" s="2">
        <f t="shared" si="8"/>
        <v>0</v>
      </c>
      <c r="AA22" s="2">
        <f t="shared" si="8"/>
        <v>0</v>
      </c>
      <c r="AB22" s="2">
        <f t="shared" si="8"/>
        <v>89920</v>
      </c>
      <c r="AC22" s="2">
        <f t="shared" si="8"/>
        <v>0</v>
      </c>
      <c r="AD22" s="2">
        <f t="shared" si="8"/>
        <v>0</v>
      </c>
      <c r="AE22" s="2">
        <f t="shared" si="8"/>
        <v>0</v>
      </c>
      <c r="AF22" s="2">
        <f t="shared" si="8"/>
        <v>89920</v>
      </c>
      <c r="AG22" s="2">
        <f t="shared" si="8"/>
        <v>0</v>
      </c>
      <c r="AH22" s="2">
        <f t="shared" si="8"/>
        <v>219.85599999999999</v>
      </c>
      <c r="AI22" s="2">
        <f t="shared" si="8"/>
        <v>0</v>
      </c>
      <c r="AJ22" s="2">
        <f t="shared" si="8"/>
        <v>0</v>
      </c>
      <c r="AK22" s="2">
        <f t="shared" si="8"/>
        <v>58449</v>
      </c>
      <c r="AL22" s="2">
        <f t="shared" si="8"/>
        <v>35968</v>
      </c>
      <c r="AM22" s="2">
        <f t="shared" si="8"/>
        <v>0</v>
      </c>
      <c r="AN22" s="2">
        <f t="shared" si="8"/>
        <v>0</v>
      </c>
      <c r="AO22" s="2">
        <f t="shared" si="8"/>
        <v>0</v>
      </c>
      <c r="AP22" s="2">
        <f t="shared" si="8"/>
        <v>0</v>
      </c>
      <c r="AQ22" s="2">
        <f t="shared" si="8"/>
        <v>0</v>
      </c>
      <c r="AR22" s="2">
        <f t="shared" si="8"/>
        <v>184337</v>
      </c>
      <c r="AS22" s="2">
        <f t="shared" si="8"/>
        <v>0</v>
      </c>
      <c r="AT22" s="2">
        <f t="shared" si="8"/>
        <v>0</v>
      </c>
      <c r="AU22" s="2">
        <f t="shared" ref="AU22:BZ22" si="9">AU29</f>
        <v>184337</v>
      </c>
      <c r="AV22" s="2">
        <f t="shared" si="9"/>
        <v>0</v>
      </c>
      <c r="AW22" s="2">
        <f t="shared" si="9"/>
        <v>0</v>
      </c>
      <c r="AX22" s="2">
        <f t="shared" si="9"/>
        <v>0</v>
      </c>
      <c r="AY22" s="2">
        <f t="shared" si="9"/>
        <v>0</v>
      </c>
      <c r="AZ22" s="2">
        <f t="shared" si="9"/>
        <v>0</v>
      </c>
      <c r="BA22" s="2">
        <f t="shared" si="9"/>
        <v>0</v>
      </c>
      <c r="BB22" s="2">
        <f t="shared" si="9"/>
        <v>0</v>
      </c>
      <c r="BC22" s="2">
        <f t="shared" si="9"/>
        <v>0</v>
      </c>
      <c r="BD22" s="2">
        <f t="shared" si="9"/>
        <v>0</v>
      </c>
      <c r="BE22" s="2">
        <f t="shared" si="9"/>
        <v>0</v>
      </c>
      <c r="BF22" s="2">
        <f t="shared" si="9"/>
        <v>0</v>
      </c>
      <c r="BG22" s="2">
        <f t="shared" si="9"/>
        <v>0</v>
      </c>
      <c r="BH22" s="2">
        <f t="shared" si="9"/>
        <v>0</v>
      </c>
      <c r="BI22" s="2">
        <f t="shared" si="9"/>
        <v>0</v>
      </c>
      <c r="BJ22" s="2">
        <f t="shared" si="9"/>
        <v>0</v>
      </c>
      <c r="BK22" s="2">
        <f t="shared" si="9"/>
        <v>0</v>
      </c>
      <c r="BL22" s="2">
        <f t="shared" si="9"/>
        <v>0</v>
      </c>
      <c r="BM22" s="2">
        <f t="shared" si="9"/>
        <v>0</v>
      </c>
      <c r="BN22" s="2">
        <f t="shared" si="9"/>
        <v>0</v>
      </c>
      <c r="BO22" s="2">
        <f t="shared" si="9"/>
        <v>0</v>
      </c>
      <c r="BP22" s="2">
        <f t="shared" si="9"/>
        <v>0</v>
      </c>
      <c r="BQ22" s="2">
        <f t="shared" si="9"/>
        <v>0</v>
      </c>
      <c r="BR22" s="2">
        <f t="shared" si="9"/>
        <v>0</v>
      </c>
      <c r="BS22" s="2">
        <f t="shared" si="9"/>
        <v>0</v>
      </c>
      <c r="BT22" s="2">
        <f t="shared" si="9"/>
        <v>0</v>
      </c>
      <c r="BU22" s="2">
        <f t="shared" si="9"/>
        <v>0</v>
      </c>
      <c r="BV22" s="2">
        <f t="shared" si="9"/>
        <v>0</v>
      </c>
      <c r="BW22" s="2">
        <f t="shared" si="9"/>
        <v>0</v>
      </c>
      <c r="BX22" s="2">
        <f t="shared" si="9"/>
        <v>0</v>
      </c>
      <c r="BY22" s="2">
        <f t="shared" si="9"/>
        <v>0</v>
      </c>
      <c r="BZ22" s="2">
        <f t="shared" si="9"/>
        <v>0</v>
      </c>
      <c r="CA22" s="2">
        <f t="shared" ref="CA22:DF22" si="10">CA29</f>
        <v>184337</v>
      </c>
      <c r="CB22" s="2">
        <f t="shared" si="10"/>
        <v>0</v>
      </c>
      <c r="CC22" s="2">
        <f t="shared" si="10"/>
        <v>0</v>
      </c>
      <c r="CD22" s="2">
        <f t="shared" si="10"/>
        <v>184337</v>
      </c>
      <c r="CE22" s="2">
        <f t="shared" si="10"/>
        <v>0</v>
      </c>
      <c r="CF22" s="2">
        <f t="shared" si="10"/>
        <v>0</v>
      </c>
      <c r="CG22" s="2">
        <f t="shared" si="10"/>
        <v>0</v>
      </c>
      <c r="CH22" s="2">
        <f t="shared" si="10"/>
        <v>0</v>
      </c>
      <c r="CI22" s="2">
        <f t="shared" si="10"/>
        <v>0</v>
      </c>
      <c r="CJ22" s="2">
        <f t="shared" si="10"/>
        <v>0</v>
      </c>
      <c r="CK22" s="2">
        <f t="shared" si="10"/>
        <v>0</v>
      </c>
      <c r="CL22" s="2">
        <f t="shared" si="10"/>
        <v>0</v>
      </c>
      <c r="CM22" s="2">
        <f t="shared" si="10"/>
        <v>0</v>
      </c>
      <c r="CN22" s="2">
        <f t="shared" si="10"/>
        <v>0</v>
      </c>
      <c r="CO22" s="2">
        <f t="shared" si="10"/>
        <v>0</v>
      </c>
      <c r="CP22" s="2">
        <f t="shared" si="10"/>
        <v>0</v>
      </c>
      <c r="CQ22" s="2">
        <f t="shared" si="10"/>
        <v>0</v>
      </c>
      <c r="CR22" s="2">
        <f t="shared" si="10"/>
        <v>0</v>
      </c>
      <c r="CS22" s="2">
        <f t="shared" si="10"/>
        <v>0</v>
      </c>
      <c r="CT22" s="2">
        <f t="shared" si="10"/>
        <v>0</v>
      </c>
      <c r="CU22" s="2">
        <f t="shared" si="10"/>
        <v>0</v>
      </c>
      <c r="CV22" s="2">
        <f t="shared" si="10"/>
        <v>0</v>
      </c>
      <c r="CW22" s="2">
        <f t="shared" si="10"/>
        <v>0</v>
      </c>
      <c r="CX22" s="2">
        <f t="shared" si="10"/>
        <v>0</v>
      </c>
      <c r="CY22" s="2">
        <f t="shared" si="10"/>
        <v>0</v>
      </c>
      <c r="CZ22" s="2">
        <f t="shared" si="10"/>
        <v>0</v>
      </c>
      <c r="DA22" s="2">
        <f t="shared" si="10"/>
        <v>0</v>
      </c>
      <c r="DB22" s="2">
        <f t="shared" si="10"/>
        <v>0</v>
      </c>
      <c r="DC22" s="2">
        <f t="shared" si="10"/>
        <v>0</v>
      </c>
      <c r="DD22" s="2">
        <f t="shared" si="10"/>
        <v>0</v>
      </c>
      <c r="DE22" s="2">
        <f t="shared" si="10"/>
        <v>0</v>
      </c>
      <c r="DF22" s="2">
        <f t="shared" si="10"/>
        <v>0</v>
      </c>
      <c r="DG22" s="3">
        <f t="shared" ref="DG22:EL22" si="11">DG29</f>
        <v>0</v>
      </c>
      <c r="DH22" s="3">
        <f t="shared" si="11"/>
        <v>0</v>
      </c>
      <c r="DI22" s="3">
        <f t="shared" si="11"/>
        <v>0</v>
      </c>
      <c r="DJ22" s="3">
        <f t="shared" si="11"/>
        <v>0</v>
      </c>
      <c r="DK22" s="3">
        <f t="shared" si="11"/>
        <v>0</v>
      </c>
      <c r="DL22" s="3">
        <f t="shared" si="11"/>
        <v>0</v>
      </c>
      <c r="DM22" s="3">
        <f t="shared" si="11"/>
        <v>0</v>
      </c>
      <c r="DN22" s="3">
        <f t="shared" si="11"/>
        <v>0</v>
      </c>
      <c r="DO22" s="3">
        <f t="shared" si="11"/>
        <v>0</v>
      </c>
      <c r="DP22" s="3">
        <f t="shared" si="11"/>
        <v>0</v>
      </c>
      <c r="DQ22" s="3">
        <f t="shared" si="11"/>
        <v>0</v>
      </c>
      <c r="DR22" s="3">
        <f t="shared" si="11"/>
        <v>0</v>
      </c>
      <c r="DS22" s="3">
        <f t="shared" si="11"/>
        <v>0</v>
      </c>
      <c r="DT22" s="3">
        <f t="shared" si="11"/>
        <v>0</v>
      </c>
      <c r="DU22" s="3">
        <f t="shared" si="11"/>
        <v>0</v>
      </c>
      <c r="DV22" s="3">
        <f t="shared" si="11"/>
        <v>0</v>
      </c>
      <c r="DW22" s="3">
        <f t="shared" si="11"/>
        <v>0</v>
      </c>
      <c r="DX22" s="3">
        <f t="shared" si="11"/>
        <v>0</v>
      </c>
      <c r="DY22" s="3">
        <f t="shared" si="11"/>
        <v>0</v>
      </c>
      <c r="DZ22" s="3">
        <f t="shared" si="11"/>
        <v>0</v>
      </c>
      <c r="EA22" s="3">
        <f t="shared" si="11"/>
        <v>0</v>
      </c>
      <c r="EB22" s="3">
        <f t="shared" si="11"/>
        <v>0</v>
      </c>
      <c r="EC22" s="3">
        <f t="shared" si="11"/>
        <v>0</v>
      </c>
      <c r="ED22" s="3">
        <f t="shared" si="11"/>
        <v>0</v>
      </c>
      <c r="EE22" s="3">
        <f t="shared" si="11"/>
        <v>0</v>
      </c>
      <c r="EF22" s="3">
        <f t="shared" si="11"/>
        <v>0</v>
      </c>
      <c r="EG22" s="3">
        <f t="shared" si="11"/>
        <v>0</v>
      </c>
      <c r="EH22" s="3">
        <f t="shared" si="11"/>
        <v>0</v>
      </c>
      <c r="EI22" s="3">
        <f t="shared" si="11"/>
        <v>0</v>
      </c>
      <c r="EJ22" s="3">
        <f t="shared" si="11"/>
        <v>0</v>
      </c>
      <c r="EK22" s="3">
        <f t="shared" si="11"/>
        <v>0</v>
      </c>
      <c r="EL22" s="3">
        <f t="shared" si="11"/>
        <v>0</v>
      </c>
      <c r="EM22" s="3">
        <f t="shared" ref="EM22:FR22" si="12">EM29</f>
        <v>0</v>
      </c>
      <c r="EN22" s="3">
        <f t="shared" si="12"/>
        <v>0</v>
      </c>
      <c r="EO22" s="3">
        <f t="shared" si="12"/>
        <v>0</v>
      </c>
      <c r="EP22" s="3">
        <f t="shared" si="12"/>
        <v>0</v>
      </c>
      <c r="EQ22" s="3">
        <f t="shared" si="12"/>
        <v>0</v>
      </c>
      <c r="ER22" s="3">
        <f t="shared" si="12"/>
        <v>0</v>
      </c>
      <c r="ES22" s="3">
        <f t="shared" si="12"/>
        <v>0</v>
      </c>
      <c r="ET22" s="3">
        <f t="shared" si="12"/>
        <v>0</v>
      </c>
      <c r="EU22" s="3">
        <f t="shared" si="12"/>
        <v>0</v>
      </c>
      <c r="EV22" s="3">
        <f t="shared" si="12"/>
        <v>0</v>
      </c>
      <c r="EW22" s="3">
        <f t="shared" si="12"/>
        <v>0</v>
      </c>
      <c r="EX22" s="3">
        <f t="shared" si="12"/>
        <v>0</v>
      </c>
      <c r="EY22" s="3">
        <f t="shared" si="12"/>
        <v>0</v>
      </c>
      <c r="EZ22" s="3">
        <f t="shared" si="12"/>
        <v>0</v>
      </c>
      <c r="FA22" s="3">
        <f t="shared" si="12"/>
        <v>0</v>
      </c>
      <c r="FB22" s="3">
        <f t="shared" si="12"/>
        <v>0</v>
      </c>
      <c r="FC22" s="3">
        <f t="shared" si="12"/>
        <v>0</v>
      </c>
      <c r="FD22" s="3">
        <f t="shared" si="12"/>
        <v>0</v>
      </c>
      <c r="FE22" s="3">
        <f t="shared" si="12"/>
        <v>0</v>
      </c>
      <c r="FF22" s="3">
        <f t="shared" si="12"/>
        <v>0</v>
      </c>
      <c r="FG22" s="3">
        <f t="shared" si="12"/>
        <v>0</v>
      </c>
      <c r="FH22" s="3">
        <f t="shared" si="12"/>
        <v>0</v>
      </c>
      <c r="FI22" s="3">
        <f t="shared" si="12"/>
        <v>0</v>
      </c>
      <c r="FJ22" s="3">
        <f t="shared" si="12"/>
        <v>0</v>
      </c>
      <c r="FK22" s="3">
        <f t="shared" si="12"/>
        <v>0</v>
      </c>
      <c r="FL22" s="3">
        <f t="shared" si="12"/>
        <v>0</v>
      </c>
      <c r="FM22" s="3">
        <f t="shared" si="12"/>
        <v>0</v>
      </c>
      <c r="FN22" s="3">
        <f t="shared" si="12"/>
        <v>0</v>
      </c>
      <c r="FO22" s="3">
        <f t="shared" si="12"/>
        <v>0</v>
      </c>
      <c r="FP22" s="3">
        <f t="shared" si="12"/>
        <v>0</v>
      </c>
      <c r="FQ22" s="3">
        <f t="shared" si="12"/>
        <v>0</v>
      </c>
      <c r="FR22" s="3">
        <f t="shared" si="12"/>
        <v>0</v>
      </c>
      <c r="FS22" s="3">
        <f t="shared" ref="FS22:GX22" si="13">FS29</f>
        <v>0</v>
      </c>
      <c r="FT22" s="3">
        <f t="shared" si="13"/>
        <v>0</v>
      </c>
      <c r="FU22" s="3">
        <f t="shared" si="13"/>
        <v>0</v>
      </c>
      <c r="FV22" s="3">
        <f t="shared" si="13"/>
        <v>0</v>
      </c>
      <c r="FW22" s="3">
        <f t="shared" si="13"/>
        <v>0</v>
      </c>
      <c r="FX22" s="3">
        <f t="shared" si="13"/>
        <v>0</v>
      </c>
      <c r="FY22" s="3">
        <f t="shared" si="13"/>
        <v>0</v>
      </c>
      <c r="FZ22" s="3">
        <f t="shared" si="13"/>
        <v>0</v>
      </c>
      <c r="GA22" s="3">
        <f t="shared" si="13"/>
        <v>0</v>
      </c>
      <c r="GB22" s="3">
        <f t="shared" si="13"/>
        <v>0</v>
      </c>
      <c r="GC22" s="3">
        <f t="shared" si="13"/>
        <v>0</v>
      </c>
      <c r="GD22" s="3">
        <f t="shared" si="13"/>
        <v>0</v>
      </c>
      <c r="GE22" s="3">
        <f t="shared" si="13"/>
        <v>0</v>
      </c>
      <c r="GF22" s="3">
        <f t="shared" si="13"/>
        <v>0</v>
      </c>
      <c r="GG22" s="3">
        <f t="shared" si="13"/>
        <v>0</v>
      </c>
      <c r="GH22" s="3">
        <f t="shared" si="13"/>
        <v>0</v>
      </c>
      <c r="GI22" s="3">
        <f t="shared" si="13"/>
        <v>0</v>
      </c>
      <c r="GJ22" s="3">
        <f t="shared" si="13"/>
        <v>0</v>
      </c>
      <c r="GK22" s="3">
        <f t="shared" si="13"/>
        <v>0</v>
      </c>
      <c r="GL22" s="3">
        <f t="shared" si="13"/>
        <v>0</v>
      </c>
      <c r="GM22" s="3">
        <f t="shared" si="13"/>
        <v>0</v>
      </c>
      <c r="GN22" s="3">
        <f t="shared" si="13"/>
        <v>0</v>
      </c>
      <c r="GO22" s="3">
        <f t="shared" si="13"/>
        <v>0</v>
      </c>
      <c r="GP22" s="3">
        <f t="shared" si="13"/>
        <v>0</v>
      </c>
      <c r="GQ22" s="3">
        <f t="shared" si="13"/>
        <v>0</v>
      </c>
      <c r="GR22" s="3">
        <f t="shared" si="13"/>
        <v>0</v>
      </c>
      <c r="GS22" s="3">
        <f t="shared" si="13"/>
        <v>0</v>
      </c>
      <c r="GT22" s="3">
        <f t="shared" si="13"/>
        <v>0</v>
      </c>
      <c r="GU22" s="3">
        <f t="shared" si="13"/>
        <v>0</v>
      </c>
      <c r="GV22" s="3">
        <f t="shared" si="13"/>
        <v>0</v>
      </c>
      <c r="GW22" s="3">
        <f t="shared" si="13"/>
        <v>0</v>
      </c>
      <c r="GX22" s="3">
        <f t="shared" si="13"/>
        <v>0</v>
      </c>
    </row>
    <row r="24" spans="1:245" x14ac:dyDescent="0.2">
      <c r="A24">
        <v>17</v>
      </c>
      <c r="B24">
        <v>1</v>
      </c>
      <c r="C24">
        <f>ROW(SmtRes!A2)</f>
        <v>2</v>
      </c>
      <c r="D24">
        <f>ROW(EtalonRes!A2)</f>
        <v>2</v>
      </c>
      <c r="E24" t="s">
        <v>4</v>
      </c>
      <c r="F24" t="s">
        <v>14</v>
      </c>
      <c r="G24" t="s">
        <v>15</v>
      </c>
      <c r="H24" t="s">
        <v>16</v>
      </c>
      <c r="I24">
        <f>ROUND(160/100,9)</f>
        <v>1.6</v>
      </c>
      <c r="J24">
        <v>0</v>
      </c>
      <c r="O24">
        <f>ROUND(CP24,0)</f>
        <v>8481</v>
      </c>
      <c r="P24">
        <f>ROUND(CQ24*I24,0)</f>
        <v>0</v>
      </c>
      <c r="Q24">
        <f>ROUND(CR24*I24,0)</f>
        <v>0</v>
      </c>
      <c r="R24">
        <f>ROUND(CS24*I24,0)</f>
        <v>0</v>
      </c>
      <c r="S24">
        <f>ROUND(CT24*I24,0)</f>
        <v>8481</v>
      </c>
      <c r="T24">
        <f>ROUND(CU24*I24,0)</f>
        <v>0</v>
      </c>
      <c r="U24">
        <f>CV24*I24</f>
        <v>20.736000000000004</v>
      </c>
      <c r="V24">
        <f>CW24*I24</f>
        <v>0</v>
      </c>
      <c r="W24">
        <f>ROUND(CX24*I24,0)</f>
        <v>0</v>
      </c>
      <c r="X24">
        <f t="shared" ref="X24:Y27" si="14">ROUND(CY24,0)</f>
        <v>5513</v>
      </c>
      <c r="Y24">
        <f t="shared" si="14"/>
        <v>3392</v>
      </c>
      <c r="AA24">
        <v>52122056</v>
      </c>
      <c r="AB24">
        <f>ROUND((AC24+AD24+AF24),2)</f>
        <v>165.95</v>
      </c>
      <c r="AC24">
        <f>ROUND((ES24),2)</f>
        <v>0</v>
      </c>
      <c r="AD24">
        <f>ROUND((((ET24)-(EU24))+AE24),2)</f>
        <v>0</v>
      </c>
      <c r="AE24">
        <f t="shared" ref="AE24:AF27" si="15">ROUND((EU24),2)</f>
        <v>0</v>
      </c>
      <c r="AF24">
        <f t="shared" si="15"/>
        <v>165.95</v>
      </c>
      <c r="AG24">
        <f>ROUND((AP24),2)</f>
        <v>0</v>
      </c>
      <c r="AH24">
        <f t="shared" ref="AH24:AI27" si="16">(EW24)</f>
        <v>12.96</v>
      </c>
      <c r="AI24">
        <f t="shared" si="16"/>
        <v>0</v>
      </c>
      <c r="AJ24">
        <f>(AS24)</f>
        <v>0</v>
      </c>
      <c r="AK24">
        <v>165.95</v>
      </c>
      <c r="AL24">
        <v>0</v>
      </c>
      <c r="AM24">
        <v>0</v>
      </c>
      <c r="AN24">
        <v>0</v>
      </c>
      <c r="AO24">
        <v>165.95</v>
      </c>
      <c r="AP24">
        <v>0</v>
      </c>
      <c r="AQ24">
        <v>12.96</v>
      </c>
      <c r="AR24">
        <v>0</v>
      </c>
      <c r="AS24">
        <v>0</v>
      </c>
      <c r="AT24">
        <v>65</v>
      </c>
      <c r="AU24">
        <v>40</v>
      </c>
      <c r="AV24">
        <v>1</v>
      </c>
      <c r="AW24">
        <v>1</v>
      </c>
      <c r="AZ24">
        <v>1</v>
      </c>
      <c r="BA24">
        <v>31.94</v>
      </c>
      <c r="BB24">
        <v>1</v>
      </c>
      <c r="BC24">
        <v>1</v>
      </c>
      <c r="BD24" t="s">
        <v>3</v>
      </c>
      <c r="BE24" t="s">
        <v>3</v>
      </c>
      <c r="BF24" t="s">
        <v>3</v>
      </c>
      <c r="BG24" t="s">
        <v>3</v>
      </c>
      <c r="BH24">
        <v>0</v>
      </c>
      <c r="BI24">
        <v>4</v>
      </c>
      <c r="BJ24" t="s">
        <v>17</v>
      </c>
      <c r="BM24">
        <v>200001</v>
      </c>
      <c r="BN24">
        <v>0</v>
      </c>
      <c r="BO24" t="s">
        <v>3</v>
      </c>
      <c r="BP24">
        <v>0</v>
      </c>
      <c r="BQ24">
        <v>4</v>
      </c>
      <c r="BR24">
        <v>0</v>
      </c>
      <c r="BS24">
        <v>1</v>
      </c>
      <c r="BT24">
        <v>1</v>
      </c>
      <c r="BU24">
        <v>1</v>
      </c>
      <c r="BV24">
        <v>1</v>
      </c>
      <c r="BW24">
        <v>1</v>
      </c>
      <c r="BX24">
        <v>1</v>
      </c>
      <c r="BY24" t="s">
        <v>3</v>
      </c>
      <c r="BZ24">
        <v>65</v>
      </c>
      <c r="CA24">
        <v>40</v>
      </c>
      <c r="CE24">
        <v>0</v>
      </c>
      <c r="CF24">
        <v>0</v>
      </c>
      <c r="CG24">
        <v>0</v>
      </c>
      <c r="CM24">
        <v>0</v>
      </c>
      <c r="CN24" t="s">
        <v>3</v>
      </c>
      <c r="CO24">
        <v>0</v>
      </c>
      <c r="CP24">
        <f>(P24+Q24+S24)</f>
        <v>8481</v>
      </c>
      <c r="CQ24">
        <f>AC24*BC24</f>
        <v>0</v>
      </c>
      <c r="CR24">
        <f>AD24*BB24</f>
        <v>0</v>
      </c>
      <c r="CS24">
        <f>AE24*BS24</f>
        <v>0</v>
      </c>
      <c r="CT24">
        <f>AF24*BA24</f>
        <v>5300.4430000000002</v>
      </c>
      <c r="CU24">
        <f t="shared" ref="CU24:CX27" si="17">AG24</f>
        <v>0</v>
      </c>
      <c r="CV24">
        <f t="shared" si="17"/>
        <v>12.96</v>
      </c>
      <c r="CW24">
        <f t="shared" si="17"/>
        <v>0</v>
      </c>
      <c r="CX24">
        <f t="shared" si="17"/>
        <v>0</v>
      </c>
      <c r="CY24">
        <f>(((S24+R24)*AT24)/100)</f>
        <v>5512.65</v>
      </c>
      <c r="CZ24">
        <f>(((S24+R24)*AU24)/100)</f>
        <v>3392.4</v>
      </c>
      <c r="DC24" t="s">
        <v>3</v>
      </c>
      <c r="DD24" t="s">
        <v>3</v>
      </c>
      <c r="DE24" t="s">
        <v>3</v>
      </c>
      <c r="DF24" t="s">
        <v>3</v>
      </c>
      <c r="DG24" t="s">
        <v>3</v>
      </c>
      <c r="DH24" t="s">
        <v>3</v>
      </c>
      <c r="DI24" t="s">
        <v>3</v>
      </c>
      <c r="DJ24" t="s">
        <v>3</v>
      </c>
      <c r="DK24" t="s">
        <v>3</v>
      </c>
      <c r="DL24" t="s">
        <v>3</v>
      </c>
      <c r="DM24" t="s">
        <v>3</v>
      </c>
      <c r="DN24">
        <v>0</v>
      </c>
      <c r="DO24">
        <v>0</v>
      </c>
      <c r="DP24">
        <v>1</v>
      </c>
      <c r="DQ24">
        <v>1</v>
      </c>
      <c r="DU24">
        <v>1013</v>
      </c>
      <c r="DV24" t="s">
        <v>16</v>
      </c>
      <c r="DW24" t="s">
        <v>16</v>
      </c>
      <c r="DX24">
        <v>1</v>
      </c>
      <c r="EE24">
        <v>52007412</v>
      </c>
      <c r="EF24">
        <v>4</v>
      </c>
      <c r="EG24" t="s">
        <v>18</v>
      </c>
      <c r="EH24">
        <v>0</v>
      </c>
      <c r="EI24" t="s">
        <v>3</v>
      </c>
      <c r="EJ24">
        <v>4</v>
      </c>
      <c r="EK24">
        <v>200001</v>
      </c>
      <c r="EL24" t="s">
        <v>19</v>
      </c>
      <c r="EM24" t="s">
        <v>20</v>
      </c>
      <c r="EO24" t="s">
        <v>3</v>
      </c>
      <c r="EQ24">
        <v>0</v>
      </c>
      <c r="ER24">
        <v>165.95</v>
      </c>
      <c r="ES24">
        <v>0</v>
      </c>
      <c r="ET24">
        <v>0</v>
      </c>
      <c r="EU24">
        <v>0</v>
      </c>
      <c r="EV24">
        <v>165.95</v>
      </c>
      <c r="EW24">
        <v>12.96</v>
      </c>
      <c r="EX24">
        <v>0</v>
      </c>
      <c r="EY24">
        <v>0</v>
      </c>
      <c r="FQ24">
        <v>0</v>
      </c>
      <c r="FR24">
        <f>ROUND(IF(AND(BH24=3,BI24=3),P24,0),0)</f>
        <v>0</v>
      </c>
      <c r="FS24">
        <v>0</v>
      </c>
      <c r="FX24">
        <v>65</v>
      </c>
      <c r="FY24">
        <v>40</v>
      </c>
      <c r="GA24" t="s">
        <v>3</v>
      </c>
      <c r="GD24">
        <v>1</v>
      </c>
      <c r="GF24">
        <v>-500447206</v>
      </c>
      <c r="GG24">
        <v>2</v>
      </c>
      <c r="GH24">
        <v>1</v>
      </c>
      <c r="GI24">
        <v>2</v>
      </c>
      <c r="GJ24">
        <v>0</v>
      </c>
      <c r="GK24">
        <v>0</v>
      </c>
      <c r="GL24">
        <f>ROUND(IF(AND(BH24=3,BI24=3,FS24&lt;&gt;0),P24,0),0)</f>
        <v>0</v>
      </c>
      <c r="GM24">
        <f>ROUND(O24+X24+Y24,0)+GX24</f>
        <v>17386</v>
      </c>
      <c r="GN24">
        <f>IF(OR(BI24=0,BI24=1),ROUND(O24+X24+Y24,0),0)</f>
        <v>0</v>
      </c>
      <c r="GO24">
        <f>IF(BI24=2,ROUND(O24+X24+Y24,0),0)</f>
        <v>0</v>
      </c>
      <c r="GP24">
        <f>IF(BI24=4,ROUND(O24+X24+Y24,0)+GX24,0)</f>
        <v>17386</v>
      </c>
      <c r="GR24">
        <v>0</v>
      </c>
      <c r="GS24">
        <v>3</v>
      </c>
      <c r="GT24">
        <v>0</v>
      </c>
      <c r="GU24" t="s">
        <v>3</v>
      </c>
      <c r="GV24">
        <f>ROUND((GT24),2)</f>
        <v>0</v>
      </c>
      <c r="GW24">
        <v>1</v>
      </c>
      <c r="GX24">
        <f>ROUND(HC24*I24,0)</f>
        <v>0</v>
      </c>
      <c r="HA24">
        <v>0</v>
      </c>
      <c r="HB24">
        <v>0</v>
      </c>
      <c r="HC24">
        <f>GV24*GW24</f>
        <v>0</v>
      </c>
      <c r="HE24" t="s">
        <v>3</v>
      </c>
      <c r="HF24" t="s">
        <v>3</v>
      </c>
      <c r="IK24">
        <v>0</v>
      </c>
    </row>
    <row r="25" spans="1:245" x14ac:dyDescent="0.2">
      <c r="A25">
        <v>17</v>
      </c>
      <c r="B25">
        <v>1</v>
      </c>
      <c r="C25">
        <f>ROW(SmtRes!A4)</f>
        <v>4</v>
      </c>
      <c r="D25">
        <f>ROW(EtalonRes!A4)</f>
        <v>4</v>
      </c>
      <c r="E25" t="s">
        <v>21</v>
      </c>
      <c r="F25" t="s">
        <v>22</v>
      </c>
      <c r="G25" t="s">
        <v>23</v>
      </c>
      <c r="H25" t="s">
        <v>24</v>
      </c>
      <c r="I25">
        <v>119</v>
      </c>
      <c r="J25">
        <v>0</v>
      </c>
      <c r="O25">
        <f>ROUND(CP25,0)</f>
        <v>15584</v>
      </c>
      <c r="P25">
        <f>ROUND(CQ25*I25,0)</f>
        <v>0</v>
      </c>
      <c r="Q25">
        <f>ROUND(CR25*I25,0)</f>
        <v>0</v>
      </c>
      <c r="R25">
        <f>ROUND(CS25*I25,0)</f>
        <v>0</v>
      </c>
      <c r="S25">
        <f>ROUND(CT25*I25,0)</f>
        <v>15584</v>
      </c>
      <c r="T25">
        <f>ROUND(CU25*I25,0)</f>
        <v>0</v>
      </c>
      <c r="U25">
        <f>CV25*I25</f>
        <v>38.08</v>
      </c>
      <c r="V25">
        <f>CW25*I25</f>
        <v>0</v>
      </c>
      <c r="W25">
        <f>ROUND(CX25*I25,0)</f>
        <v>0</v>
      </c>
      <c r="X25">
        <f t="shared" si="14"/>
        <v>10130</v>
      </c>
      <c r="Y25">
        <f t="shared" si="14"/>
        <v>6234</v>
      </c>
      <c r="AA25">
        <v>52122056</v>
      </c>
      <c r="AB25">
        <f>ROUND((AC25+AD25+AF25),2)</f>
        <v>4.0999999999999996</v>
      </c>
      <c r="AC25">
        <f>ROUND((ES25),2)</f>
        <v>0</v>
      </c>
      <c r="AD25">
        <f>ROUND((((ET25)-(EU25))+AE25),2)</f>
        <v>0</v>
      </c>
      <c r="AE25">
        <f t="shared" si="15"/>
        <v>0</v>
      </c>
      <c r="AF25">
        <f t="shared" si="15"/>
        <v>4.0999999999999996</v>
      </c>
      <c r="AG25">
        <f>ROUND((AP25),2)</f>
        <v>0</v>
      </c>
      <c r="AH25">
        <f t="shared" si="16"/>
        <v>0.32</v>
      </c>
      <c r="AI25">
        <f t="shared" si="16"/>
        <v>0</v>
      </c>
      <c r="AJ25">
        <f>(AS25)</f>
        <v>0</v>
      </c>
      <c r="AK25">
        <v>4.0999999999999996</v>
      </c>
      <c r="AL25">
        <v>0</v>
      </c>
      <c r="AM25">
        <v>0</v>
      </c>
      <c r="AN25">
        <v>0</v>
      </c>
      <c r="AO25">
        <v>4.0999999999999996</v>
      </c>
      <c r="AP25">
        <v>0</v>
      </c>
      <c r="AQ25">
        <v>0.32</v>
      </c>
      <c r="AR25">
        <v>0</v>
      </c>
      <c r="AS25">
        <v>0</v>
      </c>
      <c r="AT25">
        <v>65</v>
      </c>
      <c r="AU25">
        <v>40</v>
      </c>
      <c r="AV25">
        <v>1</v>
      </c>
      <c r="AW25">
        <v>1</v>
      </c>
      <c r="AZ25">
        <v>1</v>
      </c>
      <c r="BA25">
        <v>31.94</v>
      </c>
      <c r="BB25">
        <v>1</v>
      </c>
      <c r="BC25">
        <v>1</v>
      </c>
      <c r="BD25" t="s">
        <v>3</v>
      </c>
      <c r="BE25" t="s">
        <v>3</v>
      </c>
      <c r="BF25" t="s">
        <v>3</v>
      </c>
      <c r="BG25" t="s">
        <v>3</v>
      </c>
      <c r="BH25">
        <v>0</v>
      </c>
      <c r="BI25">
        <v>4</v>
      </c>
      <c r="BJ25" t="s">
        <v>25</v>
      </c>
      <c r="BM25">
        <v>200001</v>
      </c>
      <c r="BN25">
        <v>0</v>
      </c>
      <c r="BO25" t="s">
        <v>3</v>
      </c>
      <c r="BP25">
        <v>0</v>
      </c>
      <c r="BQ25">
        <v>4</v>
      </c>
      <c r="BR25">
        <v>0</v>
      </c>
      <c r="BS25">
        <v>1</v>
      </c>
      <c r="BT25">
        <v>1</v>
      </c>
      <c r="BU25">
        <v>1</v>
      </c>
      <c r="BV25">
        <v>1</v>
      </c>
      <c r="BW25">
        <v>1</v>
      </c>
      <c r="BX25">
        <v>1</v>
      </c>
      <c r="BY25" t="s">
        <v>3</v>
      </c>
      <c r="BZ25">
        <v>65</v>
      </c>
      <c r="CA25">
        <v>40</v>
      </c>
      <c r="CE25">
        <v>0</v>
      </c>
      <c r="CF25">
        <v>0</v>
      </c>
      <c r="CG25">
        <v>0</v>
      </c>
      <c r="CM25">
        <v>0</v>
      </c>
      <c r="CN25" t="s">
        <v>3</v>
      </c>
      <c r="CO25">
        <v>0</v>
      </c>
      <c r="CP25">
        <f>(P25+Q25+S25)</f>
        <v>15584</v>
      </c>
      <c r="CQ25">
        <f>AC25*BC25</f>
        <v>0</v>
      </c>
      <c r="CR25">
        <f>AD25*BB25</f>
        <v>0</v>
      </c>
      <c r="CS25">
        <f>AE25*BS25</f>
        <v>0</v>
      </c>
      <c r="CT25">
        <f>AF25*BA25</f>
        <v>130.95400000000001</v>
      </c>
      <c r="CU25">
        <f t="shared" si="17"/>
        <v>0</v>
      </c>
      <c r="CV25">
        <f t="shared" si="17"/>
        <v>0.32</v>
      </c>
      <c r="CW25">
        <f t="shared" si="17"/>
        <v>0</v>
      </c>
      <c r="CX25">
        <f t="shared" si="17"/>
        <v>0</v>
      </c>
      <c r="CY25">
        <f>(((S25+R25)*AT25)/100)</f>
        <v>10129.6</v>
      </c>
      <c r="CZ25">
        <f>(((S25+R25)*AU25)/100)</f>
        <v>6233.6</v>
      </c>
      <c r="DC25" t="s">
        <v>3</v>
      </c>
      <c r="DD25" t="s">
        <v>3</v>
      </c>
      <c r="DE25" t="s">
        <v>3</v>
      </c>
      <c r="DF25" t="s">
        <v>3</v>
      </c>
      <c r="DG25" t="s">
        <v>3</v>
      </c>
      <c r="DH25" t="s">
        <v>3</v>
      </c>
      <c r="DI25" t="s">
        <v>3</v>
      </c>
      <c r="DJ25" t="s">
        <v>3</v>
      </c>
      <c r="DK25" t="s">
        <v>3</v>
      </c>
      <c r="DL25" t="s">
        <v>3</v>
      </c>
      <c r="DM25" t="s">
        <v>3</v>
      </c>
      <c r="DN25">
        <v>0</v>
      </c>
      <c r="DO25">
        <v>0</v>
      </c>
      <c r="DP25">
        <v>1</v>
      </c>
      <c r="DQ25">
        <v>1</v>
      </c>
      <c r="DU25">
        <v>1013</v>
      </c>
      <c r="DV25" t="s">
        <v>24</v>
      </c>
      <c r="DW25" t="s">
        <v>24</v>
      </c>
      <c r="DX25">
        <v>1</v>
      </c>
      <c r="EE25">
        <v>52007412</v>
      </c>
      <c r="EF25">
        <v>4</v>
      </c>
      <c r="EG25" t="s">
        <v>18</v>
      </c>
      <c r="EH25">
        <v>0</v>
      </c>
      <c r="EI25" t="s">
        <v>3</v>
      </c>
      <c r="EJ25">
        <v>4</v>
      </c>
      <c r="EK25">
        <v>200001</v>
      </c>
      <c r="EL25" t="s">
        <v>19</v>
      </c>
      <c r="EM25" t="s">
        <v>20</v>
      </c>
      <c r="EO25" t="s">
        <v>3</v>
      </c>
      <c r="EQ25">
        <v>0</v>
      </c>
      <c r="ER25">
        <v>4.0999999999999996</v>
      </c>
      <c r="ES25">
        <v>0</v>
      </c>
      <c r="ET25">
        <v>0</v>
      </c>
      <c r="EU25">
        <v>0</v>
      </c>
      <c r="EV25">
        <v>4.0999999999999996</v>
      </c>
      <c r="EW25">
        <v>0.32</v>
      </c>
      <c r="EX25">
        <v>0</v>
      </c>
      <c r="EY25">
        <v>0</v>
      </c>
      <c r="FQ25">
        <v>0</v>
      </c>
      <c r="FR25">
        <f>ROUND(IF(AND(BH25=3,BI25=3),P25,0),0)</f>
        <v>0</v>
      </c>
      <c r="FS25">
        <v>0</v>
      </c>
      <c r="FX25">
        <v>65</v>
      </c>
      <c r="FY25">
        <v>40</v>
      </c>
      <c r="GA25" t="s">
        <v>3</v>
      </c>
      <c r="GD25">
        <v>1</v>
      </c>
      <c r="GF25">
        <v>-6332525</v>
      </c>
      <c r="GG25">
        <v>2</v>
      </c>
      <c r="GH25">
        <v>1</v>
      </c>
      <c r="GI25">
        <v>2</v>
      </c>
      <c r="GJ25">
        <v>0</v>
      </c>
      <c r="GK25">
        <v>0</v>
      </c>
      <c r="GL25">
        <f>ROUND(IF(AND(BH25=3,BI25=3,FS25&lt;&gt;0),P25,0),0)</f>
        <v>0</v>
      </c>
      <c r="GM25">
        <f>ROUND(O25+X25+Y25,0)+GX25</f>
        <v>31948</v>
      </c>
      <c r="GN25">
        <f>IF(OR(BI25=0,BI25=1),ROUND(O25+X25+Y25,0),0)</f>
        <v>0</v>
      </c>
      <c r="GO25">
        <f>IF(BI25=2,ROUND(O25+X25+Y25,0),0)</f>
        <v>0</v>
      </c>
      <c r="GP25">
        <f>IF(BI25=4,ROUND(O25+X25+Y25,0)+GX25,0)</f>
        <v>31948</v>
      </c>
      <c r="GR25">
        <v>0</v>
      </c>
      <c r="GS25">
        <v>3</v>
      </c>
      <c r="GT25">
        <v>0</v>
      </c>
      <c r="GU25" t="s">
        <v>3</v>
      </c>
      <c r="GV25">
        <f>ROUND((GT25),2)</f>
        <v>0</v>
      </c>
      <c r="GW25">
        <v>1</v>
      </c>
      <c r="GX25">
        <f>ROUND(HC25*I25,0)</f>
        <v>0</v>
      </c>
      <c r="HA25">
        <v>0</v>
      </c>
      <c r="HB25">
        <v>0</v>
      </c>
      <c r="HC25">
        <f>GV25*GW25</f>
        <v>0</v>
      </c>
      <c r="HE25" t="s">
        <v>3</v>
      </c>
      <c r="HF25" t="s">
        <v>3</v>
      </c>
      <c r="IK25">
        <v>0</v>
      </c>
    </row>
    <row r="26" spans="1:245" x14ac:dyDescent="0.2">
      <c r="A26">
        <v>17</v>
      </c>
      <c r="B26">
        <v>1</v>
      </c>
      <c r="C26">
        <f>ROW(SmtRes!A6)</f>
        <v>6</v>
      </c>
      <c r="D26">
        <f>ROW(EtalonRes!A6)</f>
        <v>6</v>
      </c>
      <c r="E26" t="s">
        <v>26</v>
      </c>
      <c r="F26" t="s">
        <v>27</v>
      </c>
      <c r="G26" t="s">
        <v>28</v>
      </c>
      <c r="H26" t="s">
        <v>29</v>
      </c>
      <c r="I26">
        <v>119</v>
      </c>
      <c r="J26">
        <v>0</v>
      </c>
      <c r="O26">
        <f>ROUND(CP26,0)</f>
        <v>59369</v>
      </c>
      <c r="P26">
        <f>ROUND(CQ26*I26,0)</f>
        <v>0</v>
      </c>
      <c r="Q26">
        <f>ROUND(CR26*I26,0)</f>
        <v>0</v>
      </c>
      <c r="R26">
        <f>ROUND(CS26*I26,0)</f>
        <v>0</v>
      </c>
      <c r="S26">
        <f>ROUND(CT26*I26,0)</f>
        <v>59369</v>
      </c>
      <c r="T26">
        <f>ROUND(CU26*I26,0)</f>
        <v>0</v>
      </c>
      <c r="U26">
        <f>CV26*I26</f>
        <v>145.18</v>
      </c>
      <c r="V26">
        <f>CW26*I26</f>
        <v>0</v>
      </c>
      <c r="W26">
        <f>ROUND(CX26*I26,0)</f>
        <v>0</v>
      </c>
      <c r="X26">
        <f t="shared" si="14"/>
        <v>38590</v>
      </c>
      <c r="Y26">
        <f t="shared" si="14"/>
        <v>23748</v>
      </c>
      <c r="AA26">
        <v>52122056</v>
      </c>
      <c r="AB26">
        <f>ROUND((AC26+AD26+AF26),2)</f>
        <v>15.62</v>
      </c>
      <c r="AC26">
        <f>ROUND((ES26),2)</f>
        <v>0</v>
      </c>
      <c r="AD26">
        <f>ROUND((((ET26)-(EU26))+AE26),2)</f>
        <v>0</v>
      </c>
      <c r="AE26">
        <f t="shared" si="15"/>
        <v>0</v>
      </c>
      <c r="AF26">
        <f t="shared" si="15"/>
        <v>15.62</v>
      </c>
      <c r="AG26">
        <f>ROUND((AP26),2)</f>
        <v>0</v>
      </c>
      <c r="AH26">
        <f t="shared" si="16"/>
        <v>1.22</v>
      </c>
      <c r="AI26">
        <f t="shared" si="16"/>
        <v>0</v>
      </c>
      <c r="AJ26">
        <f>(AS26)</f>
        <v>0</v>
      </c>
      <c r="AK26">
        <v>15.62</v>
      </c>
      <c r="AL26">
        <v>0</v>
      </c>
      <c r="AM26">
        <v>0</v>
      </c>
      <c r="AN26">
        <v>0</v>
      </c>
      <c r="AO26">
        <v>15.62</v>
      </c>
      <c r="AP26">
        <v>0</v>
      </c>
      <c r="AQ26">
        <v>1.22</v>
      </c>
      <c r="AR26">
        <v>0</v>
      </c>
      <c r="AS26">
        <v>0</v>
      </c>
      <c r="AT26">
        <v>65</v>
      </c>
      <c r="AU26">
        <v>40</v>
      </c>
      <c r="AV26">
        <v>1</v>
      </c>
      <c r="AW26">
        <v>1</v>
      </c>
      <c r="AZ26">
        <v>1</v>
      </c>
      <c r="BA26">
        <v>31.94</v>
      </c>
      <c r="BB26">
        <v>1</v>
      </c>
      <c r="BC26">
        <v>1</v>
      </c>
      <c r="BD26" t="s">
        <v>3</v>
      </c>
      <c r="BE26" t="s">
        <v>3</v>
      </c>
      <c r="BF26" t="s">
        <v>3</v>
      </c>
      <c r="BG26" t="s">
        <v>3</v>
      </c>
      <c r="BH26">
        <v>0</v>
      </c>
      <c r="BI26">
        <v>4</v>
      </c>
      <c r="BJ26" t="s">
        <v>30</v>
      </c>
      <c r="BM26">
        <v>200001</v>
      </c>
      <c r="BN26">
        <v>0</v>
      </c>
      <c r="BO26" t="s">
        <v>3</v>
      </c>
      <c r="BP26">
        <v>0</v>
      </c>
      <c r="BQ26">
        <v>4</v>
      </c>
      <c r="BR26">
        <v>0</v>
      </c>
      <c r="BS26">
        <v>1</v>
      </c>
      <c r="BT26">
        <v>1</v>
      </c>
      <c r="BU26">
        <v>1</v>
      </c>
      <c r="BV26">
        <v>1</v>
      </c>
      <c r="BW26">
        <v>1</v>
      </c>
      <c r="BX26">
        <v>1</v>
      </c>
      <c r="BY26" t="s">
        <v>3</v>
      </c>
      <c r="BZ26">
        <v>65</v>
      </c>
      <c r="CA26">
        <v>40</v>
      </c>
      <c r="CE26">
        <v>0</v>
      </c>
      <c r="CF26">
        <v>0</v>
      </c>
      <c r="CG26">
        <v>0</v>
      </c>
      <c r="CM26">
        <v>0</v>
      </c>
      <c r="CN26" t="s">
        <v>3</v>
      </c>
      <c r="CO26">
        <v>0</v>
      </c>
      <c r="CP26">
        <f>(P26+Q26+S26)</f>
        <v>59369</v>
      </c>
      <c r="CQ26">
        <f>AC26*BC26</f>
        <v>0</v>
      </c>
      <c r="CR26">
        <f>AD26*BB26</f>
        <v>0</v>
      </c>
      <c r="CS26">
        <f>AE26*BS26</f>
        <v>0</v>
      </c>
      <c r="CT26">
        <f>AF26*BA26</f>
        <v>498.90280000000001</v>
      </c>
      <c r="CU26">
        <f t="shared" si="17"/>
        <v>0</v>
      </c>
      <c r="CV26">
        <f t="shared" si="17"/>
        <v>1.22</v>
      </c>
      <c r="CW26">
        <f t="shared" si="17"/>
        <v>0</v>
      </c>
      <c r="CX26">
        <f t="shared" si="17"/>
        <v>0</v>
      </c>
      <c r="CY26">
        <f>(((S26+R26)*AT26)/100)</f>
        <v>38589.85</v>
      </c>
      <c r="CZ26">
        <f>(((S26+R26)*AU26)/100)</f>
        <v>23747.599999999999</v>
      </c>
      <c r="DC26" t="s">
        <v>3</v>
      </c>
      <c r="DD26" t="s">
        <v>3</v>
      </c>
      <c r="DE26" t="s">
        <v>3</v>
      </c>
      <c r="DF26" t="s">
        <v>3</v>
      </c>
      <c r="DG26" t="s">
        <v>3</v>
      </c>
      <c r="DH26" t="s">
        <v>3</v>
      </c>
      <c r="DI26" t="s">
        <v>3</v>
      </c>
      <c r="DJ26" t="s">
        <v>3</v>
      </c>
      <c r="DK26" t="s">
        <v>3</v>
      </c>
      <c r="DL26" t="s">
        <v>3</v>
      </c>
      <c r="DM26" t="s">
        <v>3</v>
      </c>
      <c r="DN26">
        <v>0</v>
      </c>
      <c r="DO26">
        <v>0</v>
      </c>
      <c r="DP26">
        <v>1</v>
      </c>
      <c r="DQ26">
        <v>1</v>
      </c>
      <c r="DU26">
        <v>1013</v>
      </c>
      <c r="DV26" t="s">
        <v>29</v>
      </c>
      <c r="DW26" t="s">
        <v>29</v>
      </c>
      <c r="DX26">
        <v>1</v>
      </c>
      <c r="EE26">
        <v>52007412</v>
      </c>
      <c r="EF26">
        <v>4</v>
      </c>
      <c r="EG26" t="s">
        <v>18</v>
      </c>
      <c r="EH26">
        <v>0</v>
      </c>
      <c r="EI26" t="s">
        <v>3</v>
      </c>
      <c r="EJ26">
        <v>4</v>
      </c>
      <c r="EK26">
        <v>200001</v>
      </c>
      <c r="EL26" t="s">
        <v>19</v>
      </c>
      <c r="EM26" t="s">
        <v>20</v>
      </c>
      <c r="EO26" t="s">
        <v>3</v>
      </c>
      <c r="EQ26">
        <v>0</v>
      </c>
      <c r="ER26">
        <v>15.62</v>
      </c>
      <c r="ES26">
        <v>0</v>
      </c>
      <c r="ET26">
        <v>0</v>
      </c>
      <c r="EU26">
        <v>0</v>
      </c>
      <c r="EV26">
        <v>15.62</v>
      </c>
      <c r="EW26">
        <v>1.22</v>
      </c>
      <c r="EX26">
        <v>0</v>
      </c>
      <c r="EY26">
        <v>0</v>
      </c>
      <c r="FQ26">
        <v>0</v>
      </c>
      <c r="FR26">
        <f>ROUND(IF(AND(BH26=3,BI26=3),P26,0),0)</f>
        <v>0</v>
      </c>
      <c r="FS26">
        <v>0</v>
      </c>
      <c r="FX26">
        <v>65</v>
      </c>
      <c r="FY26">
        <v>40</v>
      </c>
      <c r="GA26" t="s">
        <v>3</v>
      </c>
      <c r="GD26">
        <v>1</v>
      </c>
      <c r="GF26">
        <v>1571996105</v>
      </c>
      <c r="GG26">
        <v>2</v>
      </c>
      <c r="GH26">
        <v>1</v>
      </c>
      <c r="GI26">
        <v>2</v>
      </c>
      <c r="GJ26">
        <v>0</v>
      </c>
      <c r="GK26">
        <v>0</v>
      </c>
      <c r="GL26">
        <f>ROUND(IF(AND(BH26=3,BI26=3,FS26&lt;&gt;0),P26,0),0)</f>
        <v>0</v>
      </c>
      <c r="GM26">
        <f>ROUND(O26+X26+Y26,0)+GX26</f>
        <v>121707</v>
      </c>
      <c r="GN26">
        <f>IF(OR(BI26=0,BI26=1),ROUND(O26+X26+Y26,0),0)</f>
        <v>0</v>
      </c>
      <c r="GO26">
        <f>IF(BI26=2,ROUND(O26+X26+Y26,0),0)</f>
        <v>0</v>
      </c>
      <c r="GP26">
        <f>IF(BI26=4,ROUND(O26+X26+Y26,0)+GX26,0)</f>
        <v>121707</v>
      </c>
      <c r="GR26">
        <v>0</v>
      </c>
      <c r="GS26">
        <v>3</v>
      </c>
      <c r="GT26">
        <v>0</v>
      </c>
      <c r="GU26" t="s">
        <v>3</v>
      </c>
      <c r="GV26">
        <f>ROUND((GT26),2)</f>
        <v>0</v>
      </c>
      <c r="GW26">
        <v>1</v>
      </c>
      <c r="GX26">
        <f>ROUND(HC26*I26,0)</f>
        <v>0</v>
      </c>
      <c r="HA26">
        <v>0</v>
      </c>
      <c r="HB26">
        <v>0</v>
      </c>
      <c r="HC26">
        <f>GV26*GW26</f>
        <v>0</v>
      </c>
      <c r="HE26" t="s">
        <v>3</v>
      </c>
      <c r="HF26" t="s">
        <v>3</v>
      </c>
      <c r="IK26">
        <v>0</v>
      </c>
    </row>
    <row r="27" spans="1:245" x14ac:dyDescent="0.2">
      <c r="A27">
        <v>17</v>
      </c>
      <c r="B27">
        <v>1</v>
      </c>
      <c r="C27">
        <f>ROW(SmtRes!A8)</f>
        <v>8</v>
      </c>
      <c r="D27">
        <f>ROW(EtalonRes!A8)</f>
        <v>8</v>
      </c>
      <c r="E27" t="s">
        <v>31</v>
      </c>
      <c r="F27" t="s">
        <v>32</v>
      </c>
      <c r="G27" t="s">
        <v>33</v>
      </c>
      <c r="H27" t="s">
        <v>34</v>
      </c>
      <c r="I27">
        <v>13</v>
      </c>
      <c r="J27">
        <v>0</v>
      </c>
      <c r="O27">
        <f>ROUND(CP27,0)</f>
        <v>6486</v>
      </c>
      <c r="P27">
        <f>ROUND(CQ27*I27,0)</f>
        <v>0</v>
      </c>
      <c r="Q27">
        <f>ROUND(CR27*I27,0)</f>
        <v>0</v>
      </c>
      <c r="R27">
        <f>ROUND(CS27*I27,0)</f>
        <v>0</v>
      </c>
      <c r="S27">
        <f>ROUND(CT27*I27,0)</f>
        <v>6486</v>
      </c>
      <c r="T27">
        <f>ROUND(CU27*I27,0)</f>
        <v>0</v>
      </c>
      <c r="U27">
        <f>CV27*I27</f>
        <v>15.86</v>
      </c>
      <c r="V27">
        <f>CW27*I27</f>
        <v>0</v>
      </c>
      <c r="W27">
        <f>ROUND(CX27*I27,0)</f>
        <v>0</v>
      </c>
      <c r="X27">
        <f t="shared" si="14"/>
        <v>4216</v>
      </c>
      <c r="Y27">
        <f t="shared" si="14"/>
        <v>2594</v>
      </c>
      <c r="AA27">
        <v>52122056</v>
      </c>
      <c r="AB27">
        <f>ROUND((AC27+AD27+AF27),2)</f>
        <v>15.62</v>
      </c>
      <c r="AC27">
        <f>ROUND((ES27),2)</f>
        <v>0</v>
      </c>
      <c r="AD27">
        <f>ROUND((((ET27)-(EU27))+AE27),2)</f>
        <v>0</v>
      </c>
      <c r="AE27">
        <f t="shared" si="15"/>
        <v>0</v>
      </c>
      <c r="AF27">
        <f t="shared" si="15"/>
        <v>15.62</v>
      </c>
      <c r="AG27">
        <f>ROUND((AP27),2)</f>
        <v>0</v>
      </c>
      <c r="AH27">
        <f t="shared" si="16"/>
        <v>1.22</v>
      </c>
      <c r="AI27">
        <f t="shared" si="16"/>
        <v>0</v>
      </c>
      <c r="AJ27">
        <f>(AS27)</f>
        <v>0</v>
      </c>
      <c r="AK27">
        <v>15.62</v>
      </c>
      <c r="AL27">
        <v>0</v>
      </c>
      <c r="AM27">
        <v>0</v>
      </c>
      <c r="AN27">
        <v>0</v>
      </c>
      <c r="AO27">
        <v>15.62</v>
      </c>
      <c r="AP27">
        <v>0</v>
      </c>
      <c r="AQ27">
        <v>1.22</v>
      </c>
      <c r="AR27">
        <v>0</v>
      </c>
      <c r="AS27">
        <v>0</v>
      </c>
      <c r="AT27">
        <v>65</v>
      </c>
      <c r="AU27">
        <v>40</v>
      </c>
      <c r="AV27">
        <v>1</v>
      </c>
      <c r="AW27">
        <v>1</v>
      </c>
      <c r="AZ27">
        <v>1</v>
      </c>
      <c r="BA27">
        <v>31.94</v>
      </c>
      <c r="BB27">
        <v>1</v>
      </c>
      <c r="BC27">
        <v>1</v>
      </c>
      <c r="BD27" t="s">
        <v>3</v>
      </c>
      <c r="BE27" t="s">
        <v>3</v>
      </c>
      <c r="BF27" t="s">
        <v>3</v>
      </c>
      <c r="BG27" t="s">
        <v>3</v>
      </c>
      <c r="BH27">
        <v>0</v>
      </c>
      <c r="BI27">
        <v>4</v>
      </c>
      <c r="BJ27" t="s">
        <v>35</v>
      </c>
      <c r="BM27">
        <v>200001</v>
      </c>
      <c r="BN27">
        <v>0</v>
      </c>
      <c r="BO27" t="s">
        <v>3</v>
      </c>
      <c r="BP27">
        <v>0</v>
      </c>
      <c r="BQ27">
        <v>4</v>
      </c>
      <c r="BR27">
        <v>0</v>
      </c>
      <c r="BS27">
        <v>1</v>
      </c>
      <c r="BT27">
        <v>1</v>
      </c>
      <c r="BU27">
        <v>1</v>
      </c>
      <c r="BV27">
        <v>1</v>
      </c>
      <c r="BW27">
        <v>1</v>
      </c>
      <c r="BX27">
        <v>1</v>
      </c>
      <c r="BY27" t="s">
        <v>3</v>
      </c>
      <c r="BZ27">
        <v>65</v>
      </c>
      <c r="CA27">
        <v>40</v>
      </c>
      <c r="CE27">
        <v>0</v>
      </c>
      <c r="CF27">
        <v>0</v>
      </c>
      <c r="CG27">
        <v>0</v>
      </c>
      <c r="CM27">
        <v>0</v>
      </c>
      <c r="CN27" t="s">
        <v>3</v>
      </c>
      <c r="CO27">
        <v>0</v>
      </c>
      <c r="CP27">
        <f>(P27+Q27+S27)</f>
        <v>6486</v>
      </c>
      <c r="CQ27">
        <f>AC27*BC27</f>
        <v>0</v>
      </c>
      <c r="CR27">
        <f>AD27*BB27</f>
        <v>0</v>
      </c>
      <c r="CS27">
        <f>AE27*BS27</f>
        <v>0</v>
      </c>
      <c r="CT27">
        <f>AF27*BA27</f>
        <v>498.90280000000001</v>
      </c>
      <c r="CU27">
        <f t="shared" si="17"/>
        <v>0</v>
      </c>
      <c r="CV27">
        <f t="shared" si="17"/>
        <v>1.22</v>
      </c>
      <c r="CW27">
        <f t="shared" si="17"/>
        <v>0</v>
      </c>
      <c r="CX27">
        <f t="shared" si="17"/>
        <v>0</v>
      </c>
      <c r="CY27">
        <f>(((S27+R27)*AT27)/100)</f>
        <v>4215.8999999999996</v>
      </c>
      <c r="CZ27">
        <f>(((S27+R27)*AU27)/100)</f>
        <v>2594.4</v>
      </c>
      <c r="DC27" t="s">
        <v>3</v>
      </c>
      <c r="DD27" t="s">
        <v>3</v>
      </c>
      <c r="DE27" t="s">
        <v>3</v>
      </c>
      <c r="DF27" t="s">
        <v>3</v>
      </c>
      <c r="DG27" t="s">
        <v>3</v>
      </c>
      <c r="DH27" t="s">
        <v>3</v>
      </c>
      <c r="DI27" t="s">
        <v>3</v>
      </c>
      <c r="DJ27" t="s">
        <v>3</v>
      </c>
      <c r="DK27" t="s">
        <v>3</v>
      </c>
      <c r="DL27" t="s">
        <v>3</v>
      </c>
      <c r="DM27" t="s">
        <v>3</v>
      </c>
      <c r="DN27">
        <v>0</v>
      </c>
      <c r="DO27">
        <v>0</v>
      </c>
      <c r="DP27">
        <v>1</v>
      </c>
      <c r="DQ27">
        <v>1</v>
      </c>
      <c r="DU27">
        <v>1013</v>
      </c>
      <c r="DV27" t="s">
        <v>34</v>
      </c>
      <c r="DW27" t="s">
        <v>34</v>
      </c>
      <c r="DX27">
        <v>1</v>
      </c>
      <c r="EE27">
        <v>52007412</v>
      </c>
      <c r="EF27">
        <v>4</v>
      </c>
      <c r="EG27" t="s">
        <v>18</v>
      </c>
      <c r="EH27">
        <v>0</v>
      </c>
      <c r="EI27" t="s">
        <v>3</v>
      </c>
      <c r="EJ27">
        <v>4</v>
      </c>
      <c r="EK27">
        <v>200001</v>
      </c>
      <c r="EL27" t="s">
        <v>19</v>
      </c>
      <c r="EM27" t="s">
        <v>20</v>
      </c>
      <c r="EO27" t="s">
        <v>3</v>
      </c>
      <c r="EQ27">
        <v>0</v>
      </c>
      <c r="ER27">
        <v>15.62</v>
      </c>
      <c r="ES27">
        <v>0</v>
      </c>
      <c r="ET27">
        <v>0</v>
      </c>
      <c r="EU27">
        <v>0</v>
      </c>
      <c r="EV27">
        <v>15.62</v>
      </c>
      <c r="EW27">
        <v>1.22</v>
      </c>
      <c r="EX27">
        <v>0</v>
      </c>
      <c r="EY27">
        <v>0</v>
      </c>
      <c r="FQ27">
        <v>0</v>
      </c>
      <c r="FR27">
        <f>ROUND(IF(AND(BH27=3,BI27=3),P27,0),0)</f>
        <v>0</v>
      </c>
      <c r="FS27">
        <v>0</v>
      </c>
      <c r="FX27">
        <v>65</v>
      </c>
      <c r="FY27">
        <v>40</v>
      </c>
      <c r="GA27" t="s">
        <v>3</v>
      </c>
      <c r="GD27">
        <v>1</v>
      </c>
      <c r="GF27">
        <v>-1942413619</v>
      </c>
      <c r="GG27">
        <v>2</v>
      </c>
      <c r="GH27">
        <v>1</v>
      </c>
      <c r="GI27">
        <v>2</v>
      </c>
      <c r="GJ27">
        <v>0</v>
      </c>
      <c r="GK27">
        <v>0</v>
      </c>
      <c r="GL27">
        <f>ROUND(IF(AND(BH27=3,BI27=3,FS27&lt;&gt;0),P27,0),0)</f>
        <v>0</v>
      </c>
      <c r="GM27">
        <f>ROUND(O27+X27+Y27,0)+GX27</f>
        <v>13296</v>
      </c>
      <c r="GN27">
        <f>IF(OR(BI27=0,BI27=1),ROUND(O27+X27+Y27,0),0)</f>
        <v>0</v>
      </c>
      <c r="GO27">
        <f>IF(BI27=2,ROUND(O27+X27+Y27,0),0)</f>
        <v>0</v>
      </c>
      <c r="GP27">
        <f>IF(BI27=4,ROUND(O27+X27+Y27,0)+GX27,0)</f>
        <v>13296</v>
      </c>
      <c r="GR27">
        <v>0</v>
      </c>
      <c r="GS27">
        <v>3</v>
      </c>
      <c r="GT27">
        <v>0</v>
      </c>
      <c r="GU27" t="s">
        <v>3</v>
      </c>
      <c r="GV27">
        <f>ROUND((GT27),2)</f>
        <v>0</v>
      </c>
      <c r="GW27">
        <v>1</v>
      </c>
      <c r="GX27">
        <f>ROUND(HC27*I27,0)</f>
        <v>0</v>
      </c>
      <c r="HA27">
        <v>0</v>
      </c>
      <c r="HB27">
        <v>0</v>
      </c>
      <c r="HC27">
        <f>GV27*GW27</f>
        <v>0</v>
      </c>
      <c r="HE27" t="s">
        <v>3</v>
      </c>
      <c r="HF27" t="s">
        <v>3</v>
      </c>
      <c r="IK27">
        <v>0</v>
      </c>
    </row>
    <row r="29" spans="1:245" x14ac:dyDescent="0.2">
      <c r="A29" s="2">
        <v>51</v>
      </c>
      <c r="B29" s="2">
        <f>B20</f>
        <v>1</v>
      </c>
      <c r="C29" s="2">
        <f>A20</f>
        <v>3</v>
      </c>
      <c r="D29" s="2">
        <f>ROW(A20)</f>
        <v>20</v>
      </c>
      <c r="E29" s="2"/>
      <c r="F29" s="2" t="str">
        <f>IF(F20&lt;&gt;"",F20,"")</f>
        <v>Новая локальная смета</v>
      </c>
      <c r="G29" s="2" t="str">
        <f>IF(G20&lt;&gt;"",G20,"")</f>
        <v>Новая локальная смета</v>
      </c>
      <c r="H29" s="2">
        <v>0</v>
      </c>
      <c r="I29" s="2"/>
      <c r="J29" s="2"/>
      <c r="K29" s="2"/>
      <c r="L29" s="2"/>
      <c r="M29" s="2"/>
      <c r="N29" s="2"/>
      <c r="O29" s="2">
        <f t="shared" ref="O29:T29" si="18">ROUND(AB29,0)</f>
        <v>89920</v>
      </c>
      <c r="P29" s="2">
        <f t="shared" si="18"/>
        <v>0</v>
      </c>
      <c r="Q29" s="2">
        <f t="shared" si="18"/>
        <v>0</v>
      </c>
      <c r="R29" s="2">
        <f t="shared" si="18"/>
        <v>0</v>
      </c>
      <c r="S29" s="2">
        <f t="shared" si="18"/>
        <v>89920</v>
      </c>
      <c r="T29" s="2">
        <f t="shared" si="18"/>
        <v>0</v>
      </c>
      <c r="U29" s="2">
        <f>AH29</f>
        <v>219.85599999999999</v>
      </c>
      <c r="V29" s="2">
        <f>AI29</f>
        <v>0</v>
      </c>
      <c r="W29" s="2">
        <f>ROUND(AJ29,0)</f>
        <v>0</v>
      </c>
      <c r="X29" s="2">
        <f>ROUND(AK29,0)</f>
        <v>58449</v>
      </c>
      <c r="Y29" s="2">
        <f>ROUND(AL29,0)</f>
        <v>35968</v>
      </c>
      <c r="Z29" s="2"/>
      <c r="AA29" s="2"/>
      <c r="AB29" s="2">
        <f>ROUND(SUMIF(AA24:AA27,"=52122056",O24:O27),0)</f>
        <v>89920</v>
      </c>
      <c r="AC29" s="2">
        <f>ROUND(SUMIF(AA24:AA27,"=52122056",P24:P27),0)</f>
        <v>0</v>
      </c>
      <c r="AD29" s="2">
        <f>ROUND(SUMIF(AA24:AA27,"=52122056",Q24:Q27),0)</f>
        <v>0</v>
      </c>
      <c r="AE29" s="2">
        <f>ROUND(SUMIF(AA24:AA27,"=52122056",R24:R27),0)</f>
        <v>0</v>
      </c>
      <c r="AF29" s="2">
        <f>ROUND(SUMIF(AA24:AA27,"=52122056",S24:S27),0)</f>
        <v>89920</v>
      </c>
      <c r="AG29" s="2">
        <f>ROUND(SUMIF(AA24:AA27,"=52122056",T24:T27),0)</f>
        <v>0</v>
      </c>
      <c r="AH29" s="2">
        <f>SUMIF(AA24:AA27,"=52122056",U24:U27)</f>
        <v>219.85599999999999</v>
      </c>
      <c r="AI29" s="2">
        <f>SUMIF(AA24:AA27,"=52122056",V24:V27)</f>
        <v>0</v>
      </c>
      <c r="AJ29" s="2">
        <f>ROUND(SUMIF(AA24:AA27,"=52122056",W24:W27),0)</f>
        <v>0</v>
      </c>
      <c r="AK29" s="2">
        <f>ROUND(SUMIF(AA24:AA27,"=52122056",X24:X27),0)</f>
        <v>58449</v>
      </c>
      <c r="AL29" s="2">
        <f>ROUND(SUMIF(AA24:AA27,"=52122056",Y24:Y27),0)</f>
        <v>35968</v>
      </c>
      <c r="AM29" s="2"/>
      <c r="AN29" s="2"/>
      <c r="AO29" s="2">
        <f t="shared" ref="AO29:BD29" si="19">ROUND(BX29,0)</f>
        <v>0</v>
      </c>
      <c r="AP29" s="2">
        <f t="shared" si="19"/>
        <v>0</v>
      </c>
      <c r="AQ29" s="2">
        <f t="shared" si="19"/>
        <v>0</v>
      </c>
      <c r="AR29" s="2">
        <f t="shared" si="19"/>
        <v>184337</v>
      </c>
      <c r="AS29" s="2">
        <f t="shared" si="19"/>
        <v>0</v>
      </c>
      <c r="AT29" s="2">
        <f t="shared" si="19"/>
        <v>0</v>
      </c>
      <c r="AU29" s="2">
        <f t="shared" si="19"/>
        <v>184337</v>
      </c>
      <c r="AV29" s="2">
        <f t="shared" si="19"/>
        <v>0</v>
      </c>
      <c r="AW29" s="2">
        <f t="shared" si="19"/>
        <v>0</v>
      </c>
      <c r="AX29" s="2">
        <f t="shared" si="19"/>
        <v>0</v>
      </c>
      <c r="AY29" s="2">
        <f t="shared" si="19"/>
        <v>0</v>
      </c>
      <c r="AZ29" s="2">
        <f t="shared" si="19"/>
        <v>0</v>
      </c>
      <c r="BA29" s="2">
        <f t="shared" si="19"/>
        <v>0</v>
      </c>
      <c r="BB29" s="2">
        <f t="shared" si="19"/>
        <v>0</v>
      </c>
      <c r="BC29" s="2">
        <f t="shared" si="19"/>
        <v>0</v>
      </c>
      <c r="BD29" s="2">
        <f t="shared" si="19"/>
        <v>0</v>
      </c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>
        <f>ROUND(SUMIF(AA24:AA27,"=52122056",FQ24:FQ27),0)</f>
        <v>0</v>
      </c>
      <c r="BY29" s="2">
        <f>ROUND(SUMIF(AA24:AA27,"=52122056",FR24:FR27),0)</f>
        <v>0</v>
      </c>
      <c r="BZ29" s="2">
        <f>ROUND(SUMIF(AA24:AA27,"=52122056",GL24:GL27),0)</f>
        <v>0</v>
      </c>
      <c r="CA29" s="2">
        <f>ROUND(SUMIF(AA24:AA27,"=52122056",GM24:GM27),0)</f>
        <v>184337</v>
      </c>
      <c r="CB29" s="2">
        <f>ROUND(SUMIF(AA24:AA27,"=52122056",GN24:GN27),0)</f>
        <v>0</v>
      </c>
      <c r="CC29" s="2">
        <f>ROUND(SUMIF(AA24:AA27,"=52122056",GO24:GO27),0)</f>
        <v>0</v>
      </c>
      <c r="CD29" s="2">
        <f>ROUND(SUMIF(AA24:AA27,"=52122056",GP24:GP27),0)</f>
        <v>184337</v>
      </c>
      <c r="CE29" s="2">
        <f>AC29-BX29</f>
        <v>0</v>
      </c>
      <c r="CF29" s="2">
        <f>AC29-BY29</f>
        <v>0</v>
      </c>
      <c r="CG29" s="2">
        <f>BX29-BZ29</f>
        <v>0</v>
      </c>
      <c r="CH29" s="2">
        <f>AC29-BX29-BY29+BZ29</f>
        <v>0</v>
      </c>
      <c r="CI29" s="2">
        <f>BY29-BZ29</f>
        <v>0</v>
      </c>
      <c r="CJ29" s="2">
        <f>ROUND(SUMIF(AA24:AA27,"=52122056",GX24:GX27),0)</f>
        <v>0</v>
      </c>
      <c r="CK29" s="2">
        <f>ROUND(SUMIF(AA24:AA27,"=52122056",GY24:GY27),0)</f>
        <v>0</v>
      </c>
      <c r="CL29" s="2">
        <f>ROUND(SUMIF(AA24:AA27,"=52122056",GZ24:GZ27),0)</f>
        <v>0</v>
      </c>
      <c r="CM29" s="2">
        <f>ROUND(SUMIF(AA24:AA27,"=52122056",HD24:HD27),0)</f>
        <v>0</v>
      </c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>
        <v>0</v>
      </c>
    </row>
    <row r="31" spans="1:245" x14ac:dyDescent="0.2">
      <c r="A31" s="4">
        <v>50</v>
      </c>
      <c r="B31" s="4">
        <v>0</v>
      </c>
      <c r="C31" s="4">
        <v>0</v>
      </c>
      <c r="D31" s="4">
        <v>1</v>
      </c>
      <c r="E31" s="4">
        <v>201</v>
      </c>
      <c r="F31" s="4">
        <f>ROUND(Source!O29,O31)</f>
        <v>89920</v>
      </c>
      <c r="G31" s="4" t="s">
        <v>36</v>
      </c>
      <c r="H31" s="4" t="s">
        <v>37</v>
      </c>
      <c r="I31" s="4"/>
      <c r="J31" s="4"/>
      <c r="K31" s="4">
        <v>201</v>
      </c>
      <c r="L31" s="4">
        <v>1</v>
      </c>
      <c r="M31" s="4">
        <v>3</v>
      </c>
      <c r="N31" s="4" t="s">
        <v>3</v>
      </c>
      <c r="O31" s="4">
        <v>0</v>
      </c>
      <c r="P31" s="4"/>
      <c r="Q31" s="4"/>
      <c r="R31" s="4"/>
      <c r="S31" s="4"/>
      <c r="T31" s="4"/>
      <c r="U31" s="4"/>
      <c r="V31" s="4"/>
      <c r="W31" s="4"/>
    </row>
    <row r="32" spans="1:245" x14ac:dyDescent="0.2">
      <c r="A32" s="4">
        <v>50</v>
      </c>
      <c r="B32" s="4">
        <v>0</v>
      </c>
      <c r="C32" s="4">
        <v>0</v>
      </c>
      <c r="D32" s="4">
        <v>1</v>
      </c>
      <c r="E32" s="4">
        <v>202</v>
      </c>
      <c r="F32" s="4">
        <f>ROUND(Source!P29,O32)</f>
        <v>0</v>
      </c>
      <c r="G32" s="4" t="s">
        <v>38</v>
      </c>
      <c r="H32" s="4" t="s">
        <v>39</v>
      </c>
      <c r="I32" s="4"/>
      <c r="J32" s="4"/>
      <c r="K32" s="4">
        <v>202</v>
      </c>
      <c r="L32" s="4">
        <v>2</v>
      </c>
      <c r="M32" s="4">
        <v>3</v>
      </c>
      <c r="N32" s="4" t="s">
        <v>3</v>
      </c>
      <c r="O32" s="4">
        <v>0</v>
      </c>
      <c r="P32" s="4"/>
      <c r="Q32" s="4"/>
      <c r="R32" s="4"/>
      <c r="S32" s="4"/>
      <c r="T32" s="4"/>
      <c r="U32" s="4"/>
      <c r="V32" s="4"/>
      <c r="W32" s="4"/>
    </row>
    <row r="33" spans="1:23" x14ac:dyDescent="0.2">
      <c r="A33" s="4">
        <v>50</v>
      </c>
      <c r="B33" s="4">
        <v>0</v>
      </c>
      <c r="C33" s="4">
        <v>0</v>
      </c>
      <c r="D33" s="4">
        <v>1</v>
      </c>
      <c r="E33" s="4">
        <v>222</v>
      </c>
      <c r="F33" s="4">
        <f>ROUND(Source!AO29,O33)</f>
        <v>0</v>
      </c>
      <c r="G33" s="4" t="s">
        <v>40</v>
      </c>
      <c r="H33" s="4" t="s">
        <v>41</v>
      </c>
      <c r="I33" s="4"/>
      <c r="J33" s="4"/>
      <c r="K33" s="4">
        <v>222</v>
      </c>
      <c r="L33" s="4">
        <v>3</v>
      </c>
      <c r="M33" s="4">
        <v>3</v>
      </c>
      <c r="N33" s="4" t="s">
        <v>3</v>
      </c>
      <c r="O33" s="4">
        <v>0</v>
      </c>
      <c r="P33" s="4"/>
      <c r="Q33" s="4"/>
      <c r="R33" s="4"/>
      <c r="S33" s="4"/>
      <c r="T33" s="4"/>
      <c r="U33" s="4"/>
      <c r="V33" s="4"/>
      <c r="W33" s="4"/>
    </row>
    <row r="34" spans="1:23" x14ac:dyDescent="0.2">
      <c r="A34" s="4">
        <v>50</v>
      </c>
      <c r="B34" s="4">
        <v>0</v>
      </c>
      <c r="C34" s="4">
        <v>0</v>
      </c>
      <c r="D34" s="4">
        <v>1</v>
      </c>
      <c r="E34" s="4">
        <v>225</v>
      </c>
      <c r="F34" s="4">
        <f>ROUND(Source!AV29,O34)</f>
        <v>0</v>
      </c>
      <c r="G34" s="4" t="s">
        <v>42</v>
      </c>
      <c r="H34" s="4" t="s">
        <v>43</v>
      </c>
      <c r="I34" s="4"/>
      <c r="J34" s="4"/>
      <c r="K34" s="4">
        <v>225</v>
      </c>
      <c r="L34" s="4">
        <v>4</v>
      </c>
      <c r="M34" s="4">
        <v>3</v>
      </c>
      <c r="N34" s="4" t="s">
        <v>3</v>
      </c>
      <c r="O34" s="4">
        <v>0</v>
      </c>
      <c r="P34" s="4"/>
      <c r="Q34" s="4"/>
      <c r="R34" s="4"/>
      <c r="S34" s="4"/>
      <c r="T34" s="4"/>
      <c r="U34" s="4"/>
      <c r="V34" s="4"/>
      <c r="W34" s="4"/>
    </row>
    <row r="35" spans="1:23" x14ac:dyDescent="0.2">
      <c r="A35" s="4">
        <v>50</v>
      </c>
      <c r="B35" s="4">
        <v>0</v>
      </c>
      <c r="C35" s="4">
        <v>0</v>
      </c>
      <c r="D35" s="4">
        <v>1</v>
      </c>
      <c r="E35" s="4">
        <v>226</v>
      </c>
      <c r="F35" s="4">
        <f>ROUND(Source!AW29,O35)</f>
        <v>0</v>
      </c>
      <c r="G35" s="4" t="s">
        <v>44</v>
      </c>
      <c r="H35" s="4" t="s">
        <v>45</v>
      </c>
      <c r="I35" s="4"/>
      <c r="J35" s="4"/>
      <c r="K35" s="4">
        <v>226</v>
      </c>
      <c r="L35" s="4">
        <v>5</v>
      </c>
      <c r="M35" s="4">
        <v>3</v>
      </c>
      <c r="N35" s="4" t="s">
        <v>3</v>
      </c>
      <c r="O35" s="4">
        <v>0</v>
      </c>
      <c r="P35" s="4"/>
      <c r="Q35" s="4"/>
      <c r="R35" s="4"/>
      <c r="S35" s="4"/>
      <c r="T35" s="4"/>
      <c r="U35" s="4"/>
      <c r="V35" s="4"/>
      <c r="W35" s="4"/>
    </row>
    <row r="36" spans="1:23" x14ac:dyDescent="0.2">
      <c r="A36" s="4">
        <v>50</v>
      </c>
      <c r="B36" s="4">
        <v>0</v>
      </c>
      <c r="C36" s="4">
        <v>0</v>
      </c>
      <c r="D36" s="4">
        <v>1</v>
      </c>
      <c r="E36" s="4">
        <v>227</v>
      </c>
      <c r="F36" s="4">
        <f>ROUND(Source!AX29,O36)</f>
        <v>0</v>
      </c>
      <c r="G36" s="4" t="s">
        <v>46</v>
      </c>
      <c r="H36" s="4" t="s">
        <v>47</v>
      </c>
      <c r="I36" s="4"/>
      <c r="J36" s="4"/>
      <c r="K36" s="4">
        <v>227</v>
      </c>
      <c r="L36" s="4">
        <v>6</v>
      </c>
      <c r="M36" s="4">
        <v>3</v>
      </c>
      <c r="N36" s="4" t="s">
        <v>3</v>
      </c>
      <c r="O36" s="4">
        <v>0</v>
      </c>
      <c r="P36" s="4"/>
      <c r="Q36" s="4"/>
      <c r="R36" s="4"/>
      <c r="S36" s="4"/>
      <c r="T36" s="4"/>
      <c r="U36" s="4"/>
      <c r="V36" s="4"/>
      <c r="W36" s="4"/>
    </row>
    <row r="37" spans="1:23" x14ac:dyDescent="0.2">
      <c r="A37" s="4">
        <v>50</v>
      </c>
      <c r="B37" s="4">
        <v>0</v>
      </c>
      <c r="C37" s="4">
        <v>0</v>
      </c>
      <c r="D37" s="4">
        <v>1</v>
      </c>
      <c r="E37" s="4">
        <v>228</v>
      </c>
      <c r="F37" s="4">
        <f>ROUND(Source!AY29,O37)</f>
        <v>0</v>
      </c>
      <c r="G37" s="4" t="s">
        <v>48</v>
      </c>
      <c r="H37" s="4" t="s">
        <v>49</v>
      </c>
      <c r="I37" s="4"/>
      <c r="J37" s="4"/>
      <c r="K37" s="4">
        <v>228</v>
      </c>
      <c r="L37" s="4">
        <v>7</v>
      </c>
      <c r="M37" s="4">
        <v>3</v>
      </c>
      <c r="N37" s="4" t="s">
        <v>3</v>
      </c>
      <c r="O37" s="4">
        <v>0</v>
      </c>
      <c r="P37" s="4"/>
      <c r="Q37" s="4"/>
      <c r="R37" s="4"/>
      <c r="S37" s="4"/>
      <c r="T37" s="4"/>
      <c r="U37" s="4"/>
      <c r="V37" s="4"/>
      <c r="W37" s="4"/>
    </row>
    <row r="38" spans="1:23" x14ac:dyDescent="0.2">
      <c r="A38" s="4">
        <v>50</v>
      </c>
      <c r="B38" s="4">
        <v>0</v>
      </c>
      <c r="C38" s="4">
        <v>0</v>
      </c>
      <c r="D38" s="4">
        <v>1</v>
      </c>
      <c r="E38" s="4">
        <v>216</v>
      </c>
      <c r="F38" s="4">
        <f>ROUND(Source!AP29,O38)</f>
        <v>0</v>
      </c>
      <c r="G38" s="4" t="s">
        <v>50</v>
      </c>
      <c r="H38" s="4" t="s">
        <v>51</v>
      </c>
      <c r="I38" s="4"/>
      <c r="J38" s="4"/>
      <c r="K38" s="4">
        <v>216</v>
      </c>
      <c r="L38" s="4">
        <v>8</v>
      </c>
      <c r="M38" s="4">
        <v>3</v>
      </c>
      <c r="N38" s="4" t="s">
        <v>3</v>
      </c>
      <c r="O38" s="4">
        <v>0</v>
      </c>
      <c r="P38" s="4"/>
      <c r="Q38" s="4"/>
      <c r="R38" s="4"/>
      <c r="S38" s="4"/>
      <c r="T38" s="4"/>
      <c r="U38" s="4"/>
      <c r="V38" s="4"/>
      <c r="W38" s="4"/>
    </row>
    <row r="39" spans="1:23" x14ac:dyDescent="0.2">
      <c r="A39" s="4">
        <v>50</v>
      </c>
      <c r="B39" s="4">
        <v>0</v>
      </c>
      <c r="C39" s="4">
        <v>0</v>
      </c>
      <c r="D39" s="4">
        <v>1</v>
      </c>
      <c r="E39" s="4">
        <v>223</v>
      </c>
      <c r="F39" s="4">
        <f>ROUND(Source!AQ29,O39)</f>
        <v>0</v>
      </c>
      <c r="G39" s="4" t="s">
        <v>52</v>
      </c>
      <c r="H39" s="4" t="s">
        <v>53</v>
      </c>
      <c r="I39" s="4"/>
      <c r="J39" s="4"/>
      <c r="K39" s="4">
        <v>223</v>
      </c>
      <c r="L39" s="4">
        <v>9</v>
      </c>
      <c r="M39" s="4">
        <v>3</v>
      </c>
      <c r="N39" s="4" t="s">
        <v>3</v>
      </c>
      <c r="O39" s="4">
        <v>0</v>
      </c>
      <c r="P39" s="4"/>
      <c r="Q39" s="4"/>
      <c r="R39" s="4"/>
      <c r="S39" s="4"/>
      <c r="T39" s="4"/>
      <c r="U39" s="4"/>
      <c r="V39" s="4"/>
      <c r="W39" s="4"/>
    </row>
    <row r="40" spans="1:23" x14ac:dyDescent="0.2">
      <c r="A40" s="4">
        <v>50</v>
      </c>
      <c r="B40" s="4">
        <v>0</v>
      </c>
      <c r="C40" s="4">
        <v>0</v>
      </c>
      <c r="D40" s="4">
        <v>1</v>
      </c>
      <c r="E40" s="4">
        <v>229</v>
      </c>
      <c r="F40" s="4">
        <f>ROUND(Source!AZ29,O40)</f>
        <v>0</v>
      </c>
      <c r="G40" s="4" t="s">
        <v>54</v>
      </c>
      <c r="H40" s="4" t="s">
        <v>55</v>
      </c>
      <c r="I40" s="4"/>
      <c r="J40" s="4"/>
      <c r="K40" s="4">
        <v>229</v>
      </c>
      <c r="L40" s="4">
        <v>10</v>
      </c>
      <c r="M40" s="4">
        <v>3</v>
      </c>
      <c r="N40" s="4" t="s">
        <v>3</v>
      </c>
      <c r="O40" s="4">
        <v>0</v>
      </c>
      <c r="P40" s="4"/>
      <c r="Q40" s="4"/>
      <c r="R40" s="4"/>
      <c r="S40" s="4"/>
      <c r="T40" s="4"/>
      <c r="U40" s="4"/>
      <c r="V40" s="4"/>
      <c r="W40" s="4"/>
    </row>
    <row r="41" spans="1:23" x14ac:dyDescent="0.2">
      <c r="A41" s="4">
        <v>50</v>
      </c>
      <c r="B41" s="4">
        <v>0</v>
      </c>
      <c r="C41" s="4">
        <v>0</v>
      </c>
      <c r="D41" s="4">
        <v>1</v>
      </c>
      <c r="E41" s="4">
        <v>203</v>
      </c>
      <c r="F41" s="4">
        <f>ROUND(Source!Q29,O41)</f>
        <v>0</v>
      </c>
      <c r="G41" s="4" t="s">
        <v>56</v>
      </c>
      <c r="H41" s="4" t="s">
        <v>57</v>
      </c>
      <c r="I41" s="4"/>
      <c r="J41" s="4"/>
      <c r="K41" s="4">
        <v>203</v>
      </c>
      <c r="L41" s="4">
        <v>11</v>
      </c>
      <c r="M41" s="4">
        <v>3</v>
      </c>
      <c r="N41" s="4" t="s">
        <v>3</v>
      </c>
      <c r="O41" s="4">
        <v>0</v>
      </c>
      <c r="P41" s="4"/>
      <c r="Q41" s="4"/>
      <c r="R41" s="4"/>
      <c r="S41" s="4"/>
      <c r="T41" s="4"/>
      <c r="U41" s="4"/>
      <c r="V41" s="4"/>
      <c r="W41" s="4"/>
    </row>
    <row r="42" spans="1:23" x14ac:dyDescent="0.2">
      <c r="A42" s="4">
        <v>50</v>
      </c>
      <c r="B42" s="4">
        <v>0</v>
      </c>
      <c r="C42" s="4">
        <v>0</v>
      </c>
      <c r="D42" s="4">
        <v>1</v>
      </c>
      <c r="E42" s="4">
        <v>231</v>
      </c>
      <c r="F42" s="4">
        <f>ROUND(Source!BB29,O42)</f>
        <v>0</v>
      </c>
      <c r="G42" s="4" t="s">
        <v>58</v>
      </c>
      <c r="H42" s="4" t="s">
        <v>59</v>
      </c>
      <c r="I42" s="4"/>
      <c r="J42" s="4"/>
      <c r="K42" s="4">
        <v>231</v>
      </c>
      <c r="L42" s="4">
        <v>12</v>
      </c>
      <c r="M42" s="4">
        <v>3</v>
      </c>
      <c r="N42" s="4" t="s">
        <v>3</v>
      </c>
      <c r="O42" s="4">
        <v>0</v>
      </c>
      <c r="P42" s="4"/>
      <c r="Q42" s="4"/>
      <c r="R42" s="4"/>
      <c r="S42" s="4"/>
      <c r="T42" s="4"/>
      <c r="U42" s="4"/>
      <c r="V42" s="4"/>
      <c r="W42" s="4"/>
    </row>
    <row r="43" spans="1:23" x14ac:dyDescent="0.2">
      <c r="A43" s="4">
        <v>50</v>
      </c>
      <c r="B43" s="4">
        <v>0</v>
      </c>
      <c r="C43" s="4">
        <v>0</v>
      </c>
      <c r="D43" s="4">
        <v>1</v>
      </c>
      <c r="E43" s="4">
        <v>204</v>
      </c>
      <c r="F43" s="4">
        <f>ROUND(Source!R29,O43)</f>
        <v>0</v>
      </c>
      <c r="G43" s="4" t="s">
        <v>60</v>
      </c>
      <c r="H43" s="4" t="s">
        <v>61</v>
      </c>
      <c r="I43" s="4"/>
      <c r="J43" s="4"/>
      <c r="K43" s="4">
        <v>204</v>
      </c>
      <c r="L43" s="4">
        <v>13</v>
      </c>
      <c r="M43" s="4">
        <v>3</v>
      </c>
      <c r="N43" s="4" t="s">
        <v>3</v>
      </c>
      <c r="O43" s="4">
        <v>0</v>
      </c>
      <c r="P43" s="4"/>
      <c r="Q43" s="4"/>
      <c r="R43" s="4"/>
      <c r="S43" s="4"/>
      <c r="T43" s="4"/>
      <c r="U43" s="4"/>
      <c r="V43" s="4"/>
      <c r="W43" s="4"/>
    </row>
    <row r="44" spans="1:23" x14ac:dyDescent="0.2">
      <c r="A44" s="4">
        <v>50</v>
      </c>
      <c r="B44" s="4">
        <v>0</v>
      </c>
      <c r="C44" s="4">
        <v>0</v>
      </c>
      <c r="D44" s="4">
        <v>1</v>
      </c>
      <c r="E44" s="4">
        <v>205</v>
      </c>
      <c r="F44" s="4">
        <f>ROUND(Source!S29,O44)</f>
        <v>89920</v>
      </c>
      <c r="G44" s="4" t="s">
        <v>62</v>
      </c>
      <c r="H44" s="4" t="s">
        <v>63</v>
      </c>
      <c r="I44" s="4"/>
      <c r="J44" s="4"/>
      <c r="K44" s="4">
        <v>205</v>
      </c>
      <c r="L44" s="4">
        <v>14</v>
      </c>
      <c r="M44" s="4">
        <v>3</v>
      </c>
      <c r="N44" s="4" t="s">
        <v>3</v>
      </c>
      <c r="O44" s="4">
        <v>0</v>
      </c>
      <c r="P44" s="4"/>
      <c r="Q44" s="4"/>
      <c r="R44" s="4"/>
      <c r="S44" s="4"/>
      <c r="T44" s="4"/>
      <c r="U44" s="4"/>
      <c r="V44" s="4"/>
      <c r="W44" s="4"/>
    </row>
    <row r="45" spans="1:23" x14ac:dyDescent="0.2">
      <c r="A45" s="4">
        <v>50</v>
      </c>
      <c r="B45" s="4">
        <v>0</v>
      </c>
      <c r="C45" s="4">
        <v>0</v>
      </c>
      <c r="D45" s="4">
        <v>1</v>
      </c>
      <c r="E45" s="4">
        <v>232</v>
      </c>
      <c r="F45" s="4">
        <f>ROUND(Source!BC29,O45)</f>
        <v>0</v>
      </c>
      <c r="G45" s="4" t="s">
        <v>64</v>
      </c>
      <c r="H45" s="4" t="s">
        <v>65</v>
      </c>
      <c r="I45" s="4"/>
      <c r="J45" s="4"/>
      <c r="K45" s="4">
        <v>232</v>
      </c>
      <c r="L45" s="4">
        <v>15</v>
      </c>
      <c r="M45" s="4">
        <v>3</v>
      </c>
      <c r="N45" s="4" t="s">
        <v>3</v>
      </c>
      <c r="O45" s="4">
        <v>0</v>
      </c>
      <c r="P45" s="4"/>
      <c r="Q45" s="4"/>
      <c r="R45" s="4"/>
      <c r="S45" s="4"/>
      <c r="T45" s="4"/>
      <c r="U45" s="4"/>
      <c r="V45" s="4"/>
      <c r="W45" s="4"/>
    </row>
    <row r="46" spans="1:23" x14ac:dyDescent="0.2">
      <c r="A46" s="4">
        <v>50</v>
      </c>
      <c r="B46" s="4">
        <v>0</v>
      </c>
      <c r="C46" s="4">
        <v>0</v>
      </c>
      <c r="D46" s="4">
        <v>1</v>
      </c>
      <c r="E46" s="4">
        <v>214</v>
      </c>
      <c r="F46" s="4">
        <f>ROUND(Source!AS29,O46)</f>
        <v>0</v>
      </c>
      <c r="G46" s="4" t="s">
        <v>66</v>
      </c>
      <c r="H46" s="4" t="s">
        <v>67</v>
      </c>
      <c r="I46" s="4"/>
      <c r="J46" s="4"/>
      <c r="K46" s="4">
        <v>214</v>
      </c>
      <c r="L46" s="4">
        <v>16</v>
      </c>
      <c r="M46" s="4">
        <v>3</v>
      </c>
      <c r="N46" s="4" t="s">
        <v>3</v>
      </c>
      <c r="O46" s="4">
        <v>0</v>
      </c>
      <c r="P46" s="4"/>
      <c r="Q46" s="4"/>
      <c r="R46" s="4"/>
      <c r="S46" s="4"/>
      <c r="T46" s="4"/>
      <c r="U46" s="4"/>
      <c r="V46" s="4"/>
      <c r="W46" s="4"/>
    </row>
    <row r="47" spans="1:23" x14ac:dyDescent="0.2">
      <c r="A47" s="4">
        <v>50</v>
      </c>
      <c r="B47" s="4">
        <v>0</v>
      </c>
      <c r="C47" s="4">
        <v>0</v>
      </c>
      <c r="D47" s="4">
        <v>1</v>
      </c>
      <c r="E47" s="4">
        <v>215</v>
      </c>
      <c r="F47" s="4">
        <f>ROUND(Source!AT29,O47)</f>
        <v>0</v>
      </c>
      <c r="G47" s="4" t="s">
        <v>68</v>
      </c>
      <c r="H47" s="4" t="s">
        <v>69</v>
      </c>
      <c r="I47" s="4"/>
      <c r="J47" s="4"/>
      <c r="K47" s="4">
        <v>215</v>
      </c>
      <c r="L47" s="4">
        <v>17</v>
      </c>
      <c r="M47" s="4">
        <v>3</v>
      </c>
      <c r="N47" s="4" t="s">
        <v>3</v>
      </c>
      <c r="O47" s="4">
        <v>0</v>
      </c>
      <c r="P47" s="4"/>
      <c r="Q47" s="4"/>
      <c r="R47" s="4"/>
      <c r="S47" s="4"/>
      <c r="T47" s="4"/>
      <c r="U47" s="4"/>
      <c r="V47" s="4"/>
      <c r="W47" s="4"/>
    </row>
    <row r="48" spans="1:23" x14ac:dyDescent="0.2">
      <c r="A48" s="4">
        <v>50</v>
      </c>
      <c r="B48" s="4">
        <v>0</v>
      </c>
      <c r="C48" s="4">
        <v>0</v>
      </c>
      <c r="D48" s="4">
        <v>1</v>
      </c>
      <c r="E48" s="4">
        <v>217</v>
      </c>
      <c r="F48" s="4">
        <f>ROUND(Source!AU29,O48)</f>
        <v>184337</v>
      </c>
      <c r="G48" s="4" t="s">
        <v>70</v>
      </c>
      <c r="H48" s="4" t="s">
        <v>71</v>
      </c>
      <c r="I48" s="4"/>
      <c r="J48" s="4"/>
      <c r="K48" s="4">
        <v>217</v>
      </c>
      <c r="L48" s="4">
        <v>18</v>
      </c>
      <c r="M48" s="4">
        <v>3</v>
      </c>
      <c r="N48" s="4" t="s">
        <v>3</v>
      </c>
      <c r="O48" s="4">
        <v>0</v>
      </c>
      <c r="P48" s="4"/>
      <c r="Q48" s="4"/>
      <c r="R48" s="4"/>
      <c r="S48" s="4"/>
      <c r="T48" s="4"/>
      <c r="U48" s="4"/>
      <c r="V48" s="4"/>
      <c r="W48" s="4"/>
    </row>
    <row r="49" spans="1:206" x14ac:dyDescent="0.2">
      <c r="A49" s="4">
        <v>50</v>
      </c>
      <c r="B49" s="4">
        <v>0</v>
      </c>
      <c r="C49" s="4">
        <v>0</v>
      </c>
      <c r="D49" s="4">
        <v>1</v>
      </c>
      <c r="E49" s="4">
        <v>230</v>
      </c>
      <c r="F49" s="4">
        <f>ROUND(Source!BA29,O49)</f>
        <v>0</v>
      </c>
      <c r="G49" s="4" t="s">
        <v>72</v>
      </c>
      <c r="H49" s="4" t="s">
        <v>73</v>
      </c>
      <c r="I49" s="4"/>
      <c r="J49" s="4"/>
      <c r="K49" s="4">
        <v>230</v>
      </c>
      <c r="L49" s="4">
        <v>19</v>
      </c>
      <c r="M49" s="4">
        <v>3</v>
      </c>
      <c r="N49" s="4" t="s">
        <v>3</v>
      </c>
      <c r="O49" s="4">
        <v>0</v>
      </c>
      <c r="P49" s="4"/>
      <c r="Q49" s="4"/>
      <c r="R49" s="4"/>
      <c r="S49" s="4"/>
      <c r="T49" s="4"/>
      <c r="U49" s="4"/>
      <c r="V49" s="4"/>
      <c r="W49" s="4"/>
    </row>
    <row r="50" spans="1:206" x14ac:dyDescent="0.2">
      <c r="A50" s="4">
        <v>50</v>
      </c>
      <c r="B50" s="4">
        <v>0</v>
      </c>
      <c r="C50" s="4">
        <v>0</v>
      </c>
      <c r="D50" s="4">
        <v>1</v>
      </c>
      <c r="E50" s="4">
        <v>206</v>
      </c>
      <c r="F50" s="4">
        <f>ROUND(Source!T29,O50)</f>
        <v>0</v>
      </c>
      <c r="G50" s="4" t="s">
        <v>74</v>
      </c>
      <c r="H50" s="4" t="s">
        <v>75</v>
      </c>
      <c r="I50" s="4"/>
      <c r="J50" s="4"/>
      <c r="K50" s="4">
        <v>206</v>
      </c>
      <c r="L50" s="4">
        <v>20</v>
      </c>
      <c r="M50" s="4">
        <v>3</v>
      </c>
      <c r="N50" s="4" t="s">
        <v>3</v>
      </c>
      <c r="O50" s="4">
        <v>0</v>
      </c>
      <c r="P50" s="4"/>
      <c r="Q50" s="4"/>
      <c r="R50" s="4"/>
      <c r="S50" s="4"/>
      <c r="T50" s="4"/>
      <c r="U50" s="4"/>
      <c r="V50" s="4"/>
      <c r="W50" s="4"/>
    </row>
    <row r="51" spans="1:206" x14ac:dyDescent="0.2">
      <c r="A51" s="4">
        <v>50</v>
      </c>
      <c r="B51" s="4">
        <v>0</v>
      </c>
      <c r="C51" s="4">
        <v>0</v>
      </c>
      <c r="D51" s="4">
        <v>1</v>
      </c>
      <c r="E51" s="4">
        <v>207</v>
      </c>
      <c r="F51" s="4">
        <f>Source!U29</f>
        <v>219.85599999999999</v>
      </c>
      <c r="G51" s="4" t="s">
        <v>76</v>
      </c>
      <c r="H51" s="4" t="s">
        <v>77</v>
      </c>
      <c r="I51" s="4"/>
      <c r="J51" s="4"/>
      <c r="K51" s="4">
        <v>207</v>
      </c>
      <c r="L51" s="4">
        <v>21</v>
      </c>
      <c r="M51" s="4">
        <v>3</v>
      </c>
      <c r="N51" s="4" t="s">
        <v>3</v>
      </c>
      <c r="O51" s="4">
        <v>-1</v>
      </c>
      <c r="P51" s="4"/>
      <c r="Q51" s="4"/>
      <c r="R51" s="4"/>
      <c r="S51" s="4"/>
      <c r="T51" s="4"/>
      <c r="U51" s="4"/>
      <c r="V51" s="4"/>
      <c r="W51" s="4"/>
    </row>
    <row r="52" spans="1:206" x14ac:dyDescent="0.2">
      <c r="A52" s="4">
        <v>50</v>
      </c>
      <c r="B52" s="4">
        <v>0</v>
      </c>
      <c r="C52" s="4">
        <v>0</v>
      </c>
      <c r="D52" s="4">
        <v>1</v>
      </c>
      <c r="E52" s="4">
        <v>208</v>
      </c>
      <c r="F52" s="4">
        <f>Source!V29</f>
        <v>0</v>
      </c>
      <c r="G52" s="4" t="s">
        <v>78</v>
      </c>
      <c r="H52" s="4" t="s">
        <v>79</v>
      </c>
      <c r="I52" s="4"/>
      <c r="J52" s="4"/>
      <c r="K52" s="4">
        <v>208</v>
      </c>
      <c r="L52" s="4">
        <v>22</v>
      </c>
      <c r="M52" s="4">
        <v>3</v>
      </c>
      <c r="N52" s="4" t="s">
        <v>3</v>
      </c>
      <c r="O52" s="4">
        <v>-1</v>
      </c>
      <c r="P52" s="4"/>
      <c r="Q52" s="4"/>
      <c r="R52" s="4"/>
      <c r="S52" s="4"/>
      <c r="T52" s="4"/>
      <c r="U52" s="4"/>
      <c r="V52" s="4"/>
      <c r="W52" s="4"/>
    </row>
    <row r="53" spans="1:206" x14ac:dyDescent="0.2">
      <c r="A53" s="4">
        <v>50</v>
      </c>
      <c r="B53" s="4">
        <v>0</v>
      </c>
      <c r="C53" s="4">
        <v>0</v>
      </c>
      <c r="D53" s="4">
        <v>1</v>
      </c>
      <c r="E53" s="4">
        <v>209</v>
      </c>
      <c r="F53" s="4">
        <f>ROUND(Source!W29,O53)</f>
        <v>0</v>
      </c>
      <c r="G53" s="4" t="s">
        <v>80</v>
      </c>
      <c r="H53" s="4" t="s">
        <v>81</v>
      </c>
      <c r="I53" s="4"/>
      <c r="J53" s="4"/>
      <c r="K53" s="4">
        <v>209</v>
      </c>
      <c r="L53" s="4">
        <v>23</v>
      </c>
      <c r="M53" s="4">
        <v>3</v>
      </c>
      <c r="N53" s="4" t="s">
        <v>3</v>
      </c>
      <c r="O53" s="4">
        <v>0</v>
      </c>
      <c r="P53" s="4"/>
      <c r="Q53" s="4"/>
      <c r="R53" s="4"/>
      <c r="S53" s="4"/>
      <c r="T53" s="4"/>
      <c r="U53" s="4"/>
      <c r="V53" s="4"/>
      <c r="W53" s="4"/>
    </row>
    <row r="54" spans="1:206" x14ac:dyDescent="0.2">
      <c r="A54" s="4">
        <v>50</v>
      </c>
      <c r="B54" s="4">
        <v>0</v>
      </c>
      <c r="C54" s="4">
        <v>0</v>
      </c>
      <c r="D54" s="4">
        <v>1</v>
      </c>
      <c r="E54" s="4">
        <v>233</v>
      </c>
      <c r="F54" s="4">
        <f>ROUND(Source!BD29,O54)</f>
        <v>0</v>
      </c>
      <c r="G54" s="4" t="s">
        <v>82</v>
      </c>
      <c r="H54" s="4" t="s">
        <v>83</v>
      </c>
      <c r="I54" s="4"/>
      <c r="J54" s="4"/>
      <c r="K54" s="4">
        <v>233</v>
      </c>
      <c r="L54" s="4">
        <v>24</v>
      </c>
      <c r="M54" s="4">
        <v>3</v>
      </c>
      <c r="N54" s="4" t="s">
        <v>3</v>
      </c>
      <c r="O54" s="4">
        <v>0</v>
      </c>
      <c r="P54" s="4"/>
      <c r="Q54" s="4"/>
      <c r="R54" s="4"/>
      <c r="S54" s="4"/>
      <c r="T54" s="4"/>
      <c r="U54" s="4"/>
      <c r="V54" s="4"/>
      <c r="W54" s="4"/>
    </row>
    <row r="55" spans="1:206" x14ac:dyDescent="0.2">
      <c r="A55" s="4">
        <v>50</v>
      </c>
      <c r="B55" s="4">
        <v>0</v>
      </c>
      <c r="C55" s="4">
        <v>0</v>
      </c>
      <c r="D55" s="4">
        <v>1</v>
      </c>
      <c r="E55" s="4">
        <v>210</v>
      </c>
      <c r="F55" s="4">
        <f>ROUND(Source!X29,O55)</f>
        <v>58449</v>
      </c>
      <c r="G55" s="4" t="s">
        <v>84</v>
      </c>
      <c r="H55" s="4" t="s">
        <v>85</v>
      </c>
      <c r="I55" s="4"/>
      <c r="J55" s="4"/>
      <c r="K55" s="4">
        <v>210</v>
      </c>
      <c r="L55" s="4">
        <v>25</v>
      </c>
      <c r="M55" s="4">
        <v>3</v>
      </c>
      <c r="N55" s="4" t="s">
        <v>3</v>
      </c>
      <c r="O55" s="4">
        <v>0</v>
      </c>
      <c r="P55" s="4"/>
      <c r="Q55" s="4"/>
      <c r="R55" s="4"/>
      <c r="S55" s="4"/>
      <c r="T55" s="4"/>
      <c r="U55" s="4"/>
      <c r="V55" s="4"/>
      <c r="W55" s="4"/>
    </row>
    <row r="56" spans="1:206" x14ac:dyDescent="0.2">
      <c r="A56" s="4">
        <v>50</v>
      </c>
      <c r="B56" s="4">
        <v>0</v>
      </c>
      <c r="C56" s="4">
        <v>0</v>
      </c>
      <c r="D56" s="4">
        <v>1</v>
      </c>
      <c r="E56" s="4">
        <v>211</v>
      </c>
      <c r="F56" s="4">
        <f>ROUND(Source!Y29,O56)</f>
        <v>35968</v>
      </c>
      <c r="G56" s="4" t="s">
        <v>86</v>
      </c>
      <c r="H56" s="4" t="s">
        <v>87</v>
      </c>
      <c r="I56" s="4"/>
      <c r="J56" s="4"/>
      <c r="K56" s="4">
        <v>211</v>
      </c>
      <c r="L56" s="4">
        <v>26</v>
      </c>
      <c r="M56" s="4">
        <v>3</v>
      </c>
      <c r="N56" s="4" t="s">
        <v>3</v>
      </c>
      <c r="O56" s="4">
        <v>0</v>
      </c>
      <c r="P56" s="4"/>
      <c r="Q56" s="4"/>
      <c r="R56" s="4"/>
      <c r="S56" s="4"/>
      <c r="T56" s="4"/>
      <c r="U56" s="4"/>
      <c r="V56" s="4"/>
      <c r="W56" s="4"/>
    </row>
    <row r="57" spans="1:206" x14ac:dyDescent="0.2">
      <c r="A57" s="4">
        <v>50</v>
      </c>
      <c r="B57" s="4">
        <v>0</v>
      </c>
      <c r="C57" s="4">
        <v>0</v>
      </c>
      <c r="D57" s="4">
        <v>1</v>
      </c>
      <c r="E57" s="4">
        <v>224</v>
      </c>
      <c r="F57" s="4">
        <f>ROUND(Source!AR29,O57)</f>
        <v>184337</v>
      </c>
      <c r="G57" s="4" t="s">
        <v>88</v>
      </c>
      <c r="H57" s="4" t="s">
        <v>89</v>
      </c>
      <c r="I57" s="4"/>
      <c r="J57" s="4"/>
      <c r="K57" s="4">
        <v>224</v>
      </c>
      <c r="L57" s="4">
        <v>27</v>
      </c>
      <c r="M57" s="4">
        <v>3</v>
      </c>
      <c r="N57" s="4" t="s">
        <v>3</v>
      </c>
      <c r="O57" s="4">
        <v>0</v>
      </c>
      <c r="P57" s="4"/>
      <c r="Q57" s="4"/>
      <c r="R57" s="4"/>
      <c r="S57" s="4"/>
      <c r="T57" s="4"/>
      <c r="U57" s="4"/>
      <c r="V57" s="4"/>
      <c r="W57" s="4"/>
    </row>
    <row r="58" spans="1:206" x14ac:dyDescent="0.2">
      <c r="A58" s="4">
        <v>50</v>
      </c>
      <c r="B58" s="4">
        <v>1</v>
      </c>
      <c r="C58" s="4">
        <v>0</v>
      </c>
      <c r="D58" s="4">
        <v>2</v>
      </c>
      <c r="E58" s="4">
        <v>0</v>
      </c>
      <c r="F58" s="4">
        <f>ROUND(F57,O58)</f>
        <v>184337</v>
      </c>
      <c r="G58" s="4" t="s">
        <v>90</v>
      </c>
      <c r="H58" s="4" t="s">
        <v>91</v>
      </c>
      <c r="I58" s="4"/>
      <c r="J58" s="4"/>
      <c r="K58" s="4">
        <v>212</v>
      </c>
      <c r="L58" s="4">
        <v>28</v>
      </c>
      <c r="M58" s="4">
        <v>0</v>
      </c>
      <c r="N58" s="4" t="s">
        <v>3</v>
      </c>
      <c r="O58" s="4">
        <v>2</v>
      </c>
      <c r="P58" s="4"/>
      <c r="Q58" s="4"/>
      <c r="R58" s="4"/>
      <c r="S58" s="4"/>
      <c r="T58" s="4"/>
      <c r="U58" s="4"/>
      <c r="V58" s="4"/>
      <c r="W58" s="4"/>
    </row>
    <row r="59" spans="1:206" x14ac:dyDescent="0.2">
      <c r="A59" s="4">
        <v>50</v>
      </c>
      <c r="B59" s="4">
        <v>1</v>
      </c>
      <c r="C59" s="4">
        <v>0</v>
      </c>
      <c r="D59" s="4">
        <v>2</v>
      </c>
      <c r="E59" s="4">
        <v>0</v>
      </c>
      <c r="F59" s="4">
        <f>ROUND(F58*0.2,O59)</f>
        <v>36867.4</v>
      </c>
      <c r="G59" s="4" t="s">
        <v>92</v>
      </c>
      <c r="H59" s="4" t="s">
        <v>93</v>
      </c>
      <c r="I59" s="4"/>
      <c r="J59" s="4"/>
      <c r="K59" s="4">
        <v>212</v>
      </c>
      <c r="L59" s="4">
        <v>29</v>
      </c>
      <c r="M59" s="4">
        <v>0</v>
      </c>
      <c r="N59" s="4" t="s">
        <v>3</v>
      </c>
      <c r="O59" s="4">
        <v>2</v>
      </c>
      <c r="P59" s="4"/>
      <c r="Q59" s="4"/>
      <c r="R59" s="4"/>
      <c r="S59" s="4"/>
      <c r="T59" s="4"/>
      <c r="U59" s="4"/>
      <c r="V59" s="4"/>
      <c r="W59" s="4"/>
    </row>
    <row r="60" spans="1:206" x14ac:dyDescent="0.2">
      <c r="A60" s="4">
        <v>50</v>
      </c>
      <c r="B60" s="4">
        <v>1</v>
      </c>
      <c r="C60" s="4">
        <v>0</v>
      </c>
      <c r="D60" s="4">
        <v>2</v>
      </c>
      <c r="E60" s="4">
        <v>213</v>
      </c>
      <c r="F60" s="4">
        <f>ROUND(F58+F59,O60)</f>
        <v>221204.4</v>
      </c>
      <c r="G60" s="4" t="s">
        <v>94</v>
      </c>
      <c r="H60" s="4" t="s">
        <v>88</v>
      </c>
      <c r="I60" s="4"/>
      <c r="J60" s="4"/>
      <c r="K60" s="4">
        <v>212</v>
      </c>
      <c r="L60" s="4">
        <v>30</v>
      </c>
      <c r="M60" s="4">
        <v>0</v>
      </c>
      <c r="N60" s="4" t="s">
        <v>3</v>
      </c>
      <c r="O60" s="4">
        <v>2</v>
      </c>
      <c r="P60" s="4"/>
      <c r="Q60" s="4"/>
      <c r="R60" s="4"/>
      <c r="S60" s="4"/>
      <c r="T60" s="4"/>
      <c r="U60" s="4"/>
      <c r="V60" s="4"/>
      <c r="W60" s="4"/>
    </row>
    <row r="62" spans="1:206" x14ac:dyDescent="0.2">
      <c r="A62" s="2">
        <v>51</v>
      </c>
      <c r="B62" s="2">
        <f>B12</f>
        <v>124</v>
      </c>
      <c r="C62" s="2">
        <f>A12</f>
        <v>1</v>
      </c>
      <c r="D62" s="2">
        <f>ROW(A12)</f>
        <v>12</v>
      </c>
      <c r="E62" s="2"/>
      <c r="F62" s="2" t="str">
        <f>IF(F12&lt;&gt;"",F12,"")</f>
        <v>1</v>
      </c>
      <c r="G62" s="2" t="str">
        <f>IF(G12&lt;&gt;"",G12,"")</f>
        <v>Замеры сопротивления</v>
      </c>
      <c r="H62" s="2">
        <v>0</v>
      </c>
      <c r="I62" s="2"/>
      <c r="J62" s="2"/>
      <c r="K62" s="2"/>
      <c r="L62" s="2"/>
      <c r="M62" s="2"/>
      <c r="N62" s="2"/>
      <c r="O62" s="2">
        <f t="shared" ref="O62:T62" si="20">ROUND(O29,0)</f>
        <v>89920</v>
      </c>
      <c r="P62" s="2">
        <f t="shared" si="20"/>
        <v>0</v>
      </c>
      <c r="Q62" s="2">
        <f t="shared" si="20"/>
        <v>0</v>
      </c>
      <c r="R62" s="2">
        <f t="shared" si="20"/>
        <v>0</v>
      </c>
      <c r="S62" s="2">
        <f t="shared" si="20"/>
        <v>89920</v>
      </c>
      <c r="T62" s="2">
        <f t="shared" si="20"/>
        <v>0</v>
      </c>
      <c r="U62" s="2">
        <f>U29</f>
        <v>219.85599999999999</v>
      </c>
      <c r="V62" s="2">
        <f>V29</f>
        <v>0</v>
      </c>
      <c r="W62" s="2">
        <f>ROUND(W29,0)</f>
        <v>0</v>
      </c>
      <c r="X62" s="2">
        <f>ROUND(X29,0)</f>
        <v>58449</v>
      </c>
      <c r="Y62" s="2">
        <f>ROUND(Y29,0)</f>
        <v>35968</v>
      </c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>
        <f t="shared" ref="AO62:BD62" si="21">ROUND(AO29,0)</f>
        <v>0</v>
      </c>
      <c r="AP62" s="2">
        <f t="shared" si="21"/>
        <v>0</v>
      </c>
      <c r="AQ62" s="2">
        <f t="shared" si="21"/>
        <v>0</v>
      </c>
      <c r="AR62" s="2">
        <f t="shared" si="21"/>
        <v>184337</v>
      </c>
      <c r="AS62" s="2">
        <f t="shared" si="21"/>
        <v>0</v>
      </c>
      <c r="AT62" s="2">
        <f t="shared" si="21"/>
        <v>0</v>
      </c>
      <c r="AU62" s="2">
        <f t="shared" si="21"/>
        <v>184337</v>
      </c>
      <c r="AV62" s="2">
        <f t="shared" si="21"/>
        <v>0</v>
      </c>
      <c r="AW62" s="2">
        <f t="shared" si="21"/>
        <v>0</v>
      </c>
      <c r="AX62" s="2">
        <f t="shared" si="21"/>
        <v>0</v>
      </c>
      <c r="AY62" s="2">
        <f t="shared" si="21"/>
        <v>0</v>
      </c>
      <c r="AZ62" s="2">
        <f t="shared" si="21"/>
        <v>0</v>
      </c>
      <c r="BA62" s="2">
        <f t="shared" si="21"/>
        <v>0</v>
      </c>
      <c r="BB62" s="2">
        <f t="shared" si="21"/>
        <v>0</v>
      </c>
      <c r="BC62" s="2">
        <f t="shared" si="21"/>
        <v>0</v>
      </c>
      <c r="BD62" s="2">
        <f t="shared" si="21"/>
        <v>0</v>
      </c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>
        <v>0</v>
      </c>
    </row>
    <row r="64" spans="1:206" x14ac:dyDescent="0.2">
      <c r="A64" s="4">
        <v>50</v>
      </c>
      <c r="B64" s="4">
        <v>0</v>
      </c>
      <c r="C64" s="4">
        <v>0</v>
      </c>
      <c r="D64" s="4">
        <v>1</v>
      </c>
      <c r="E64" s="4">
        <v>201</v>
      </c>
      <c r="F64" s="4">
        <f>ROUND(Source!O62,O64)</f>
        <v>89920</v>
      </c>
      <c r="G64" s="4" t="s">
        <v>36</v>
      </c>
      <c r="H64" s="4" t="s">
        <v>37</v>
      </c>
      <c r="I64" s="4"/>
      <c r="J64" s="4"/>
      <c r="K64" s="4">
        <v>201</v>
      </c>
      <c r="L64" s="4">
        <v>1</v>
      </c>
      <c r="M64" s="4">
        <v>3</v>
      </c>
      <c r="N64" s="4" t="s">
        <v>3</v>
      </c>
      <c r="O64" s="4">
        <v>0</v>
      </c>
      <c r="P64" s="4"/>
      <c r="Q64" s="4"/>
      <c r="R64" s="4"/>
      <c r="S64" s="4"/>
      <c r="T64" s="4"/>
      <c r="U64" s="4"/>
      <c r="V64" s="4"/>
      <c r="W64" s="4"/>
    </row>
    <row r="65" spans="1:23" x14ac:dyDescent="0.2">
      <c r="A65" s="4">
        <v>50</v>
      </c>
      <c r="B65" s="4">
        <v>0</v>
      </c>
      <c r="C65" s="4">
        <v>0</v>
      </c>
      <c r="D65" s="4">
        <v>1</v>
      </c>
      <c r="E65" s="4">
        <v>202</v>
      </c>
      <c r="F65" s="4">
        <f>ROUND(Source!P62,O65)</f>
        <v>0</v>
      </c>
      <c r="G65" s="4" t="s">
        <v>38</v>
      </c>
      <c r="H65" s="4" t="s">
        <v>39</v>
      </c>
      <c r="I65" s="4"/>
      <c r="J65" s="4"/>
      <c r="K65" s="4">
        <v>202</v>
      </c>
      <c r="L65" s="4">
        <v>2</v>
      </c>
      <c r="M65" s="4">
        <v>3</v>
      </c>
      <c r="N65" s="4" t="s">
        <v>3</v>
      </c>
      <c r="O65" s="4">
        <v>0</v>
      </c>
      <c r="P65" s="4"/>
      <c r="Q65" s="4"/>
      <c r="R65" s="4"/>
      <c r="S65" s="4"/>
      <c r="T65" s="4"/>
      <c r="U65" s="4"/>
      <c r="V65" s="4"/>
      <c r="W65" s="4"/>
    </row>
    <row r="66" spans="1:23" x14ac:dyDescent="0.2">
      <c r="A66" s="4">
        <v>50</v>
      </c>
      <c r="B66" s="4">
        <v>0</v>
      </c>
      <c r="C66" s="4">
        <v>0</v>
      </c>
      <c r="D66" s="4">
        <v>1</v>
      </c>
      <c r="E66" s="4">
        <v>222</v>
      </c>
      <c r="F66" s="4">
        <f>ROUND(Source!AO62,O66)</f>
        <v>0</v>
      </c>
      <c r="G66" s="4" t="s">
        <v>40</v>
      </c>
      <c r="H66" s="4" t="s">
        <v>41</v>
      </c>
      <c r="I66" s="4"/>
      <c r="J66" s="4"/>
      <c r="K66" s="4">
        <v>222</v>
      </c>
      <c r="L66" s="4">
        <v>3</v>
      </c>
      <c r="M66" s="4">
        <v>3</v>
      </c>
      <c r="N66" s="4" t="s">
        <v>3</v>
      </c>
      <c r="O66" s="4">
        <v>0</v>
      </c>
      <c r="P66" s="4"/>
      <c r="Q66" s="4"/>
      <c r="R66" s="4"/>
      <c r="S66" s="4"/>
      <c r="T66" s="4"/>
      <c r="U66" s="4"/>
      <c r="V66" s="4"/>
      <c r="W66" s="4"/>
    </row>
    <row r="67" spans="1:23" x14ac:dyDescent="0.2">
      <c r="A67" s="4">
        <v>50</v>
      </c>
      <c r="B67" s="4">
        <v>0</v>
      </c>
      <c r="C67" s="4">
        <v>0</v>
      </c>
      <c r="D67" s="4">
        <v>1</v>
      </c>
      <c r="E67" s="4">
        <v>225</v>
      </c>
      <c r="F67" s="4">
        <f>ROUND(Source!AV62,O67)</f>
        <v>0</v>
      </c>
      <c r="G67" s="4" t="s">
        <v>42</v>
      </c>
      <c r="H67" s="4" t="s">
        <v>43</v>
      </c>
      <c r="I67" s="4"/>
      <c r="J67" s="4"/>
      <c r="K67" s="4">
        <v>225</v>
      </c>
      <c r="L67" s="4">
        <v>4</v>
      </c>
      <c r="M67" s="4">
        <v>3</v>
      </c>
      <c r="N67" s="4" t="s">
        <v>3</v>
      </c>
      <c r="O67" s="4">
        <v>0</v>
      </c>
      <c r="P67" s="4"/>
      <c r="Q67" s="4"/>
      <c r="R67" s="4"/>
      <c r="S67" s="4"/>
      <c r="T67" s="4"/>
      <c r="U67" s="4"/>
      <c r="V67" s="4"/>
      <c r="W67" s="4"/>
    </row>
    <row r="68" spans="1:23" x14ac:dyDescent="0.2">
      <c r="A68" s="4">
        <v>50</v>
      </c>
      <c r="B68" s="4">
        <v>0</v>
      </c>
      <c r="C68" s="4">
        <v>0</v>
      </c>
      <c r="D68" s="4">
        <v>1</v>
      </c>
      <c r="E68" s="4">
        <v>226</v>
      </c>
      <c r="F68" s="4">
        <f>ROUND(Source!AW62,O68)</f>
        <v>0</v>
      </c>
      <c r="G68" s="4" t="s">
        <v>44</v>
      </c>
      <c r="H68" s="4" t="s">
        <v>45</v>
      </c>
      <c r="I68" s="4"/>
      <c r="J68" s="4"/>
      <c r="K68" s="4">
        <v>226</v>
      </c>
      <c r="L68" s="4">
        <v>5</v>
      </c>
      <c r="M68" s="4">
        <v>3</v>
      </c>
      <c r="N68" s="4" t="s">
        <v>3</v>
      </c>
      <c r="O68" s="4">
        <v>0</v>
      </c>
      <c r="P68" s="4"/>
      <c r="Q68" s="4"/>
      <c r="R68" s="4"/>
      <c r="S68" s="4"/>
      <c r="T68" s="4"/>
      <c r="U68" s="4"/>
      <c r="V68" s="4"/>
      <c r="W68" s="4"/>
    </row>
    <row r="69" spans="1:23" x14ac:dyDescent="0.2">
      <c r="A69" s="4">
        <v>50</v>
      </c>
      <c r="B69" s="4">
        <v>0</v>
      </c>
      <c r="C69" s="4">
        <v>0</v>
      </c>
      <c r="D69" s="4">
        <v>1</v>
      </c>
      <c r="E69" s="4">
        <v>227</v>
      </c>
      <c r="F69" s="4">
        <f>ROUND(Source!AX62,O69)</f>
        <v>0</v>
      </c>
      <c r="G69" s="4" t="s">
        <v>46</v>
      </c>
      <c r="H69" s="4" t="s">
        <v>47</v>
      </c>
      <c r="I69" s="4"/>
      <c r="J69" s="4"/>
      <c r="K69" s="4">
        <v>227</v>
      </c>
      <c r="L69" s="4">
        <v>6</v>
      </c>
      <c r="M69" s="4">
        <v>3</v>
      </c>
      <c r="N69" s="4" t="s">
        <v>3</v>
      </c>
      <c r="O69" s="4">
        <v>0</v>
      </c>
      <c r="P69" s="4"/>
      <c r="Q69" s="4"/>
      <c r="R69" s="4"/>
      <c r="S69" s="4"/>
      <c r="T69" s="4"/>
      <c r="U69" s="4"/>
      <c r="V69" s="4"/>
      <c r="W69" s="4"/>
    </row>
    <row r="70" spans="1:23" x14ac:dyDescent="0.2">
      <c r="A70" s="4">
        <v>50</v>
      </c>
      <c r="B70" s="4">
        <v>0</v>
      </c>
      <c r="C70" s="4">
        <v>0</v>
      </c>
      <c r="D70" s="4">
        <v>1</v>
      </c>
      <c r="E70" s="4">
        <v>228</v>
      </c>
      <c r="F70" s="4">
        <f>ROUND(Source!AY62,O70)</f>
        <v>0</v>
      </c>
      <c r="G70" s="4" t="s">
        <v>48</v>
      </c>
      <c r="H70" s="4" t="s">
        <v>49</v>
      </c>
      <c r="I70" s="4"/>
      <c r="J70" s="4"/>
      <c r="K70" s="4">
        <v>228</v>
      </c>
      <c r="L70" s="4">
        <v>7</v>
      </c>
      <c r="M70" s="4">
        <v>3</v>
      </c>
      <c r="N70" s="4" t="s">
        <v>3</v>
      </c>
      <c r="O70" s="4">
        <v>0</v>
      </c>
      <c r="P70" s="4"/>
      <c r="Q70" s="4"/>
      <c r="R70" s="4"/>
      <c r="S70" s="4"/>
      <c r="T70" s="4"/>
      <c r="U70" s="4"/>
      <c r="V70" s="4"/>
      <c r="W70" s="4"/>
    </row>
    <row r="71" spans="1:23" x14ac:dyDescent="0.2">
      <c r="A71" s="4">
        <v>50</v>
      </c>
      <c r="B71" s="4">
        <v>0</v>
      </c>
      <c r="C71" s="4">
        <v>0</v>
      </c>
      <c r="D71" s="4">
        <v>1</v>
      </c>
      <c r="E71" s="4">
        <v>216</v>
      </c>
      <c r="F71" s="4">
        <f>ROUND(Source!AP62,O71)</f>
        <v>0</v>
      </c>
      <c r="G71" s="4" t="s">
        <v>50</v>
      </c>
      <c r="H71" s="4" t="s">
        <v>51</v>
      </c>
      <c r="I71" s="4"/>
      <c r="J71" s="4"/>
      <c r="K71" s="4">
        <v>216</v>
      </c>
      <c r="L71" s="4">
        <v>8</v>
      </c>
      <c r="M71" s="4">
        <v>3</v>
      </c>
      <c r="N71" s="4" t="s">
        <v>3</v>
      </c>
      <c r="O71" s="4">
        <v>0</v>
      </c>
      <c r="P71" s="4"/>
      <c r="Q71" s="4"/>
      <c r="R71" s="4"/>
      <c r="S71" s="4"/>
      <c r="T71" s="4"/>
      <c r="U71" s="4"/>
      <c r="V71" s="4"/>
      <c r="W71" s="4"/>
    </row>
    <row r="72" spans="1:23" x14ac:dyDescent="0.2">
      <c r="A72" s="4">
        <v>50</v>
      </c>
      <c r="B72" s="4">
        <v>0</v>
      </c>
      <c r="C72" s="4">
        <v>0</v>
      </c>
      <c r="D72" s="4">
        <v>1</v>
      </c>
      <c r="E72" s="4">
        <v>223</v>
      </c>
      <c r="F72" s="4">
        <f>ROUND(Source!AQ62,O72)</f>
        <v>0</v>
      </c>
      <c r="G72" s="4" t="s">
        <v>52</v>
      </c>
      <c r="H72" s="4" t="s">
        <v>53</v>
      </c>
      <c r="I72" s="4"/>
      <c r="J72" s="4"/>
      <c r="K72" s="4">
        <v>223</v>
      </c>
      <c r="L72" s="4">
        <v>9</v>
      </c>
      <c r="M72" s="4">
        <v>3</v>
      </c>
      <c r="N72" s="4" t="s">
        <v>3</v>
      </c>
      <c r="O72" s="4">
        <v>0</v>
      </c>
      <c r="P72" s="4"/>
      <c r="Q72" s="4"/>
      <c r="R72" s="4"/>
      <c r="S72" s="4"/>
      <c r="T72" s="4"/>
      <c r="U72" s="4"/>
      <c r="V72" s="4"/>
      <c r="W72" s="4"/>
    </row>
    <row r="73" spans="1:23" x14ac:dyDescent="0.2">
      <c r="A73" s="4">
        <v>50</v>
      </c>
      <c r="B73" s="4">
        <v>0</v>
      </c>
      <c r="C73" s="4">
        <v>0</v>
      </c>
      <c r="D73" s="4">
        <v>1</v>
      </c>
      <c r="E73" s="4">
        <v>229</v>
      </c>
      <c r="F73" s="4">
        <f>ROUND(Source!AZ62,O73)</f>
        <v>0</v>
      </c>
      <c r="G73" s="4" t="s">
        <v>54</v>
      </c>
      <c r="H73" s="4" t="s">
        <v>55</v>
      </c>
      <c r="I73" s="4"/>
      <c r="J73" s="4"/>
      <c r="K73" s="4">
        <v>229</v>
      </c>
      <c r="L73" s="4">
        <v>10</v>
      </c>
      <c r="M73" s="4">
        <v>3</v>
      </c>
      <c r="N73" s="4" t="s">
        <v>3</v>
      </c>
      <c r="O73" s="4">
        <v>0</v>
      </c>
      <c r="P73" s="4"/>
      <c r="Q73" s="4"/>
      <c r="R73" s="4"/>
      <c r="S73" s="4"/>
      <c r="T73" s="4"/>
      <c r="U73" s="4"/>
      <c r="V73" s="4"/>
      <c r="W73" s="4"/>
    </row>
    <row r="74" spans="1:23" x14ac:dyDescent="0.2">
      <c r="A74" s="4">
        <v>50</v>
      </c>
      <c r="B74" s="4">
        <v>0</v>
      </c>
      <c r="C74" s="4">
        <v>0</v>
      </c>
      <c r="D74" s="4">
        <v>1</v>
      </c>
      <c r="E74" s="4">
        <v>203</v>
      </c>
      <c r="F74" s="4">
        <f>ROUND(Source!Q62,O74)</f>
        <v>0</v>
      </c>
      <c r="G74" s="4" t="s">
        <v>56</v>
      </c>
      <c r="H74" s="4" t="s">
        <v>57</v>
      </c>
      <c r="I74" s="4"/>
      <c r="J74" s="4"/>
      <c r="K74" s="4">
        <v>203</v>
      </c>
      <c r="L74" s="4">
        <v>11</v>
      </c>
      <c r="M74" s="4">
        <v>3</v>
      </c>
      <c r="N74" s="4" t="s">
        <v>3</v>
      </c>
      <c r="O74" s="4">
        <v>0</v>
      </c>
      <c r="P74" s="4"/>
      <c r="Q74" s="4"/>
      <c r="R74" s="4"/>
      <c r="S74" s="4"/>
      <c r="T74" s="4"/>
      <c r="U74" s="4"/>
      <c r="V74" s="4"/>
      <c r="W74" s="4"/>
    </row>
    <row r="75" spans="1:23" x14ac:dyDescent="0.2">
      <c r="A75" s="4">
        <v>50</v>
      </c>
      <c r="B75" s="4">
        <v>0</v>
      </c>
      <c r="C75" s="4">
        <v>0</v>
      </c>
      <c r="D75" s="4">
        <v>1</v>
      </c>
      <c r="E75" s="4">
        <v>231</v>
      </c>
      <c r="F75" s="4">
        <f>ROUND(Source!BB62,O75)</f>
        <v>0</v>
      </c>
      <c r="G75" s="4" t="s">
        <v>58</v>
      </c>
      <c r="H75" s="4" t="s">
        <v>59</v>
      </c>
      <c r="I75" s="4"/>
      <c r="J75" s="4"/>
      <c r="K75" s="4">
        <v>231</v>
      </c>
      <c r="L75" s="4">
        <v>12</v>
      </c>
      <c r="M75" s="4">
        <v>3</v>
      </c>
      <c r="N75" s="4" t="s">
        <v>3</v>
      </c>
      <c r="O75" s="4">
        <v>0</v>
      </c>
      <c r="P75" s="4"/>
      <c r="Q75" s="4"/>
      <c r="R75" s="4"/>
      <c r="S75" s="4"/>
      <c r="T75" s="4"/>
      <c r="U75" s="4"/>
      <c r="V75" s="4"/>
      <c r="W75" s="4"/>
    </row>
    <row r="76" spans="1:23" x14ac:dyDescent="0.2">
      <c r="A76" s="4">
        <v>50</v>
      </c>
      <c r="B76" s="4">
        <v>0</v>
      </c>
      <c r="C76" s="4">
        <v>0</v>
      </c>
      <c r="D76" s="4">
        <v>1</v>
      </c>
      <c r="E76" s="4">
        <v>204</v>
      </c>
      <c r="F76" s="4">
        <f>ROUND(Source!R62,O76)</f>
        <v>0</v>
      </c>
      <c r="G76" s="4" t="s">
        <v>60</v>
      </c>
      <c r="H76" s="4" t="s">
        <v>61</v>
      </c>
      <c r="I76" s="4"/>
      <c r="J76" s="4"/>
      <c r="K76" s="4">
        <v>204</v>
      </c>
      <c r="L76" s="4">
        <v>13</v>
      </c>
      <c r="M76" s="4">
        <v>3</v>
      </c>
      <c r="N76" s="4" t="s">
        <v>3</v>
      </c>
      <c r="O76" s="4">
        <v>0</v>
      </c>
      <c r="P76" s="4"/>
      <c r="Q76" s="4"/>
      <c r="R76" s="4"/>
      <c r="S76" s="4"/>
      <c r="T76" s="4"/>
      <c r="U76" s="4"/>
      <c r="V76" s="4"/>
      <c r="W76" s="4"/>
    </row>
    <row r="77" spans="1:23" x14ac:dyDescent="0.2">
      <c r="A77" s="4">
        <v>50</v>
      </c>
      <c r="B77" s="4">
        <v>0</v>
      </c>
      <c r="C77" s="4">
        <v>0</v>
      </c>
      <c r="D77" s="4">
        <v>1</v>
      </c>
      <c r="E77" s="4">
        <v>205</v>
      </c>
      <c r="F77" s="4">
        <f>ROUND(Source!S62,O77)</f>
        <v>89920</v>
      </c>
      <c r="G77" s="4" t="s">
        <v>62</v>
      </c>
      <c r="H77" s="4" t="s">
        <v>63</v>
      </c>
      <c r="I77" s="4"/>
      <c r="J77" s="4"/>
      <c r="K77" s="4">
        <v>205</v>
      </c>
      <c r="L77" s="4">
        <v>14</v>
      </c>
      <c r="M77" s="4">
        <v>3</v>
      </c>
      <c r="N77" s="4" t="s">
        <v>3</v>
      </c>
      <c r="O77" s="4">
        <v>0</v>
      </c>
      <c r="P77" s="4"/>
      <c r="Q77" s="4"/>
      <c r="R77" s="4"/>
      <c r="S77" s="4"/>
      <c r="T77" s="4"/>
      <c r="U77" s="4"/>
      <c r="V77" s="4"/>
      <c r="W77" s="4"/>
    </row>
    <row r="78" spans="1:23" x14ac:dyDescent="0.2">
      <c r="A78" s="4">
        <v>50</v>
      </c>
      <c r="B78" s="4">
        <v>0</v>
      </c>
      <c r="C78" s="4">
        <v>0</v>
      </c>
      <c r="D78" s="4">
        <v>1</v>
      </c>
      <c r="E78" s="4">
        <v>232</v>
      </c>
      <c r="F78" s="4">
        <f>ROUND(Source!BC62,O78)</f>
        <v>0</v>
      </c>
      <c r="G78" s="4" t="s">
        <v>64</v>
      </c>
      <c r="H78" s="4" t="s">
        <v>65</v>
      </c>
      <c r="I78" s="4"/>
      <c r="J78" s="4"/>
      <c r="K78" s="4">
        <v>232</v>
      </c>
      <c r="L78" s="4">
        <v>15</v>
      </c>
      <c r="M78" s="4">
        <v>3</v>
      </c>
      <c r="N78" s="4" t="s">
        <v>3</v>
      </c>
      <c r="O78" s="4">
        <v>0</v>
      </c>
      <c r="P78" s="4"/>
      <c r="Q78" s="4"/>
      <c r="R78" s="4"/>
      <c r="S78" s="4"/>
      <c r="T78" s="4"/>
      <c r="U78" s="4"/>
      <c r="V78" s="4"/>
      <c r="W78" s="4"/>
    </row>
    <row r="79" spans="1:23" x14ac:dyDescent="0.2">
      <c r="A79" s="4">
        <v>50</v>
      </c>
      <c r="B79" s="4">
        <v>0</v>
      </c>
      <c r="C79" s="4">
        <v>0</v>
      </c>
      <c r="D79" s="4">
        <v>1</v>
      </c>
      <c r="E79" s="4">
        <v>214</v>
      </c>
      <c r="F79" s="4">
        <f>ROUND(Source!AS62,O79)</f>
        <v>0</v>
      </c>
      <c r="G79" s="4" t="s">
        <v>66</v>
      </c>
      <c r="H79" s="4" t="s">
        <v>67</v>
      </c>
      <c r="I79" s="4"/>
      <c r="J79" s="4"/>
      <c r="K79" s="4">
        <v>214</v>
      </c>
      <c r="L79" s="4">
        <v>16</v>
      </c>
      <c r="M79" s="4">
        <v>3</v>
      </c>
      <c r="N79" s="4" t="s">
        <v>3</v>
      </c>
      <c r="O79" s="4">
        <v>0</v>
      </c>
      <c r="P79" s="4"/>
      <c r="Q79" s="4"/>
      <c r="R79" s="4"/>
      <c r="S79" s="4"/>
      <c r="T79" s="4"/>
      <c r="U79" s="4"/>
      <c r="V79" s="4"/>
      <c r="W79" s="4"/>
    </row>
    <row r="80" spans="1:23" x14ac:dyDescent="0.2">
      <c r="A80" s="4">
        <v>50</v>
      </c>
      <c r="B80" s="4">
        <v>0</v>
      </c>
      <c r="C80" s="4">
        <v>0</v>
      </c>
      <c r="D80" s="4">
        <v>1</v>
      </c>
      <c r="E80" s="4">
        <v>215</v>
      </c>
      <c r="F80" s="4">
        <f>ROUND(Source!AT62,O80)</f>
        <v>0</v>
      </c>
      <c r="G80" s="4" t="s">
        <v>68</v>
      </c>
      <c r="H80" s="4" t="s">
        <v>69</v>
      </c>
      <c r="I80" s="4"/>
      <c r="J80" s="4"/>
      <c r="K80" s="4">
        <v>215</v>
      </c>
      <c r="L80" s="4">
        <v>17</v>
      </c>
      <c r="M80" s="4">
        <v>3</v>
      </c>
      <c r="N80" s="4" t="s">
        <v>3</v>
      </c>
      <c r="O80" s="4">
        <v>0</v>
      </c>
      <c r="P80" s="4"/>
      <c r="Q80" s="4"/>
      <c r="R80" s="4"/>
      <c r="S80" s="4"/>
      <c r="T80" s="4"/>
      <c r="U80" s="4"/>
      <c r="V80" s="4"/>
      <c r="W80" s="4"/>
    </row>
    <row r="81" spans="1:23" x14ac:dyDescent="0.2">
      <c r="A81" s="4">
        <v>50</v>
      </c>
      <c r="B81" s="4">
        <v>0</v>
      </c>
      <c r="C81" s="4">
        <v>0</v>
      </c>
      <c r="D81" s="4">
        <v>1</v>
      </c>
      <c r="E81" s="4">
        <v>217</v>
      </c>
      <c r="F81" s="4">
        <f>ROUND(Source!AU62,O81)</f>
        <v>184337</v>
      </c>
      <c r="G81" s="4" t="s">
        <v>70</v>
      </c>
      <c r="H81" s="4" t="s">
        <v>71</v>
      </c>
      <c r="I81" s="4"/>
      <c r="J81" s="4"/>
      <c r="K81" s="4">
        <v>217</v>
      </c>
      <c r="L81" s="4">
        <v>18</v>
      </c>
      <c r="M81" s="4">
        <v>3</v>
      </c>
      <c r="N81" s="4" t="s">
        <v>3</v>
      </c>
      <c r="O81" s="4">
        <v>0</v>
      </c>
      <c r="P81" s="4"/>
      <c r="Q81" s="4"/>
      <c r="R81" s="4"/>
      <c r="S81" s="4"/>
      <c r="T81" s="4"/>
      <c r="U81" s="4"/>
      <c r="V81" s="4"/>
      <c r="W81" s="4"/>
    </row>
    <row r="82" spans="1:23" x14ac:dyDescent="0.2">
      <c r="A82" s="4">
        <v>50</v>
      </c>
      <c r="B82" s="4">
        <v>0</v>
      </c>
      <c r="C82" s="4">
        <v>0</v>
      </c>
      <c r="D82" s="4">
        <v>1</v>
      </c>
      <c r="E82" s="4">
        <v>230</v>
      </c>
      <c r="F82" s="4">
        <f>ROUND(Source!BA62,O82)</f>
        <v>0</v>
      </c>
      <c r="G82" s="4" t="s">
        <v>72</v>
      </c>
      <c r="H82" s="4" t="s">
        <v>73</v>
      </c>
      <c r="I82" s="4"/>
      <c r="J82" s="4"/>
      <c r="K82" s="4">
        <v>230</v>
      </c>
      <c r="L82" s="4">
        <v>19</v>
      </c>
      <c r="M82" s="4">
        <v>3</v>
      </c>
      <c r="N82" s="4" t="s">
        <v>3</v>
      </c>
      <c r="O82" s="4">
        <v>0</v>
      </c>
      <c r="P82" s="4"/>
      <c r="Q82" s="4"/>
      <c r="R82" s="4"/>
      <c r="S82" s="4"/>
      <c r="T82" s="4"/>
      <c r="U82" s="4"/>
      <c r="V82" s="4"/>
      <c r="W82" s="4"/>
    </row>
    <row r="83" spans="1:23" x14ac:dyDescent="0.2">
      <c r="A83" s="4">
        <v>50</v>
      </c>
      <c r="B83" s="4">
        <v>0</v>
      </c>
      <c r="C83" s="4">
        <v>0</v>
      </c>
      <c r="D83" s="4">
        <v>1</v>
      </c>
      <c r="E83" s="4">
        <v>206</v>
      </c>
      <c r="F83" s="4">
        <f>ROUND(Source!T62,O83)</f>
        <v>0</v>
      </c>
      <c r="G83" s="4" t="s">
        <v>74</v>
      </c>
      <c r="H83" s="4" t="s">
        <v>75</v>
      </c>
      <c r="I83" s="4"/>
      <c r="J83" s="4"/>
      <c r="K83" s="4">
        <v>206</v>
      </c>
      <c r="L83" s="4">
        <v>20</v>
      </c>
      <c r="M83" s="4">
        <v>3</v>
      </c>
      <c r="N83" s="4" t="s">
        <v>3</v>
      </c>
      <c r="O83" s="4">
        <v>0</v>
      </c>
      <c r="P83" s="4"/>
      <c r="Q83" s="4"/>
      <c r="R83" s="4"/>
      <c r="S83" s="4"/>
      <c r="T83" s="4"/>
      <c r="U83" s="4"/>
      <c r="V83" s="4"/>
      <c r="W83" s="4"/>
    </row>
    <row r="84" spans="1:23" x14ac:dyDescent="0.2">
      <c r="A84" s="4">
        <v>50</v>
      </c>
      <c r="B84" s="4">
        <v>0</v>
      </c>
      <c r="C84" s="4">
        <v>0</v>
      </c>
      <c r="D84" s="4">
        <v>1</v>
      </c>
      <c r="E84" s="4">
        <v>207</v>
      </c>
      <c r="F84" s="4">
        <f>Source!U62</f>
        <v>219.85599999999999</v>
      </c>
      <c r="G84" s="4" t="s">
        <v>76</v>
      </c>
      <c r="H84" s="4" t="s">
        <v>77</v>
      </c>
      <c r="I84" s="4"/>
      <c r="J84" s="4"/>
      <c r="K84" s="4">
        <v>207</v>
      </c>
      <c r="L84" s="4">
        <v>21</v>
      </c>
      <c r="M84" s="4">
        <v>3</v>
      </c>
      <c r="N84" s="4" t="s">
        <v>3</v>
      </c>
      <c r="O84" s="4">
        <v>-1</v>
      </c>
      <c r="P84" s="4"/>
      <c r="Q84" s="4"/>
      <c r="R84" s="4"/>
      <c r="S84" s="4"/>
      <c r="T84" s="4"/>
      <c r="U84" s="4"/>
      <c r="V84" s="4"/>
      <c r="W84" s="4"/>
    </row>
    <row r="85" spans="1:23" x14ac:dyDescent="0.2">
      <c r="A85" s="4">
        <v>50</v>
      </c>
      <c r="B85" s="4">
        <v>0</v>
      </c>
      <c r="C85" s="4">
        <v>0</v>
      </c>
      <c r="D85" s="4">
        <v>1</v>
      </c>
      <c r="E85" s="4">
        <v>208</v>
      </c>
      <c r="F85" s="4">
        <f>Source!V62</f>
        <v>0</v>
      </c>
      <c r="G85" s="4" t="s">
        <v>78</v>
      </c>
      <c r="H85" s="4" t="s">
        <v>79</v>
      </c>
      <c r="I85" s="4"/>
      <c r="J85" s="4"/>
      <c r="K85" s="4">
        <v>208</v>
      </c>
      <c r="L85" s="4">
        <v>22</v>
      </c>
      <c r="M85" s="4">
        <v>3</v>
      </c>
      <c r="N85" s="4" t="s">
        <v>3</v>
      </c>
      <c r="O85" s="4">
        <v>-1</v>
      </c>
      <c r="P85" s="4"/>
      <c r="Q85" s="4"/>
      <c r="R85" s="4"/>
      <c r="S85" s="4"/>
      <c r="T85" s="4"/>
      <c r="U85" s="4"/>
      <c r="V85" s="4"/>
      <c r="W85" s="4"/>
    </row>
    <row r="86" spans="1:23" x14ac:dyDescent="0.2">
      <c r="A86" s="4">
        <v>50</v>
      </c>
      <c r="B86" s="4">
        <v>0</v>
      </c>
      <c r="C86" s="4">
        <v>0</v>
      </c>
      <c r="D86" s="4">
        <v>1</v>
      </c>
      <c r="E86" s="4">
        <v>209</v>
      </c>
      <c r="F86" s="4">
        <f>ROUND(Source!W62,O86)</f>
        <v>0</v>
      </c>
      <c r="G86" s="4" t="s">
        <v>80</v>
      </c>
      <c r="H86" s="4" t="s">
        <v>81</v>
      </c>
      <c r="I86" s="4"/>
      <c r="J86" s="4"/>
      <c r="K86" s="4">
        <v>209</v>
      </c>
      <c r="L86" s="4">
        <v>23</v>
      </c>
      <c r="M86" s="4">
        <v>3</v>
      </c>
      <c r="N86" s="4" t="s">
        <v>3</v>
      </c>
      <c r="O86" s="4">
        <v>0</v>
      </c>
      <c r="P86" s="4"/>
      <c r="Q86" s="4"/>
      <c r="R86" s="4"/>
      <c r="S86" s="4"/>
      <c r="T86" s="4"/>
      <c r="U86" s="4"/>
      <c r="V86" s="4"/>
      <c r="W86" s="4"/>
    </row>
    <row r="87" spans="1:23" x14ac:dyDescent="0.2">
      <c r="A87" s="4">
        <v>50</v>
      </c>
      <c r="B87" s="4">
        <v>0</v>
      </c>
      <c r="C87" s="4">
        <v>0</v>
      </c>
      <c r="D87" s="4">
        <v>1</v>
      </c>
      <c r="E87" s="4">
        <v>233</v>
      </c>
      <c r="F87" s="4">
        <f>ROUND(Source!BD62,O87)</f>
        <v>0</v>
      </c>
      <c r="G87" s="4" t="s">
        <v>82</v>
      </c>
      <c r="H87" s="4" t="s">
        <v>83</v>
      </c>
      <c r="I87" s="4"/>
      <c r="J87" s="4"/>
      <c r="K87" s="4">
        <v>233</v>
      </c>
      <c r="L87" s="4">
        <v>24</v>
      </c>
      <c r="M87" s="4">
        <v>3</v>
      </c>
      <c r="N87" s="4" t="s">
        <v>3</v>
      </c>
      <c r="O87" s="4">
        <v>0</v>
      </c>
      <c r="P87" s="4"/>
      <c r="Q87" s="4"/>
      <c r="R87" s="4"/>
      <c r="S87" s="4"/>
      <c r="T87" s="4"/>
      <c r="U87" s="4"/>
      <c r="V87" s="4"/>
      <c r="W87" s="4"/>
    </row>
    <row r="88" spans="1:23" x14ac:dyDescent="0.2">
      <c r="A88" s="4">
        <v>50</v>
      </c>
      <c r="B88" s="4">
        <v>0</v>
      </c>
      <c r="C88" s="4">
        <v>0</v>
      </c>
      <c r="D88" s="4">
        <v>1</v>
      </c>
      <c r="E88" s="4">
        <v>210</v>
      </c>
      <c r="F88" s="4">
        <f>ROUND(Source!X62,O88)</f>
        <v>58449</v>
      </c>
      <c r="G88" s="4" t="s">
        <v>84</v>
      </c>
      <c r="H88" s="4" t="s">
        <v>85</v>
      </c>
      <c r="I88" s="4"/>
      <c r="J88" s="4"/>
      <c r="K88" s="4">
        <v>210</v>
      </c>
      <c r="L88" s="4">
        <v>25</v>
      </c>
      <c r="M88" s="4">
        <v>3</v>
      </c>
      <c r="N88" s="4" t="s">
        <v>3</v>
      </c>
      <c r="O88" s="4">
        <v>0</v>
      </c>
      <c r="P88" s="4"/>
      <c r="Q88" s="4"/>
      <c r="R88" s="4"/>
      <c r="S88" s="4"/>
      <c r="T88" s="4"/>
      <c r="U88" s="4"/>
      <c r="V88" s="4"/>
      <c r="W88" s="4"/>
    </row>
    <row r="89" spans="1:23" x14ac:dyDescent="0.2">
      <c r="A89" s="4">
        <v>50</v>
      </c>
      <c r="B89" s="4">
        <v>0</v>
      </c>
      <c r="C89" s="4">
        <v>0</v>
      </c>
      <c r="D89" s="4">
        <v>1</v>
      </c>
      <c r="E89" s="4">
        <v>211</v>
      </c>
      <c r="F89" s="4">
        <f>ROUND(Source!Y62,O89)</f>
        <v>35968</v>
      </c>
      <c r="G89" s="4" t="s">
        <v>86</v>
      </c>
      <c r="H89" s="4" t="s">
        <v>87</v>
      </c>
      <c r="I89" s="4"/>
      <c r="J89" s="4"/>
      <c r="K89" s="4">
        <v>211</v>
      </c>
      <c r="L89" s="4">
        <v>26</v>
      </c>
      <c r="M89" s="4">
        <v>3</v>
      </c>
      <c r="N89" s="4" t="s">
        <v>3</v>
      </c>
      <c r="O89" s="4">
        <v>0</v>
      </c>
      <c r="P89" s="4"/>
      <c r="Q89" s="4"/>
      <c r="R89" s="4"/>
      <c r="S89" s="4"/>
      <c r="T89" s="4"/>
      <c r="U89" s="4"/>
      <c r="V89" s="4"/>
      <c r="W89" s="4"/>
    </row>
    <row r="90" spans="1:23" x14ac:dyDescent="0.2">
      <c r="A90" s="4">
        <v>50</v>
      </c>
      <c r="B90" s="4">
        <v>0</v>
      </c>
      <c r="C90" s="4">
        <v>0</v>
      </c>
      <c r="D90" s="4">
        <v>1</v>
      </c>
      <c r="E90" s="4">
        <v>224</v>
      </c>
      <c r="F90" s="4">
        <f>ROUND(Source!AR62,O90)</f>
        <v>184337</v>
      </c>
      <c r="G90" s="4" t="s">
        <v>88</v>
      </c>
      <c r="H90" s="4" t="s">
        <v>89</v>
      </c>
      <c r="I90" s="4"/>
      <c r="J90" s="4"/>
      <c r="K90" s="4">
        <v>224</v>
      </c>
      <c r="L90" s="4">
        <v>27</v>
      </c>
      <c r="M90" s="4">
        <v>3</v>
      </c>
      <c r="N90" s="4" t="s">
        <v>3</v>
      </c>
      <c r="O90" s="4">
        <v>0</v>
      </c>
      <c r="P90" s="4"/>
      <c r="Q90" s="4"/>
      <c r="R90" s="4"/>
      <c r="S90" s="4"/>
      <c r="T90" s="4"/>
      <c r="U90" s="4"/>
      <c r="V90" s="4"/>
      <c r="W90" s="4"/>
    </row>
    <row r="91" spans="1:23" x14ac:dyDescent="0.2">
      <c r="A91" s="4">
        <v>50</v>
      </c>
      <c r="B91" s="4">
        <v>1</v>
      </c>
      <c r="C91" s="4">
        <v>0</v>
      </c>
      <c r="D91" s="4">
        <v>2</v>
      </c>
      <c r="E91" s="4">
        <v>0</v>
      </c>
      <c r="F91" s="4">
        <f>ROUND(F90,O91)</f>
        <v>184337</v>
      </c>
      <c r="G91" s="4" t="s">
        <v>90</v>
      </c>
      <c r="H91" s="4" t="s">
        <v>91</v>
      </c>
      <c r="I91" s="4"/>
      <c r="J91" s="4"/>
      <c r="K91" s="4">
        <v>212</v>
      </c>
      <c r="L91" s="4">
        <v>28</v>
      </c>
      <c r="M91" s="4">
        <v>0</v>
      </c>
      <c r="N91" s="4" t="s">
        <v>3</v>
      </c>
      <c r="O91" s="4">
        <v>2</v>
      </c>
      <c r="P91" s="4"/>
      <c r="Q91" s="4"/>
      <c r="R91" s="4"/>
      <c r="S91" s="4"/>
      <c r="T91" s="4"/>
      <c r="U91" s="4"/>
      <c r="V91" s="4"/>
      <c r="W91" s="4"/>
    </row>
    <row r="92" spans="1:23" x14ac:dyDescent="0.2">
      <c r="A92" s="4">
        <v>50</v>
      </c>
      <c r="B92" s="4">
        <v>1</v>
      </c>
      <c r="C92" s="4">
        <v>0</v>
      </c>
      <c r="D92" s="4">
        <v>2</v>
      </c>
      <c r="E92" s="4">
        <v>0</v>
      </c>
      <c r="F92" s="4">
        <f>ROUND(F91*0.2,O92)</f>
        <v>36867.4</v>
      </c>
      <c r="G92" s="4" t="s">
        <v>92</v>
      </c>
      <c r="H92" s="4" t="s">
        <v>93</v>
      </c>
      <c r="I92" s="4"/>
      <c r="J92" s="4"/>
      <c r="K92" s="4">
        <v>212</v>
      </c>
      <c r="L92" s="4">
        <v>29</v>
      </c>
      <c r="M92" s="4">
        <v>0</v>
      </c>
      <c r="N92" s="4" t="s">
        <v>3</v>
      </c>
      <c r="O92" s="4">
        <v>2</v>
      </c>
      <c r="P92" s="4"/>
      <c r="Q92" s="4"/>
      <c r="R92" s="4"/>
      <c r="S92" s="4"/>
      <c r="T92" s="4"/>
      <c r="U92" s="4"/>
      <c r="V92" s="4"/>
      <c r="W92" s="4"/>
    </row>
    <row r="93" spans="1:23" x14ac:dyDescent="0.2">
      <c r="A93" s="4">
        <v>50</v>
      </c>
      <c r="B93" s="4">
        <v>1</v>
      </c>
      <c r="C93" s="4">
        <v>0</v>
      </c>
      <c r="D93" s="4">
        <v>2</v>
      </c>
      <c r="E93" s="4">
        <v>213</v>
      </c>
      <c r="F93" s="4">
        <f>ROUND(F91+F92,O93)</f>
        <v>221204.4</v>
      </c>
      <c r="G93" s="4" t="s">
        <v>94</v>
      </c>
      <c r="H93" s="4" t="s">
        <v>88</v>
      </c>
      <c r="I93" s="4"/>
      <c r="J93" s="4"/>
      <c r="K93" s="4">
        <v>212</v>
      </c>
      <c r="L93" s="4">
        <v>30</v>
      </c>
      <c r="M93" s="4">
        <v>0</v>
      </c>
      <c r="N93" s="4" t="s">
        <v>3</v>
      </c>
      <c r="O93" s="4">
        <v>2</v>
      </c>
      <c r="P93" s="4"/>
      <c r="Q93" s="4"/>
      <c r="R93" s="4"/>
      <c r="S93" s="4"/>
      <c r="T93" s="4"/>
      <c r="U93" s="4"/>
      <c r="V93" s="4"/>
      <c r="W93" s="4"/>
    </row>
    <row r="96" spans="1:23" x14ac:dyDescent="0.2">
      <c r="A96">
        <v>70</v>
      </c>
      <c r="B96">
        <v>1</v>
      </c>
      <c r="D96">
        <v>1</v>
      </c>
      <c r="E96" t="s">
        <v>95</v>
      </c>
      <c r="F96" t="s">
        <v>96</v>
      </c>
      <c r="G96">
        <v>0</v>
      </c>
      <c r="H96">
        <v>0</v>
      </c>
      <c r="I96" t="s">
        <v>3</v>
      </c>
      <c r="J96">
        <v>1</v>
      </c>
      <c r="K96">
        <v>0</v>
      </c>
      <c r="L96" t="s">
        <v>3</v>
      </c>
      <c r="M96" t="s">
        <v>3</v>
      </c>
      <c r="N96">
        <v>0</v>
      </c>
    </row>
    <row r="97" spans="1:14" x14ac:dyDescent="0.2">
      <c r="A97">
        <v>70</v>
      </c>
      <c r="B97">
        <v>1</v>
      </c>
      <c r="D97">
        <v>2</v>
      </c>
      <c r="E97" t="s">
        <v>97</v>
      </c>
      <c r="F97" t="s">
        <v>98</v>
      </c>
      <c r="G97">
        <v>1</v>
      </c>
      <c r="H97">
        <v>0</v>
      </c>
      <c r="I97" t="s">
        <v>3</v>
      </c>
      <c r="J97">
        <v>1</v>
      </c>
      <c r="K97">
        <v>0</v>
      </c>
      <c r="L97" t="s">
        <v>3</v>
      </c>
      <c r="M97" t="s">
        <v>3</v>
      </c>
      <c r="N97">
        <v>0</v>
      </c>
    </row>
    <row r="98" spans="1:14" x14ac:dyDescent="0.2">
      <c r="A98">
        <v>70</v>
      </c>
      <c r="B98">
        <v>1</v>
      </c>
      <c r="D98">
        <v>3</v>
      </c>
      <c r="E98" t="s">
        <v>99</v>
      </c>
      <c r="F98" t="s">
        <v>100</v>
      </c>
      <c r="G98">
        <v>0</v>
      </c>
      <c r="H98">
        <v>0</v>
      </c>
      <c r="I98" t="s">
        <v>3</v>
      </c>
      <c r="J98">
        <v>1</v>
      </c>
      <c r="K98">
        <v>0</v>
      </c>
      <c r="L98" t="s">
        <v>3</v>
      </c>
      <c r="M98" t="s">
        <v>3</v>
      </c>
      <c r="N98">
        <v>0</v>
      </c>
    </row>
    <row r="99" spans="1:14" x14ac:dyDescent="0.2">
      <c r="A99">
        <v>70</v>
      </c>
      <c r="B99">
        <v>1</v>
      </c>
      <c r="D99">
        <v>4</v>
      </c>
      <c r="E99" t="s">
        <v>101</v>
      </c>
      <c r="F99" t="s">
        <v>102</v>
      </c>
      <c r="G99">
        <v>0</v>
      </c>
      <c r="H99">
        <v>0</v>
      </c>
      <c r="I99" t="s">
        <v>103</v>
      </c>
      <c r="J99">
        <v>0</v>
      </c>
      <c r="K99">
        <v>0</v>
      </c>
      <c r="L99" t="s">
        <v>3</v>
      </c>
      <c r="M99" t="s">
        <v>3</v>
      </c>
      <c r="N99">
        <v>0</v>
      </c>
    </row>
    <row r="100" spans="1:14" x14ac:dyDescent="0.2">
      <c r="A100">
        <v>70</v>
      </c>
      <c r="B100">
        <v>1</v>
      </c>
      <c r="D100">
        <v>5</v>
      </c>
      <c r="E100" t="s">
        <v>104</v>
      </c>
      <c r="F100" t="s">
        <v>105</v>
      </c>
      <c r="G100">
        <v>0</v>
      </c>
      <c r="H100">
        <v>0</v>
      </c>
      <c r="I100" t="s">
        <v>106</v>
      </c>
      <c r="J100">
        <v>0</v>
      </c>
      <c r="K100">
        <v>0</v>
      </c>
      <c r="L100" t="s">
        <v>3</v>
      </c>
      <c r="M100" t="s">
        <v>3</v>
      </c>
      <c r="N100">
        <v>0</v>
      </c>
    </row>
    <row r="101" spans="1:14" x14ac:dyDescent="0.2">
      <c r="A101">
        <v>70</v>
      </c>
      <c r="B101">
        <v>1</v>
      </c>
      <c r="D101">
        <v>6</v>
      </c>
      <c r="E101" t="s">
        <v>107</v>
      </c>
      <c r="F101" t="s">
        <v>108</v>
      </c>
      <c r="G101">
        <v>0</v>
      </c>
      <c r="H101">
        <v>0</v>
      </c>
      <c r="I101" t="s">
        <v>109</v>
      </c>
      <c r="J101">
        <v>0</v>
      </c>
      <c r="K101">
        <v>0</v>
      </c>
      <c r="L101" t="s">
        <v>3</v>
      </c>
      <c r="M101" t="s">
        <v>3</v>
      </c>
      <c r="N101">
        <v>0</v>
      </c>
    </row>
    <row r="102" spans="1:14" x14ac:dyDescent="0.2">
      <c r="A102">
        <v>70</v>
      </c>
      <c r="B102">
        <v>1</v>
      </c>
      <c r="D102">
        <v>7</v>
      </c>
      <c r="E102" t="s">
        <v>110</v>
      </c>
      <c r="F102" t="s">
        <v>111</v>
      </c>
      <c r="G102">
        <v>1</v>
      </c>
      <c r="H102">
        <v>0</v>
      </c>
      <c r="I102" t="s">
        <v>3</v>
      </c>
      <c r="J102">
        <v>0</v>
      </c>
      <c r="K102">
        <v>0</v>
      </c>
      <c r="L102" t="s">
        <v>3</v>
      </c>
      <c r="M102" t="s">
        <v>3</v>
      </c>
      <c r="N102">
        <v>0</v>
      </c>
    </row>
    <row r="103" spans="1:14" x14ac:dyDescent="0.2">
      <c r="A103">
        <v>70</v>
      </c>
      <c r="B103">
        <v>1</v>
      </c>
      <c r="D103">
        <v>8</v>
      </c>
      <c r="E103" t="s">
        <v>112</v>
      </c>
      <c r="F103" t="s">
        <v>113</v>
      </c>
      <c r="G103">
        <v>0</v>
      </c>
      <c r="H103">
        <v>0</v>
      </c>
      <c r="I103" t="s">
        <v>114</v>
      </c>
      <c r="J103">
        <v>0</v>
      </c>
      <c r="K103">
        <v>0</v>
      </c>
      <c r="L103" t="s">
        <v>3</v>
      </c>
      <c r="M103" t="s">
        <v>3</v>
      </c>
      <c r="N103">
        <v>0</v>
      </c>
    </row>
    <row r="104" spans="1:14" x14ac:dyDescent="0.2">
      <c r="A104">
        <v>70</v>
      </c>
      <c r="B104">
        <v>1</v>
      </c>
      <c r="D104">
        <v>9</v>
      </c>
      <c r="E104" t="s">
        <v>115</v>
      </c>
      <c r="F104" t="s">
        <v>116</v>
      </c>
      <c r="G104">
        <v>0</v>
      </c>
      <c r="H104">
        <v>0</v>
      </c>
      <c r="I104" t="s">
        <v>117</v>
      </c>
      <c r="J104">
        <v>0</v>
      </c>
      <c r="K104">
        <v>0</v>
      </c>
      <c r="L104" t="s">
        <v>3</v>
      </c>
      <c r="M104" t="s">
        <v>3</v>
      </c>
      <c r="N104">
        <v>0</v>
      </c>
    </row>
    <row r="105" spans="1:14" x14ac:dyDescent="0.2">
      <c r="A105">
        <v>70</v>
      </c>
      <c r="B105">
        <v>1</v>
      </c>
      <c r="D105">
        <v>10</v>
      </c>
      <c r="E105" t="s">
        <v>118</v>
      </c>
      <c r="F105" t="s">
        <v>119</v>
      </c>
      <c r="G105">
        <v>0</v>
      </c>
      <c r="H105">
        <v>0</v>
      </c>
      <c r="I105" t="s">
        <v>120</v>
      </c>
      <c r="J105">
        <v>0</v>
      </c>
      <c r="K105">
        <v>0</v>
      </c>
      <c r="L105" t="s">
        <v>3</v>
      </c>
      <c r="M105" t="s">
        <v>3</v>
      </c>
      <c r="N105">
        <v>0</v>
      </c>
    </row>
    <row r="106" spans="1:14" x14ac:dyDescent="0.2">
      <c r="A106">
        <v>70</v>
      </c>
      <c r="B106">
        <v>1</v>
      </c>
      <c r="D106">
        <v>11</v>
      </c>
      <c r="E106" t="s">
        <v>121</v>
      </c>
      <c r="F106" t="s">
        <v>122</v>
      </c>
      <c r="G106">
        <v>0</v>
      </c>
      <c r="H106">
        <v>0</v>
      </c>
      <c r="I106" t="s">
        <v>123</v>
      </c>
      <c r="J106">
        <v>0</v>
      </c>
      <c r="K106">
        <v>0</v>
      </c>
      <c r="L106" t="s">
        <v>3</v>
      </c>
      <c r="M106" t="s">
        <v>3</v>
      </c>
      <c r="N106">
        <v>0</v>
      </c>
    </row>
    <row r="107" spans="1:14" x14ac:dyDescent="0.2">
      <c r="A107">
        <v>70</v>
      </c>
      <c r="B107">
        <v>1</v>
      </c>
      <c r="D107">
        <v>12</v>
      </c>
      <c r="E107" t="s">
        <v>124</v>
      </c>
      <c r="F107" t="s">
        <v>125</v>
      </c>
      <c r="G107">
        <v>0</v>
      </c>
      <c r="H107">
        <v>0</v>
      </c>
      <c r="I107" t="s">
        <v>3</v>
      </c>
      <c r="J107">
        <v>0</v>
      </c>
      <c r="K107">
        <v>0</v>
      </c>
      <c r="L107" t="s">
        <v>3</v>
      </c>
      <c r="M107" t="s">
        <v>3</v>
      </c>
      <c r="N107">
        <v>0</v>
      </c>
    </row>
    <row r="108" spans="1:14" x14ac:dyDescent="0.2">
      <c r="A108">
        <v>70</v>
      </c>
      <c r="B108">
        <v>1</v>
      </c>
      <c r="D108">
        <v>1</v>
      </c>
      <c r="E108" t="s">
        <v>126</v>
      </c>
      <c r="F108" t="s">
        <v>127</v>
      </c>
      <c r="G108">
        <v>0.9</v>
      </c>
      <c r="H108">
        <v>1</v>
      </c>
      <c r="I108" t="s">
        <v>128</v>
      </c>
      <c r="J108">
        <v>0</v>
      </c>
      <c r="K108">
        <v>0</v>
      </c>
      <c r="L108" t="s">
        <v>3</v>
      </c>
      <c r="M108" t="s">
        <v>3</v>
      </c>
      <c r="N108">
        <v>0</v>
      </c>
    </row>
    <row r="109" spans="1:14" x14ac:dyDescent="0.2">
      <c r="A109">
        <v>70</v>
      </c>
      <c r="B109">
        <v>1</v>
      </c>
      <c r="D109">
        <v>2</v>
      </c>
      <c r="E109" t="s">
        <v>129</v>
      </c>
      <c r="F109" t="s">
        <v>130</v>
      </c>
      <c r="G109">
        <v>0.85</v>
      </c>
      <c r="H109">
        <v>1</v>
      </c>
      <c r="I109" t="s">
        <v>131</v>
      </c>
      <c r="J109">
        <v>0</v>
      </c>
      <c r="K109">
        <v>0</v>
      </c>
      <c r="L109" t="s">
        <v>3</v>
      </c>
      <c r="M109" t="s">
        <v>3</v>
      </c>
      <c r="N109">
        <v>0</v>
      </c>
    </row>
    <row r="110" spans="1:14" x14ac:dyDescent="0.2">
      <c r="A110">
        <v>70</v>
      </c>
      <c r="B110">
        <v>1</v>
      </c>
      <c r="D110">
        <v>3</v>
      </c>
      <c r="E110" t="s">
        <v>132</v>
      </c>
      <c r="F110" t="s">
        <v>133</v>
      </c>
      <c r="G110">
        <v>1</v>
      </c>
      <c r="H110">
        <v>0.85</v>
      </c>
      <c r="I110" t="s">
        <v>134</v>
      </c>
      <c r="J110">
        <v>0</v>
      </c>
      <c r="K110">
        <v>0</v>
      </c>
      <c r="L110" t="s">
        <v>3</v>
      </c>
      <c r="M110" t="s">
        <v>3</v>
      </c>
      <c r="N110">
        <v>0</v>
      </c>
    </row>
    <row r="111" spans="1:14" x14ac:dyDescent="0.2">
      <c r="A111">
        <v>70</v>
      </c>
      <c r="B111">
        <v>1</v>
      </c>
      <c r="D111">
        <v>4</v>
      </c>
      <c r="E111" t="s">
        <v>135</v>
      </c>
      <c r="F111" t="s">
        <v>136</v>
      </c>
      <c r="G111">
        <v>1</v>
      </c>
      <c r="H111">
        <v>0</v>
      </c>
      <c r="I111" t="s">
        <v>3</v>
      </c>
      <c r="J111">
        <v>0</v>
      </c>
      <c r="K111">
        <v>0</v>
      </c>
      <c r="L111" t="s">
        <v>3</v>
      </c>
      <c r="M111" t="s">
        <v>3</v>
      </c>
      <c r="N111">
        <v>0</v>
      </c>
    </row>
    <row r="112" spans="1:14" x14ac:dyDescent="0.2">
      <c r="A112">
        <v>70</v>
      </c>
      <c r="B112">
        <v>1</v>
      </c>
      <c r="D112">
        <v>5</v>
      </c>
      <c r="E112" t="s">
        <v>137</v>
      </c>
      <c r="F112" t="s">
        <v>138</v>
      </c>
      <c r="G112">
        <v>1</v>
      </c>
      <c r="H112">
        <v>0.8</v>
      </c>
      <c r="I112" t="s">
        <v>139</v>
      </c>
      <c r="J112">
        <v>0</v>
      </c>
      <c r="K112">
        <v>0</v>
      </c>
      <c r="L112" t="s">
        <v>3</v>
      </c>
      <c r="M112" t="s">
        <v>3</v>
      </c>
      <c r="N112">
        <v>0</v>
      </c>
    </row>
    <row r="113" spans="1:27" x14ac:dyDescent="0.2">
      <c r="A113">
        <v>70</v>
      </c>
      <c r="B113">
        <v>1</v>
      </c>
      <c r="D113">
        <v>6</v>
      </c>
      <c r="E113" t="s">
        <v>140</v>
      </c>
      <c r="F113" t="s">
        <v>141</v>
      </c>
      <c r="G113">
        <v>0.85</v>
      </c>
      <c r="H113">
        <v>0</v>
      </c>
      <c r="I113" t="s">
        <v>3</v>
      </c>
      <c r="J113">
        <v>0</v>
      </c>
      <c r="K113">
        <v>0</v>
      </c>
      <c r="L113" t="s">
        <v>3</v>
      </c>
      <c r="M113" t="s">
        <v>3</v>
      </c>
      <c r="N113">
        <v>0</v>
      </c>
    </row>
    <row r="114" spans="1:27" x14ac:dyDescent="0.2">
      <c r="A114">
        <v>70</v>
      </c>
      <c r="B114">
        <v>1</v>
      </c>
      <c r="D114">
        <v>7</v>
      </c>
      <c r="E114" t="s">
        <v>142</v>
      </c>
      <c r="F114" t="s">
        <v>143</v>
      </c>
      <c r="G114">
        <v>0.8</v>
      </c>
      <c r="H114">
        <v>0</v>
      </c>
      <c r="I114" t="s">
        <v>3</v>
      </c>
      <c r="J114">
        <v>0</v>
      </c>
      <c r="K114">
        <v>0</v>
      </c>
      <c r="L114" t="s">
        <v>3</v>
      </c>
      <c r="M114" t="s">
        <v>3</v>
      </c>
      <c r="N114">
        <v>0</v>
      </c>
    </row>
    <row r="115" spans="1:27" x14ac:dyDescent="0.2">
      <c r="A115">
        <v>70</v>
      </c>
      <c r="B115">
        <v>1</v>
      </c>
      <c r="D115">
        <v>8</v>
      </c>
      <c r="E115" t="s">
        <v>144</v>
      </c>
      <c r="F115" t="s">
        <v>145</v>
      </c>
      <c r="G115">
        <v>0.7</v>
      </c>
      <c r="H115">
        <v>0</v>
      </c>
      <c r="I115" t="s">
        <v>3</v>
      </c>
      <c r="J115">
        <v>0</v>
      </c>
      <c r="K115">
        <v>0</v>
      </c>
      <c r="L115" t="s">
        <v>3</v>
      </c>
      <c r="M115" t="s">
        <v>3</v>
      </c>
      <c r="N115">
        <v>0</v>
      </c>
    </row>
    <row r="116" spans="1:27" x14ac:dyDescent="0.2">
      <c r="A116">
        <v>70</v>
      </c>
      <c r="B116">
        <v>1</v>
      </c>
      <c r="D116">
        <v>9</v>
      </c>
      <c r="E116" t="s">
        <v>146</v>
      </c>
      <c r="F116" t="s">
        <v>147</v>
      </c>
      <c r="G116">
        <v>0.9</v>
      </c>
      <c r="H116">
        <v>0</v>
      </c>
      <c r="I116" t="s">
        <v>3</v>
      </c>
      <c r="J116">
        <v>0</v>
      </c>
      <c r="K116">
        <v>0</v>
      </c>
      <c r="L116" t="s">
        <v>3</v>
      </c>
      <c r="M116" t="s">
        <v>3</v>
      </c>
      <c r="N116">
        <v>0</v>
      </c>
    </row>
    <row r="117" spans="1:27" x14ac:dyDescent="0.2">
      <c r="A117">
        <v>70</v>
      </c>
      <c r="B117">
        <v>1</v>
      </c>
      <c r="D117">
        <v>10</v>
      </c>
      <c r="E117" t="s">
        <v>148</v>
      </c>
      <c r="F117" t="s">
        <v>149</v>
      </c>
      <c r="G117">
        <v>0.6</v>
      </c>
      <c r="H117">
        <v>0</v>
      </c>
      <c r="I117" t="s">
        <v>3</v>
      </c>
      <c r="J117">
        <v>0</v>
      </c>
      <c r="K117">
        <v>0</v>
      </c>
      <c r="L117" t="s">
        <v>3</v>
      </c>
      <c r="M117" t="s">
        <v>3</v>
      </c>
      <c r="N117">
        <v>0</v>
      </c>
    </row>
    <row r="118" spans="1:27" x14ac:dyDescent="0.2">
      <c r="A118">
        <v>70</v>
      </c>
      <c r="B118">
        <v>1</v>
      </c>
      <c r="D118">
        <v>11</v>
      </c>
      <c r="E118" t="s">
        <v>150</v>
      </c>
      <c r="F118" t="s">
        <v>151</v>
      </c>
      <c r="G118">
        <v>1.2</v>
      </c>
      <c r="H118">
        <v>0</v>
      </c>
      <c r="I118" t="s">
        <v>3</v>
      </c>
      <c r="J118">
        <v>0</v>
      </c>
      <c r="K118">
        <v>0</v>
      </c>
      <c r="L118" t="s">
        <v>3</v>
      </c>
      <c r="M118" t="s">
        <v>3</v>
      </c>
      <c r="N118">
        <v>0</v>
      </c>
    </row>
    <row r="119" spans="1:27" x14ac:dyDescent="0.2">
      <c r="A119">
        <v>70</v>
      </c>
      <c r="B119">
        <v>1</v>
      </c>
      <c r="D119">
        <v>12</v>
      </c>
      <c r="E119" t="s">
        <v>152</v>
      </c>
      <c r="F119" t="s">
        <v>153</v>
      </c>
      <c r="G119">
        <v>0</v>
      </c>
      <c r="H119">
        <v>0</v>
      </c>
      <c r="I119" t="s">
        <v>3</v>
      </c>
      <c r="J119">
        <v>0</v>
      </c>
      <c r="K119">
        <v>0</v>
      </c>
      <c r="L119" t="s">
        <v>3</v>
      </c>
      <c r="M119" t="s">
        <v>3</v>
      </c>
      <c r="N119">
        <v>0</v>
      </c>
    </row>
    <row r="120" spans="1:27" x14ac:dyDescent="0.2">
      <c r="A120">
        <v>70</v>
      </c>
      <c r="B120">
        <v>1</v>
      </c>
      <c r="D120">
        <v>13</v>
      </c>
      <c r="E120" t="s">
        <v>154</v>
      </c>
      <c r="F120" t="s">
        <v>155</v>
      </c>
      <c r="G120">
        <v>1</v>
      </c>
      <c r="H120">
        <v>0</v>
      </c>
      <c r="I120" t="s">
        <v>3</v>
      </c>
      <c r="J120">
        <v>0</v>
      </c>
      <c r="K120">
        <v>0</v>
      </c>
      <c r="L120" t="s">
        <v>3</v>
      </c>
      <c r="M120" t="s">
        <v>3</v>
      </c>
      <c r="N120">
        <v>0</v>
      </c>
    </row>
    <row r="122" spans="1:27" x14ac:dyDescent="0.2">
      <c r="A122">
        <v>-1</v>
      </c>
    </row>
    <row r="124" spans="1:27" x14ac:dyDescent="0.2">
      <c r="A124" s="3">
        <v>75</v>
      </c>
      <c r="B124" s="3" t="s">
        <v>156</v>
      </c>
      <c r="C124" s="3">
        <v>2020</v>
      </c>
      <c r="D124" s="3">
        <v>0</v>
      </c>
      <c r="E124" s="3">
        <v>9</v>
      </c>
      <c r="F124" s="3"/>
      <c r="G124" s="3">
        <v>0</v>
      </c>
      <c r="H124" s="3">
        <v>1</v>
      </c>
      <c r="I124" s="3">
        <v>0</v>
      </c>
      <c r="J124" s="3">
        <v>1</v>
      </c>
      <c r="K124" s="3">
        <v>0</v>
      </c>
      <c r="L124" s="3">
        <v>0</v>
      </c>
      <c r="M124" s="3">
        <v>0</v>
      </c>
      <c r="N124" s="3">
        <v>52122056</v>
      </c>
      <c r="O124" s="3">
        <v>1</v>
      </c>
    </row>
    <row r="125" spans="1:27" x14ac:dyDescent="0.2">
      <c r="A125" s="5">
        <v>1</v>
      </c>
      <c r="B125" s="5" t="s">
        <v>157</v>
      </c>
      <c r="C125" s="5" t="s">
        <v>158</v>
      </c>
      <c r="D125" s="5">
        <v>2020</v>
      </c>
      <c r="E125" s="5">
        <v>9</v>
      </c>
      <c r="F125" s="5">
        <v>1</v>
      </c>
      <c r="G125" s="5">
        <v>1</v>
      </c>
      <c r="H125" s="5">
        <v>0</v>
      </c>
      <c r="I125" s="5">
        <v>2</v>
      </c>
      <c r="J125" s="5">
        <v>1</v>
      </c>
      <c r="K125" s="5">
        <v>1</v>
      </c>
      <c r="L125" s="5">
        <v>1</v>
      </c>
      <c r="M125" s="5">
        <v>1</v>
      </c>
      <c r="N125" s="5">
        <v>1</v>
      </c>
      <c r="O125" s="5">
        <v>1</v>
      </c>
      <c r="P125" s="5">
        <v>1</v>
      </c>
      <c r="Q125" s="5">
        <v>1</v>
      </c>
      <c r="R125" s="5" t="s">
        <v>3</v>
      </c>
      <c r="S125" s="5" t="s">
        <v>3</v>
      </c>
      <c r="T125" s="5" t="s">
        <v>3</v>
      </c>
      <c r="U125" s="5" t="s">
        <v>3</v>
      </c>
      <c r="V125" s="5" t="s">
        <v>3</v>
      </c>
      <c r="W125" s="5" t="s">
        <v>3</v>
      </c>
      <c r="X125" s="5" t="s">
        <v>3</v>
      </c>
      <c r="Y125" s="5" t="s">
        <v>3</v>
      </c>
      <c r="Z125" s="5" t="s">
        <v>3</v>
      </c>
      <c r="AA125" s="5" t="s">
        <v>3</v>
      </c>
    </row>
    <row r="129" spans="1:5" x14ac:dyDescent="0.2">
      <c r="A129">
        <v>65</v>
      </c>
      <c r="C129">
        <v>1</v>
      </c>
      <c r="D129">
        <v>0</v>
      </c>
      <c r="E129">
        <v>245</v>
      </c>
    </row>
  </sheetData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C55"/>
  <sheetViews>
    <sheetView workbookViewId="0"/>
  </sheetViews>
  <sheetFormatPr defaultColWidth="9.140625" defaultRowHeight="12.75" x14ac:dyDescent="0.2"/>
  <cols>
    <col min="1" max="256" width="9.140625" customWidth="1"/>
  </cols>
  <sheetData>
    <row r="1" spans="1:133" x14ac:dyDescent="0.2">
      <c r="A1">
        <v>0</v>
      </c>
      <c r="B1" t="s">
        <v>0</v>
      </c>
      <c r="D1" t="s">
        <v>159</v>
      </c>
      <c r="F1">
        <v>0</v>
      </c>
      <c r="G1">
        <v>0</v>
      </c>
      <c r="H1">
        <v>0</v>
      </c>
      <c r="I1" t="s">
        <v>2</v>
      </c>
      <c r="J1" t="s">
        <v>3</v>
      </c>
      <c r="K1">
        <v>1</v>
      </c>
      <c r="L1">
        <v>66549</v>
      </c>
      <c r="M1">
        <v>11</v>
      </c>
      <c r="N1">
        <v>11</v>
      </c>
      <c r="O1">
        <v>2</v>
      </c>
      <c r="P1">
        <v>0</v>
      </c>
      <c r="Q1">
        <v>0</v>
      </c>
    </row>
    <row r="12" spans="1:133" x14ac:dyDescent="0.2">
      <c r="A12" s="1">
        <v>1</v>
      </c>
      <c r="B12" s="1">
        <v>54</v>
      </c>
      <c r="C12" s="1">
        <v>0</v>
      </c>
      <c r="D12" s="1"/>
      <c r="E12" s="1">
        <v>0</v>
      </c>
      <c r="F12" s="1" t="s">
        <v>4</v>
      </c>
      <c r="G12" s="1" t="s">
        <v>5</v>
      </c>
      <c r="H12" s="1" t="s">
        <v>3</v>
      </c>
      <c r="I12" s="1">
        <v>0</v>
      </c>
      <c r="J12" s="1" t="s">
        <v>6</v>
      </c>
      <c r="K12" s="1">
        <v>0</v>
      </c>
      <c r="L12" s="1"/>
      <c r="M12" s="1"/>
      <c r="N12" s="1"/>
      <c r="O12" s="1">
        <v>0</v>
      </c>
      <c r="P12" s="1">
        <v>0</v>
      </c>
      <c r="Q12" s="1">
        <v>0</v>
      </c>
      <c r="R12" s="1">
        <v>0</v>
      </c>
      <c r="S12" s="1"/>
      <c r="T12" s="1"/>
      <c r="U12" s="1" t="s">
        <v>3</v>
      </c>
      <c r="V12" s="1">
        <v>0</v>
      </c>
      <c r="W12" s="1" t="s">
        <v>3</v>
      </c>
      <c r="X12" s="1" t="s">
        <v>3</v>
      </c>
      <c r="Y12" s="1" t="s">
        <v>3</v>
      </c>
      <c r="Z12" s="1" t="s">
        <v>3</v>
      </c>
      <c r="AA12" s="1" t="s">
        <v>3</v>
      </c>
      <c r="AB12" s="1" t="s">
        <v>3</v>
      </c>
      <c r="AC12" s="1" t="s">
        <v>3</v>
      </c>
      <c r="AD12" s="1" t="s">
        <v>3</v>
      </c>
      <c r="AE12" s="1" t="s">
        <v>3</v>
      </c>
      <c r="AF12" s="1" t="s">
        <v>3</v>
      </c>
      <c r="AG12" s="1" t="s">
        <v>3</v>
      </c>
      <c r="AH12" s="1" t="s">
        <v>3</v>
      </c>
      <c r="AI12" s="1" t="s">
        <v>3</v>
      </c>
      <c r="AJ12" s="1" t="s">
        <v>3</v>
      </c>
      <c r="AK12" s="1"/>
      <c r="AL12" s="1" t="s">
        <v>3</v>
      </c>
      <c r="AM12" s="1" t="s">
        <v>3</v>
      </c>
      <c r="AN12" s="1" t="s">
        <v>3</v>
      </c>
      <c r="AO12" s="1"/>
      <c r="AP12" s="1" t="s">
        <v>3</v>
      </c>
      <c r="AQ12" s="1" t="s">
        <v>3</v>
      </c>
      <c r="AR12" s="1" t="s">
        <v>3</v>
      </c>
      <c r="AS12" s="1"/>
      <c r="AT12" s="1"/>
      <c r="AU12" s="1"/>
      <c r="AV12" s="1"/>
      <c r="AW12" s="1"/>
      <c r="AX12" s="1" t="s">
        <v>3</v>
      </c>
      <c r="AY12" s="1" t="s">
        <v>3</v>
      </c>
      <c r="AZ12" s="1" t="s">
        <v>3</v>
      </c>
      <c r="BA12" s="1"/>
      <c r="BB12" s="1"/>
      <c r="BC12" s="1"/>
      <c r="BD12" s="1"/>
      <c r="BE12" s="1"/>
      <c r="BF12" s="1"/>
      <c r="BG12" s="1"/>
      <c r="BH12" s="1" t="s">
        <v>7</v>
      </c>
      <c r="BI12" s="1" t="s">
        <v>8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2</v>
      </c>
      <c r="BQ12" s="1">
        <v>0</v>
      </c>
      <c r="BR12" s="1">
        <v>1</v>
      </c>
      <c r="BS12" s="1">
        <v>1</v>
      </c>
      <c r="BT12" s="1">
        <v>0</v>
      </c>
      <c r="BU12" s="1">
        <v>0</v>
      </c>
      <c r="BV12" s="1">
        <v>0</v>
      </c>
      <c r="BW12" s="1">
        <v>0</v>
      </c>
      <c r="BX12" s="1">
        <v>0</v>
      </c>
      <c r="BY12" s="1" t="s">
        <v>9</v>
      </c>
      <c r="BZ12" s="1" t="s">
        <v>10</v>
      </c>
      <c r="CA12" s="1" t="s">
        <v>11</v>
      </c>
      <c r="CB12" s="1" t="s">
        <v>11</v>
      </c>
      <c r="CC12" s="1" t="s">
        <v>11</v>
      </c>
      <c r="CD12" s="1" t="s">
        <v>11</v>
      </c>
      <c r="CE12" s="1" t="s">
        <v>12</v>
      </c>
      <c r="CF12" s="1">
        <v>0</v>
      </c>
      <c r="CG12" s="1">
        <v>0</v>
      </c>
      <c r="CH12" s="1">
        <v>8200</v>
      </c>
      <c r="CI12" s="1" t="s">
        <v>3</v>
      </c>
      <c r="CJ12" s="1" t="s">
        <v>3</v>
      </c>
      <c r="CK12" s="1">
        <v>1</v>
      </c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4" spans="1:133" x14ac:dyDescent="0.2">
      <c r="A14" s="1">
        <v>22</v>
      </c>
      <c r="B14" s="1">
        <v>0</v>
      </c>
      <c r="C14" s="1">
        <v>0</v>
      </c>
      <c r="D14" s="1">
        <v>52122056</v>
      </c>
      <c r="E14" s="1">
        <v>0</v>
      </c>
      <c r="F14" s="1">
        <v>3</v>
      </c>
      <c r="G14" s="1"/>
      <c r="H14" s="1"/>
      <c r="I14" s="1"/>
      <c r="J14" s="1"/>
      <c r="K14" s="1"/>
      <c r="L14" s="1"/>
      <c r="M14" s="1"/>
      <c r="N14" s="1"/>
      <c r="O14" s="1"/>
    </row>
    <row r="16" spans="1:133" x14ac:dyDescent="0.2">
      <c r="A16" s="6">
        <v>3</v>
      </c>
      <c r="B16" s="6">
        <v>1</v>
      </c>
      <c r="C16" s="6" t="s">
        <v>13</v>
      </c>
      <c r="D16" s="6" t="s">
        <v>13</v>
      </c>
      <c r="E16" s="7">
        <f>(Source!F46)/1000</f>
        <v>0</v>
      </c>
      <c r="F16" s="7">
        <f>(Source!F47)/1000</f>
        <v>0</v>
      </c>
      <c r="G16" s="7">
        <f>(Source!F38)/1000</f>
        <v>0</v>
      </c>
      <c r="H16" s="7">
        <f>(Source!F48)/1000+(Source!F49)/1000</f>
        <v>184.33699999999999</v>
      </c>
      <c r="I16" s="7">
        <f>E16+F16+G16+H16</f>
        <v>184.33699999999999</v>
      </c>
      <c r="J16" s="7">
        <f>(Source!F44)/1000</f>
        <v>89.92</v>
      </c>
      <c r="AI16" s="6">
        <v>0</v>
      </c>
      <c r="AJ16" s="6">
        <v>0</v>
      </c>
      <c r="AK16" s="6" t="s">
        <v>3</v>
      </c>
      <c r="AL16" s="6" t="s">
        <v>3</v>
      </c>
      <c r="AM16" s="6" t="s">
        <v>3</v>
      </c>
      <c r="AN16" s="6">
        <v>0</v>
      </c>
      <c r="AO16" s="6" t="s">
        <v>3</v>
      </c>
      <c r="AP16" s="6" t="s">
        <v>3</v>
      </c>
      <c r="AT16" s="7">
        <v>89920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89920</v>
      </c>
      <c r="BB16" s="7">
        <v>0</v>
      </c>
      <c r="BC16" s="7">
        <v>0</v>
      </c>
      <c r="BD16" s="7">
        <v>184337</v>
      </c>
      <c r="BE16" s="7">
        <v>0</v>
      </c>
      <c r="BF16" s="7">
        <v>219.85599999999999</v>
      </c>
      <c r="BG16" s="7">
        <v>0</v>
      </c>
      <c r="BH16" s="7">
        <v>0</v>
      </c>
      <c r="BI16" s="7">
        <v>58449</v>
      </c>
      <c r="BJ16" s="7">
        <v>35968</v>
      </c>
      <c r="BK16" s="7">
        <v>184337</v>
      </c>
    </row>
    <row r="18" spans="1:19" x14ac:dyDescent="0.2">
      <c r="A18">
        <v>51</v>
      </c>
      <c r="E18" s="8">
        <f>SUMIF(A16:A17,3,E16:E17)</f>
        <v>0</v>
      </c>
      <c r="F18" s="8">
        <f>SUMIF(A16:A17,3,F16:F17)</f>
        <v>0</v>
      </c>
      <c r="G18" s="8">
        <f>SUMIF(A16:A17,3,G16:G17)</f>
        <v>0</v>
      </c>
      <c r="H18" s="8">
        <f>SUMIF(A16:A17,3,H16:H17)</f>
        <v>184.33699999999999</v>
      </c>
      <c r="I18" s="8">
        <f>SUMIF(A16:A17,3,I16:I17)</f>
        <v>184.33699999999999</v>
      </c>
      <c r="J18" s="8">
        <f>SUMIF(A16:A17,3,J16:J17)</f>
        <v>89.92</v>
      </c>
      <c r="K18" s="8"/>
      <c r="L18" s="8"/>
      <c r="M18" s="8"/>
      <c r="N18" s="8"/>
      <c r="O18" s="8"/>
      <c r="P18" s="8"/>
      <c r="Q18" s="8"/>
      <c r="R18" s="8"/>
      <c r="S18" s="8"/>
    </row>
    <row r="20" spans="1:19" x14ac:dyDescent="0.2">
      <c r="A20" s="4">
        <v>50</v>
      </c>
      <c r="B20" s="4">
        <v>0</v>
      </c>
      <c r="C20" s="4">
        <v>0</v>
      </c>
      <c r="D20" s="4">
        <v>1</v>
      </c>
      <c r="E20" s="4">
        <v>201</v>
      </c>
      <c r="F20" s="4">
        <v>89920</v>
      </c>
      <c r="G20" s="4" t="s">
        <v>36</v>
      </c>
      <c r="H20" s="4" t="s">
        <v>37</v>
      </c>
      <c r="I20" s="4"/>
      <c r="J20" s="4"/>
      <c r="K20" s="4">
        <v>201</v>
      </c>
      <c r="L20" s="4">
        <v>1</v>
      </c>
      <c r="M20" s="4">
        <v>3</v>
      </c>
      <c r="N20" s="4" t="s">
        <v>3</v>
      </c>
      <c r="O20" s="4">
        <v>0</v>
      </c>
      <c r="P20" s="4"/>
    </row>
    <row r="21" spans="1:19" x14ac:dyDescent="0.2">
      <c r="A21" s="4">
        <v>50</v>
      </c>
      <c r="B21" s="4">
        <v>0</v>
      </c>
      <c r="C21" s="4">
        <v>0</v>
      </c>
      <c r="D21" s="4">
        <v>1</v>
      </c>
      <c r="E21" s="4">
        <v>202</v>
      </c>
      <c r="F21" s="4">
        <v>0</v>
      </c>
      <c r="G21" s="4" t="s">
        <v>38</v>
      </c>
      <c r="H21" s="4" t="s">
        <v>39</v>
      </c>
      <c r="I21" s="4"/>
      <c r="J21" s="4"/>
      <c r="K21" s="4">
        <v>202</v>
      </c>
      <c r="L21" s="4">
        <v>2</v>
      </c>
      <c r="M21" s="4">
        <v>3</v>
      </c>
      <c r="N21" s="4" t="s">
        <v>3</v>
      </c>
      <c r="O21" s="4">
        <v>0</v>
      </c>
      <c r="P21" s="4"/>
    </row>
    <row r="22" spans="1:19" x14ac:dyDescent="0.2">
      <c r="A22" s="4">
        <v>50</v>
      </c>
      <c r="B22" s="4">
        <v>0</v>
      </c>
      <c r="C22" s="4">
        <v>0</v>
      </c>
      <c r="D22" s="4">
        <v>1</v>
      </c>
      <c r="E22" s="4">
        <v>222</v>
      </c>
      <c r="F22" s="4">
        <v>0</v>
      </c>
      <c r="G22" s="4" t="s">
        <v>40</v>
      </c>
      <c r="H22" s="4" t="s">
        <v>41</v>
      </c>
      <c r="I22" s="4"/>
      <c r="J22" s="4"/>
      <c r="K22" s="4">
        <v>222</v>
      </c>
      <c r="L22" s="4">
        <v>3</v>
      </c>
      <c r="M22" s="4">
        <v>3</v>
      </c>
      <c r="N22" s="4" t="s">
        <v>3</v>
      </c>
      <c r="O22" s="4">
        <v>0</v>
      </c>
      <c r="P22" s="4"/>
    </row>
    <row r="23" spans="1:19" x14ac:dyDescent="0.2">
      <c r="A23" s="4">
        <v>50</v>
      </c>
      <c r="B23" s="4">
        <v>0</v>
      </c>
      <c r="C23" s="4">
        <v>0</v>
      </c>
      <c r="D23" s="4">
        <v>1</v>
      </c>
      <c r="E23" s="4">
        <v>225</v>
      </c>
      <c r="F23" s="4">
        <v>0</v>
      </c>
      <c r="G23" s="4" t="s">
        <v>42</v>
      </c>
      <c r="H23" s="4" t="s">
        <v>43</v>
      </c>
      <c r="I23" s="4"/>
      <c r="J23" s="4"/>
      <c r="K23" s="4">
        <v>225</v>
      </c>
      <c r="L23" s="4">
        <v>4</v>
      </c>
      <c r="M23" s="4">
        <v>3</v>
      </c>
      <c r="N23" s="4" t="s">
        <v>3</v>
      </c>
      <c r="O23" s="4">
        <v>0</v>
      </c>
      <c r="P23" s="4"/>
    </row>
    <row r="24" spans="1:19" x14ac:dyDescent="0.2">
      <c r="A24" s="4">
        <v>50</v>
      </c>
      <c r="B24" s="4">
        <v>0</v>
      </c>
      <c r="C24" s="4">
        <v>0</v>
      </c>
      <c r="D24" s="4">
        <v>1</v>
      </c>
      <c r="E24" s="4">
        <v>226</v>
      </c>
      <c r="F24" s="4">
        <v>0</v>
      </c>
      <c r="G24" s="4" t="s">
        <v>44</v>
      </c>
      <c r="H24" s="4" t="s">
        <v>45</v>
      </c>
      <c r="I24" s="4"/>
      <c r="J24" s="4"/>
      <c r="K24" s="4">
        <v>226</v>
      </c>
      <c r="L24" s="4">
        <v>5</v>
      </c>
      <c r="M24" s="4">
        <v>3</v>
      </c>
      <c r="N24" s="4" t="s">
        <v>3</v>
      </c>
      <c r="O24" s="4">
        <v>0</v>
      </c>
      <c r="P24" s="4"/>
    </row>
    <row r="25" spans="1:19" x14ac:dyDescent="0.2">
      <c r="A25" s="4">
        <v>50</v>
      </c>
      <c r="B25" s="4">
        <v>0</v>
      </c>
      <c r="C25" s="4">
        <v>0</v>
      </c>
      <c r="D25" s="4">
        <v>1</v>
      </c>
      <c r="E25" s="4">
        <v>227</v>
      </c>
      <c r="F25" s="4">
        <v>0</v>
      </c>
      <c r="G25" s="4" t="s">
        <v>46</v>
      </c>
      <c r="H25" s="4" t="s">
        <v>47</v>
      </c>
      <c r="I25" s="4"/>
      <c r="J25" s="4"/>
      <c r="K25" s="4">
        <v>227</v>
      </c>
      <c r="L25" s="4">
        <v>6</v>
      </c>
      <c r="M25" s="4">
        <v>3</v>
      </c>
      <c r="N25" s="4" t="s">
        <v>3</v>
      </c>
      <c r="O25" s="4">
        <v>0</v>
      </c>
      <c r="P25" s="4"/>
    </row>
    <row r="26" spans="1:19" x14ac:dyDescent="0.2">
      <c r="A26" s="4">
        <v>50</v>
      </c>
      <c r="B26" s="4">
        <v>0</v>
      </c>
      <c r="C26" s="4">
        <v>0</v>
      </c>
      <c r="D26" s="4">
        <v>1</v>
      </c>
      <c r="E26" s="4">
        <v>228</v>
      </c>
      <c r="F26" s="4">
        <v>0</v>
      </c>
      <c r="G26" s="4" t="s">
        <v>48</v>
      </c>
      <c r="H26" s="4" t="s">
        <v>49</v>
      </c>
      <c r="I26" s="4"/>
      <c r="J26" s="4"/>
      <c r="K26" s="4">
        <v>228</v>
      </c>
      <c r="L26" s="4">
        <v>7</v>
      </c>
      <c r="M26" s="4">
        <v>3</v>
      </c>
      <c r="N26" s="4" t="s">
        <v>3</v>
      </c>
      <c r="O26" s="4">
        <v>0</v>
      </c>
      <c r="P26" s="4"/>
    </row>
    <row r="27" spans="1:19" x14ac:dyDescent="0.2">
      <c r="A27" s="4">
        <v>50</v>
      </c>
      <c r="B27" s="4">
        <v>0</v>
      </c>
      <c r="C27" s="4">
        <v>0</v>
      </c>
      <c r="D27" s="4">
        <v>1</v>
      </c>
      <c r="E27" s="4">
        <v>216</v>
      </c>
      <c r="F27" s="4">
        <v>0</v>
      </c>
      <c r="G27" s="4" t="s">
        <v>50</v>
      </c>
      <c r="H27" s="4" t="s">
        <v>51</v>
      </c>
      <c r="I27" s="4"/>
      <c r="J27" s="4"/>
      <c r="K27" s="4">
        <v>216</v>
      </c>
      <c r="L27" s="4">
        <v>8</v>
      </c>
      <c r="M27" s="4">
        <v>3</v>
      </c>
      <c r="N27" s="4" t="s">
        <v>3</v>
      </c>
      <c r="O27" s="4">
        <v>0</v>
      </c>
      <c r="P27" s="4"/>
    </row>
    <row r="28" spans="1:19" x14ac:dyDescent="0.2">
      <c r="A28" s="4">
        <v>50</v>
      </c>
      <c r="B28" s="4">
        <v>0</v>
      </c>
      <c r="C28" s="4">
        <v>0</v>
      </c>
      <c r="D28" s="4">
        <v>1</v>
      </c>
      <c r="E28" s="4">
        <v>223</v>
      </c>
      <c r="F28" s="4">
        <v>0</v>
      </c>
      <c r="G28" s="4" t="s">
        <v>52</v>
      </c>
      <c r="H28" s="4" t="s">
        <v>53</v>
      </c>
      <c r="I28" s="4"/>
      <c r="J28" s="4"/>
      <c r="K28" s="4">
        <v>223</v>
      </c>
      <c r="L28" s="4">
        <v>9</v>
      </c>
      <c r="M28" s="4">
        <v>3</v>
      </c>
      <c r="N28" s="4" t="s">
        <v>3</v>
      </c>
      <c r="O28" s="4">
        <v>0</v>
      </c>
      <c r="P28" s="4"/>
    </row>
    <row r="29" spans="1:19" x14ac:dyDescent="0.2">
      <c r="A29" s="4">
        <v>50</v>
      </c>
      <c r="B29" s="4">
        <v>0</v>
      </c>
      <c r="C29" s="4">
        <v>0</v>
      </c>
      <c r="D29" s="4">
        <v>1</v>
      </c>
      <c r="E29" s="4">
        <v>229</v>
      </c>
      <c r="F29" s="4">
        <v>0</v>
      </c>
      <c r="G29" s="4" t="s">
        <v>54</v>
      </c>
      <c r="H29" s="4" t="s">
        <v>55</v>
      </c>
      <c r="I29" s="4"/>
      <c r="J29" s="4"/>
      <c r="K29" s="4">
        <v>229</v>
      </c>
      <c r="L29" s="4">
        <v>10</v>
      </c>
      <c r="M29" s="4">
        <v>3</v>
      </c>
      <c r="N29" s="4" t="s">
        <v>3</v>
      </c>
      <c r="O29" s="4">
        <v>0</v>
      </c>
      <c r="P29" s="4"/>
    </row>
    <row r="30" spans="1:19" x14ac:dyDescent="0.2">
      <c r="A30" s="4">
        <v>50</v>
      </c>
      <c r="B30" s="4">
        <v>0</v>
      </c>
      <c r="C30" s="4">
        <v>0</v>
      </c>
      <c r="D30" s="4">
        <v>1</v>
      </c>
      <c r="E30" s="4">
        <v>203</v>
      </c>
      <c r="F30" s="4">
        <v>0</v>
      </c>
      <c r="G30" s="4" t="s">
        <v>56</v>
      </c>
      <c r="H30" s="4" t="s">
        <v>57</v>
      </c>
      <c r="I30" s="4"/>
      <c r="J30" s="4"/>
      <c r="K30" s="4">
        <v>203</v>
      </c>
      <c r="L30" s="4">
        <v>11</v>
      </c>
      <c r="M30" s="4">
        <v>3</v>
      </c>
      <c r="N30" s="4" t="s">
        <v>3</v>
      </c>
      <c r="O30" s="4">
        <v>0</v>
      </c>
      <c r="P30" s="4"/>
    </row>
    <row r="31" spans="1:19" x14ac:dyDescent="0.2">
      <c r="A31" s="4">
        <v>50</v>
      </c>
      <c r="B31" s="4">
        <v>0</v>
      </c>
      <c r="C31" s="4">
        <v>0</v>
      </c>
      <c r="D31" s="4">
        <v>1</v>
      </c>
      <c r="E31" s="4">
        <v>231</v>
      </c>
      <c r="F31" s="4">
        <v>0</v>
      </c>
      <c r="G31" s="4" t="s">
        <v>58</v>
      </c>
      <c r="H31" s="4" t="s">
        <v>59</v>
      </c>
      <c r="I31" s="4"/>
      <c r="J31" s="4"/>
      <c r="K31" s="4">
        <v>231</v>
      </c>
      <c r="L31" s="4">
        <v>12</v>
      </c>
      <c r="M31" s="4">
        <v>3</v>
      </c>
      <c r="N31" s="4" t="s">
        <v>3</v>
      </c>
      <c r="O31" s="4">
        <v>0</v>
      </c>
      <c r="P31" s="4"/>
    </row>
    <row r="32" spans="1:19" x14ac:dyDescent="0.2">
      <c r="A32" s="4">
        <v>50</v>
      </c>
      <c r="B32" s="4">
        <v>0</v>
      </c>
      <c r="C32" s="4">
        <v>0</v>
      </c>
      <c r="D32" s="4">
        <v>1</v>
      </c>
      <c r="E32" s="4">
        <v>204</v>
      </c>
      <c r="F32" s="4">
        <v>0</v>
      </c>
      <c r="G32" s="4" t="s">
        <v>60</v>
      </c>
      <c r="H32" s="4" t="s">
        <v>61</v>
      </c>
      <c r="I32" s="4"/>
      <c r="J32" s="4"/>
      <c r="K32" s="4">
        <v>204</v>
      </c>
      <c r="L32" s="4">
        <v>13</v>
      </c>
      <c r="M32" s="4">
        <v>3</v>
      </c>
      <c r="N32" s="4" t="s">
        <v>3</v>
      </c>
      <c r="O32" s="4">
        <v>0</v>
      </c>
      <c r="P32" s="4"/>
    </row>
    <row r="33" spans="1:16" x14ac:dyDescent="0.2">
      <c r="A33" s="4">
        <v>50</v>
      </c>
      <c r="B33" s="4">
        <v>0</v>
      </c>
      <c r="C33" s="4">
        <v>0</v>
      </c>
      <c r="D33" s="4">
        <v>1</v>
      </c>
      <c r="E33" s="4">
        <v>205</v>
      </c>
      <c r="F33" s="4">
        <v>89920</v>
      </c>
      <c r="G33" s="4" t="s">
        <v>62</v>
      </c>
      <c r="H33" s="4" t="s">
        <v>63</v>
      </c>
      <c r="I33" s="4"/>
      <c r="J33" s="4"/>
      <c r="K33" s="4">
        <v>205</v>
      </c>
      <c r="L33" s="4">
        <v>14</v>
      </c>
      <c r="M33" s="4">
        <v>3</v>
      </c>
      <c r="N33" s="4" t="s">
        <v>3</v>
      </c>
      <c r="O33" s="4">
        <v>0</v>
      </c>
      <c r="P33" s="4"/>
    </row>
    <row r="34" spans="1:16" x14ac:dyDescent="0.2">
      <c r="A34" s="4">
        <v>50</v>
      </c>
      <c r="B34" s="4">
        <v>0</v>
      </c>
      <c r="C34" s="4">
        <v>0</v>
      </c>
      <c r="D34" s="4">
        <v>1</v>
      </c>
      <c r="E34" s="4">
        <v>232</v>
      </c>
      <c r="F34" s="4">
        <v>0</v>
      </c>
      <c r="G34" s="4" t="s">
        <v>64</v>
      </c>
      <c r="H34" s="4" t="s">
        <v>65</v>
      </c>
      <c r="I34" s="4"/>
      <c r="J34" s="4"/>
      <c r="K34" s="4">
        <v>232</v>
      </c>
      <c r="L34" s="4">
        <v>15</v>
      </c>
      <c r="M34" s="4">
        <v>3</v>
      </c>
      <c r="N34" s="4" t="s">
        <v>3</v>
      </c>
      <c r="O34" s="4">
        <v>0</v>
      </c>
      <c r="P34" s="4"/>
    </row>
    <row r="35" spans="1:16" x14ac:dyDescent="0.2">
      <c r="A35" s="4">
        <v>50</v>
      </c>
      <c r="B35" s="4">
        <v>0</v>
      </c>
      <c r="C35" s="4">
        <v>0</v>
      </c>
      <c r="D35" s="4">
        <v>1</v>
      </c>
      <c r="E35" s="4">
        <v>214</v>
      </c>
      <c r="F35" s="4">
        <v>0</v>
      </c>
      <c r="G35" s="4" t="s">
        <v>66</v>
      </c>
      <c r="H35" s="4" t="s">
        <v>67</v>
      </c>
      <c r="I35" s="4"/>
      <c r="J35" s="4"/>
      <c r="K35" s="4">
        <v>214</v>
      </c>
      <c r="L35" s="4">
        <v>16</v>
      </c>
      <c r="M35" s="4">
        <v>3</v>
      </c>
      <c r="N35" s="4" t="s">
        <v>3</v>
      </c>
      <c r="O35" s="4">
        <v>0</v>
      </c>
      <c r="P35" s="4"/>
    </row>
    <row r="36" spans="1:16" x14ac:dyDescent="0.2">
      <c r="A36" s="4">
        <v>50</v>
      </c>
      <c r="B36" s="4">
        <v>0</v>
      </c>
      <c r="C36" s="4">
        <v>0</v>
      </c>
      <c r="D36" s="4">
        <v>1</v>
      </c>
      <c r="E36" s="4">
        <v>215</v>
      </c>
      <c r="F36" s="4">
        <v>0</v>
      </c>
      <c r="G36" s="4" t="s">
        <v>68</v>
      </c>
      <c r="H36" s="4" t="s">
        <v>69</v>
      </c>
      <c r="I36" s="4"/>
      <c r="J36" s="4"/>
      <c r="K36" s="4">
        <v>215</v>
      </c>
      <c r="L36" s="4">
        <v>17</v>
      </c>
      <c r="M36" s="4">
        <v>3</v>
      </c>
      <c r="N36" s="4" t="s">
        <v>3</v>
      </c>
      <c r="O36" s="4">
        <v>0</v>
      </c>
      <c r="P36" s="4"/>
    </row>
    <row r="37" spans="1:16" x14ac:dyDescent="0.2">
      <c r="A37" s="4">
        <v>50</v>
      </c>
      <c r="B37" s="4">
        <v>0</v>
      </c>
      <c r="C37" s="4">
        <v>0</v>
      </c>
      <c r="D37" s="4">
        <v>1</v>
      </c>
      <c r="E37" s="4">
        <v>217</v>
      </c>
      <c r="F37" s="4">
        <v>184337</v>
      </c>
      <c r="G37" s="4" t="s">
        <v>70</v>
      </c>
      <c r="H37" s="4" t="s">
        <v>71</v>
      </c>
      <c r="I37" s="4"/>
      <c r="J37" s="4"/>
      <c r="K37" s="4">
        <v>217</v>
      </c>
      <c r="L37" s="4">
        <v>18</v>
      </c>
      <c r="M37" s="4">
        <v>3</v>
      </c>
      <c r="N37" s="4" t="s">
        <v>3</v>
      </c>
      <c r="O37" s="4">
        <v>0</v>
      </c>
      <c r="P37" s="4"/>
    </row>
    <row r="38" spans="1:16" x14ac:dyDescent="0.2">
      <c r="A38" s="4">
        <v>50</v>
      </c>
      <c r="B38" s="4">
        <v>0</v>
      </c>
      <c r="C38" s="4">
        <v>0</v>
      </c>
      <c r="D38" s="4">
        <v>1</v>
      </c>
      <c r="E38" s="4">
        <v>230</v>
      </c>
      <c r="F38" s="4">
        <v>0</v>
      </c>
      <c r="G38" s="4" t="s">
        <v>72</v>
      </c>
      <c r="H38" s="4" t="s">
        <v>73</v>
      </c>
      <c r="I38" s="4"/>
      <c r="J38" s="4"/>
      <c r="K38" s="4">
        <v>230</v>
      </c>
      <c r="L38" s="4">
        <v>19</v>
      </c>
      <c r="M38" s="4">
        <v>3</v>
      </c>
      <c r="N38" s="4" t="s">
        <v>3</v>
      </c>
      <c r="O38" s="4">
        <v>0</v>
      </c>
      <c r="P38" s="4"/>
    </row>
    <row r="39" spans="1:16" x14ac:dyDescent="0.2">
      <c r="A39" s="4">
        <v>50</v>
      </c>
      <c r="B39" s="4">
        <v>0</v>
      </c>
      <c r="C39" s="4">
        <v>0</v>
      </c>
      <c r="D39" s="4">
        <v>1</v>
      </c>
      <c r="E39" s="4">
        <v>206</v>
      </c>
      <c r="F39" s="4">
        <v>0</v>
      </c>
      <c r="G39" s="4" t="s">
        <v>74</v>
      </c>
      <c r="H39" s="4" t="s">
        <v>75</v>
      </c>
      <c r="I39" s="4"/>
      <c r="J39" s="4"/>
      <c r="K39" s="4">
        <v>206</v>
      </c>
      <c r="L39" s="4">
        <v>20</v>
      </c>
      <c r="M39" s="4">
        <v>3</v>
      </c>
      <c r="N39" s="4" t="s">
        <v>3</v>
      </c>
      <c r="O39" s="4">
        <v>0</v>
      </c>
      <c r="P39" s="4"/>
    </row>
    <row r="40" spans="1:16" x14ac:dyDescent="0.2">
      <c r="A40" s="4">
        <v>50</v>
      </c>
      <c r="B40" s="4">
        <v>0</v>
      </c>
      <c r="C40" s="4">
        <v>0</v>
      </c>
      <c r="D40" s="4">
        <v>1</v>
      </c>
      <c r="E40" s="4">
        <v>207</v>
      </c>
      <c r="F40" s="4">
        <v>219.85599999999999</v>
      </c>
      <c r="G40" s="4" t="s">
        <v>76</v>
      </c>
      <c r="H40" s="4" t="s">
        <v>77</v>
      </c>
      <c r="I40" s="4"/>
      <c r="J40" s="4"/>
      <c r="K40" s="4">
        <v>207</v>
      </c>
      <c r="L40" s="4">
        <v>21</v>
      </c>
      <c r="M40" s="4">
        <v>3</v>
      </c>
      <c r="N40" s="4" t="s">
        <v>3</v>
      </c>
      <c r="O40" s="4">
        <v>-1</v>
      </c>
      <c r="P40" s="4"/>
    </row>
    <row r="41" spans="1:16" x14ac:dyDescent="0.2">
      <c r="A41" s="4">
        <v>50</v>
      </c>
      <c r="B41" s="4">
        <v>0</v>
      </c>
      <c r="C41" s="4">
        <v>0</v>
      </c>
      <c r="D41" s="4">
        <v>1</v>
      </c>
      <c r="E41" s="4">
        <v>208</v>
      </c>
      <c r="F41" s="4">
        <v>0</v>
      </c>
      <c r="G41" s="4" t="s">
        <v>78</v>
      </c>
      <c r="H41" s="4" t="s">
        <v>79</v>
      </c>
      <c r="I41" s="4"/>
      <c r="J41" s="4"/>
      <c r="K41" s="4">
        <v>208</v>
      </c>
      <c r="L41" s="4">
        <v>22</v>
      </c>
      <c r="M41" s="4">
        <v>3</v>
      </c>
      <c r="N41" s="4" t="s">
        <v>3</v>
      </c>
      <c r="O41" s="4">
        <v>-1</v>
      </c>
      <c r="P41" s="4"/>
    </row>
    <row r="42" spans="1:16" x14ac:dyDescent="0.2">
      <c r="A42" s="4">
        <v>50</v>
      </c>
      <c r="B42" s="4">
        <v>0</v>
      </c>
      <c r="C42" s="4">
        <v>0</v>
      </c>
      <c r="D42" s="4">
        <v>1</v>
      </c>
      <c r="E42" s="4">
        <v>209</v>
      </c>
      <c r="F42" s="4">
        <v>0</v>
      </c>
      <c r="G42" s="4" t="s">
        <v>80</v>
      </c>
      <c r="H42" s="4" t="s">
        <v>81</v>
      </c>
      <c r="I42" s="4"/>
      <c r="J42" s="4"/>
      <c r="K42" s="4">
        <v>209</v>
      </c>
      <c r="L42" s="4">
        <v>23</v>
      </c>
      <c r="M42" s="4">
        <v>3</v>
      </c>
      <c r="N42" s="4" t="s">
        <v>3</v>
      </c>
      <c r="O42" s="4">
        <v>0</v>
      </c>
      <c r="P42" s="4"/>
    </row>
    <row r="43" spans="1:16" x14ac:dyDescent="0.2">
      <c r="A43" s="4">
        <v>50</v>
      </c>
      <c r="B43" s="4">
        <v>0</v>
      </c>
      <c r="C43" s="4">
        <v>0</v>
      </c>
      <c r="D43" s="4">
        <v>1</v>
      </c>
      <c r="E43" s="4">
        <v>233</v>
      </c>
      <c r="F43" s="4">
        <v>0</v>
      </c>
      <c r="G43" s="4" t="s">
        <v>82</v>
      </c>
      <c r="H43" s="4" t="s">
        <v>83</v>
      </c>
      <c r="I43" s="4"/>
      <c r="J43" s="4"/>
      <c r="K43" s="4">
        <v>233</v>
      </c>
      <c r="L43" s="4">
        <v>24</v>
      </c>
      <c r="M43" s="4">
        <v>3</v>
      </c>
      <c r="N43" s="4" t="s">
        <v>3</v>
      </c>
      <c r="O43" s="4">
        <v>0</v>
      </c>
      <c r="P43" s="4"/>
    </row>
    <row r="44" spans="1:16" x14ac:dyDescent="0.2">
      <c r="A44" s="4">
        <v>50</v>
      </c>
      <c r="B44" s="4">
        <v>0</v>
      </c>
      <c r="C44" s="4">
        <v>0</v>
      </c>
      <c r="D44" s="4">
        <v>1</v>
      </c>
      <c r="E44" s="4">
        <v>210</v>
      </c>
      <c r="F44" s="4">
        <v>58449</v>
      </c>
      <c r="G44" s="4" t="s">
        <v>84</v>
      </c>
      <c r="H44" s="4" t="s">
        <v>85</v>
      </c>
      <c r="I44" s="4"/>
      <c r="J44" s="4"/>
      <c r="K44" s="4">
        <v>210</v>
      </c>
      <c r="L44" s="4">
        <v>25</v>
      </c>
      <c r="M44" s="4">
        <v>3</v>
      </c>
      <c r="N44" s="4" t="s">
        <v>3</v>
      </c>
      <c r="O44" s="4">
        <v>0</v>
      </c>
      <c r="P44" s="4"/>
    </row>
    <row r="45" spans="1:16" x14ac:dyDescent="0.2">
      <c r="A45" s="4">
        <v>50</v>
      </c>
      <c r="B45" s="4">
        <v>0</v>
      </c>
      <c r="C45" s="4">
        <v>0</v>
      </c>
      <c r="D45" s="4">
        <v>1</v>
      </c>
      <c r="E45" s="4">
        <v>211</v>
      </c>
      <c r="F45" s="4">
        <v>35968</v>
      </c>
      <c r="G45" s="4" t="s">
        <v>86</v>
      </c>
      <c r="H45" s="4" t="s">
        <v>87</v>
      </c>
      <c r="I45" s="4"/>
      <c r="J45" s="4"/>
      <c r="K45" s="4">
        <v>211</v>
      </c>
      <c r="L45" s="4">
        <v>26</v>
      </c>
      <c r="M45" s="4">
        <v>3</v>
      </c>
      <c r="N45" s="4" t="s">
        <v>3</v>
      </c>
      <c r="O45" s="4">
        <v>0</v>
      </c>
      <c r="P45" s="4"/>
    </row>
    <row r="46" spans="1:16" x14ac:dyDescent="0.2">
      <c r="A46" s="4">
        <v>50</v>
      </c>
      <c r="B46" s="4">
        <v>0</v>
      </c>
      <c r="C46" s="4">
        <v>0</v>
      </c>
      <c r="D46" s="4">
        <v>1</v>
      </c>
      <c r="E46" s="4">
        <v>224</v>
      </c>
      <c r="F46" s="4">
        <v>184337</v>
      </c>
      <c r="G46" s="4" t="s">
        <v>88</v>
      </c>
      <c r="H46" s="4" t="s">
        <v>89</v>
      </c>
      <c r="I46" s="4"/>
      <c r="J46" s="4"/>
      <c r="K46" s="4">
        <v>224</v>
      </c>
      <c r="L46" s="4">
        <v>27</v>
      </c>
      <c r="M46" s="4">
        <v>3</v>
      </c>
      <c r="N46" s="4" t="s">
        <v>3</v>
      </c>
      <c r="O46" s="4">
        <v>0</v>
      </c>
      <c r="P46" s="4"/>
    </row>
    <row r="47" spans="1:16" x14ac:dyDescent="0.2">
      <c r="A47" s="4">
        <v>50</v>
      </c>
      <c r="B47" s="4">
        <v>1</v>
      </c>
      <c r="C47" s="4">
        <v>0</v>
      </c>
      <c r="D47" s="4">
        <v>2</v>
      </c>
      <c r="E47" s="4">
        <v>0</v>
      </c>
      <c r="F47" s="4">
        <v>184337</v>
      </c>
      <c r="G47" s="4" t="s">
        <v>90</v>
      </c>
      <c r="H47" s="4" t="s">
        <v>91</v>
      </c>
      <c r="I47" s="4"/>
      <c r="J47" s="4"/>
      <c r="K47" s="4">
        <v>212</v>
      </c>
      <c r="L47" s="4">
        <v>28</v>
      </c>
      <c r="M47" s="4">
        <v>0</v>
      </c>
      <c r="N47" s="4" t="s">
        <v>3</v>
      </c>
      <c r="O47" s="4">
        <v>2</v>
      </c>
      <c r="P47" s="4"/>
    </row>
    <row r="48" spans="1:16" x14ac:dyDescent="0.2">
      <c r="A48" s="4">
        <v>50</v>
      </c>
      <c r="B48" s="4">
        <v>1</v>
      </c>
      <c r="C48" s="4">
        <v>0</v>
      </c>
      <c r="D48" s="4">
        <v>2</v>
      </c>
      <c r="E48" s="4">
        <v>0</v>
      </c>
      <c r="F48" s="4">
        <v>36867.4</v>
      </c>
      <c r="G48" s="4" t="s">
        <v>92</v>
      </c>
      <c r="H48" s="4" t="s">
        <v>93</v>
      </c>
      <c r="I48" s="4"/>
      <c r="J48" s="4"/>
      <c r="K48" s="4">
        <v>212</v>
      </c>
      <c r="L48" s="4">
        <v>29</v>
      </c>
      <c r="M48" s="4">
        <v>0</v>
      </c>
      <c r="N48" s="4" t="s">
        <v>3</v>
      </c>
      <c r="O48" s="4">
        <v>2</v>
      </c>
      <c r="P48" s="4"/>
    </row>
    <row r="49" spans="1:27" x14ac:dyDescent="0.2">
      <c r="A49" s="4">
        <v>50</v>
      </c>
      <c r="B49" s="4">
        <v>1</v>
      </c>
      <c r="C49" s="4">
        <v>0</v>
      </c>
      <c r="D49" s="4">
        <v>2</v>
      </c>
      <c r="E49" s="4">
        <v>213</v>
      </c>
      <c r="F49" s="4">
        <v>221204.4</v>
      </c>
      <c r="G49" s="4" t="s">
        <v>94</v>
      </c>
      <c r="H49" s="4" t="s">
        <v>88</v>
      </c>
      <c r="I49" s="4"/>
      <c r="J49" s="4"/>
      <c r="K49" s="4">
        <v>212</v>
      </c>
      <c r="L49" s="4">
        <v>30</v>
      </c>
      <c r="M49" s="4">
        <v>0</v>
      </c>
      <c r="N49" s="4" t="s">
        <v>3</v>
      </c>
      <c r="O49" s="4">
        <v>2</v>
      </c>
      <c r="P49" s="4"/>
    </row>
    <row r="51" spans="1:27" x14ac:dyDescent="0.2">
      <c r="A51">
        <v>-1</v>
      </c>
    </row>
    <row r="54" spans="1:27" x14ac:dyDescent="0.2">
      <c r="A54" s="3">
        <v>75</v>
      </c>
      <c r="B54" s="3" t="s">
        <v>156</v>
      </c>
      <c r="C54" s="3">
        <v>2020</v>
      </c>
      <c r="D54" s="3">
        <v>0</v>
      </c>
      <c r="E54" s="3">
        <v>9</v>
      </c>
      <c r="F54" s="3"/>
      <c r="G54" s="3">
        <v>0</v>
      </c>
      <c r="H54" s="3">
        <v>1</v>
      </c>
      <c r="I54" s="3">
        <v>0</v>
      </c>
      <c r="J54" s="3">
        <v>1</v>
      </c>
      <c r="K54" s="3">
        <v>0</v>
      </c>
      <c r="L54" s="3">
        <v>0</v>
      </c>
      <c r="M54" s="3">
        <v>0</v>
      </c>
      <c r="N54" s="3">
        <v>52122056</v>
      </c>
      <c r="O54" s="3">
        <v>1</v>
      </c>
    </row>
    <row r="55" spans="1:27" x14ac:dyDescent="0.2">
      <c r="A55" s="5">
        <v>1</v>
      </c>
      <c r="B55" s="5" t="s">
        <v>157</v>
      </c>
      <c r="C55" s="5" t="s">
        <v>158</v>
      </c>
      <c r="D55" s="5">
        <v>2020</v>
      </c>
      <c r="E55" s="5">
        <v>9</v>
      </c>
      <c r="F55" s="5">
        <v>1</v>
      </c>
      <c r="G55" s="5">
        <v>1</v>
      </c>
      <c r="H55" s="5">
        <v>0</v>
      </c>
      <c r="I55" s="5">
        <v>2</v>
      </c>
      <c r="J55" s="5">
        <v>1</v>
      </c>
      <c r="K55" s="5">
        <v>1</v>
      </c>
      <c r="L55" s="5">
        <v>1</v>
      </c>
      <c r="M55" s="5">
        <v>1</v>
      </c>
      <c r="N55" s="5">
        <v>1</v>
      </c>
      <c r="O55" s="5">
        <v>1</v>
      </c>
      <c r="P55" s="5">
        <v>1</v>
      </c>
      <c r="Q55" s="5">
        <v>1</v>
      </c>
      <c r="R55" s="5" t="s">
        <v>3</v>
      </c>
      <c r="S55" s="5" t="s">
        <v>3</v>
      </c>
      <c r="T55" s="5" t="s">
        <v>3</v>
      </c>
      <c r="U55" s="5" t="s">
        <v>3</v>
      </c>
      <c r="V55" s="5" t="s">
        <v>3</v>
      </c>
      <c r="W55" s="5" t="s">
        <v>3</v>
      </c>
      <c r="X55" s="5" t="s">
        <v>3</v>
      </c>
      <c r="Y55" s="5" t="s">
        <v>3</v>
      </c>
      <c r="Z55" s="5" t="s">
        <v>3</v>
      </c>
      <c r="AA55" s="5" t="s">
        <v>3</v>
      </c>
    </row>
  </sheetData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C8"/>
  <sheetViews>
    <sheetView workbookViewId="0"/>
  </sheetViews>
  <sheetFormatPr defaultColWidth="9.140625" defaultRowHeight="12.75" x14ac:dyDescent="0.2"/>
  <cols>
    <col min="1" max="256" width="9.140625" customWidth="1"/>
  </cols>
  <sheetData>
    <row r="1" spans="1:107" x14ac:dyDescent="0.2">
      <c r="A1">
        <f>ROW(Source!A24)</f>
        <v>24</v>
      </c>
      <c r="B1">
        <v>52122056</v>
      </c>
      <c r="C1">
        <v>52122196</v>
      </c>
      <c r="D1">
        <v>29478568</v>
      </c>
      <c r="E1">
        <v>1</v>
      </c>
      <c r="F1">
        <v>1</v>
      </c>
      <c r="G1">
        <v>1</v>
      </c>
      <c r="H1">
        <v>1</v>
      </c>
      <c r="I1" t="s">
        <v>160</v>
      </c>
      <c r="J1" t="s">
        <v>3</v>
      </c>
      <c r="K1" t="s">
        <v>161</v>
      </c>
      <c r="L1">
        <v>1369</v>
      </c>
      <c r="N1">
        <v>1013</v>
      </c>
      <c r="O1" t="s">
        <v>162</v>
      </c>
      <c r="P1" t="s">
        <v>162</v>
      </c>
      <c r="Q1">
        <v>1</v>
      </c>
      <c r="W1">
        <v>0</v>
      </c>
      <c r="X1">
        <v>177969336</v>
      </c>
      <c r="Y1">
        <v>6.48</v>
      </c>
      <c r="AA1">
        <v>0</v>
      </c>
      <c r="AB1">
        <v>0</v>
      </c>
      <c r="AC1">
        <v>0</v>
      </c>
      <c r="AD1">
        <v>12.92</v>
      </c>
      <c r="AE1">
        <v>0</v>
      </c>
      <c r="AF1">
        <v>0</v>
      </c>
      <c r="AG1">
        <v>0</v>
      </c>
      <c r="AH1">
        <v>12.92</v>
      </c>
      <c r="AI1">
        <v>1</v>
      </c>
      <c r="AJ1">
        <v>1</v>
      </c>
      <c r="AK1">
        <v>1</v>
      </c>
      <c r="AL1">
        <v>1</v>
      </c>
      <c r="AN1">
        <v>0</v>
      </c>
      <c r="AO1">
        <v>1</v>
      </c>
      <c r="AP1">
        <v>0</v>
      </c>
      <c r="AQ1">
        <v>0</v>
      </c>
      <c r="AR1">
        <v>0</v>
      </c>
      <c r="AS1" t="s">
        <v>3</v>
      </c>
      <c r="AT1">
        <v>6.48</v>
      </c>
      <c r="AU1" t="s">
        <v>3</v>
      </c>
      <c r="AV1">
        <v>1</v>
      </c>
      <c r="AW1">
        <v>2</v>
      </c>
      <c r="AX1">
        <v>52122197</v>
      </c>
      <c r="AY1">
        <v>1</v>
      </c>
      <c r="AZ1">
        <v>0</v>
      </c>
      <c r="BA1">
        <v>1</v>
      </c>
      <c r="BB1">
        <v>0</v>
      </c>
      <c r="BC1">
        <v>0</v>
      </c>
      <c r="BD1">
        <v>0</v>
      </c>
      <c r="BE1">
        <v>0</v>
      </c>
      <c r="BF1">
        <v>0</v>
      </c>
      <c r="BG1">
        <v>0</v>
      </c>
      <c r="BH1">
        <v>0</v>
      </c>
      <c r="BI1">
        <v>0</v>
      </c>
      <c r="BJ1">
        <v>0</v>
      </c>
      <c r="BK1">
        <v>0</v>
      </c>
      <c r="BL1">
        <v>0</v>
      </c>
      <c r="BM1">
        <v>0</v>
      </c>
      <c r="BN1">
        <v>0</v>
      </c>
      <c r="BO1">
        <v>0</v>
      </c>
      <c r="BP1">
        <v>0</v>
      </c>
      <c r="BQ1">
        <v>0</v>
      </c>
      <c r="BR1">
        <v>0</v>
      </c>
      <c r="BS1">
        <v>0</v>
      </c>
      <c r="BT1">
        <v>0</v>
      </c>
      <c r="BU1">
        <v>0</v>
      </c>
      <c r="BV1">
        <v>0</v>
      </c>
      <c r="BW1">
        <v>0</v>
      </c>
      <c r="CX1">
        <f>Y1*Source!I24</f>
        <v>10.368000000000002</v>
      </c>
      <c r="CY1">
        <f t="shared" ref="CY1:CY8" si="0">AD1</f>
        <v>12.92</v>
      </c>
      <c r="CZ1">
        <f t="shared" ref="CZ1:CZ8" si="1">AH1</f>
        <v>12.92</v>
      </c>
      <c r="DA1">
        <f t="shared" ref="DA1:DA8" si="2">AL1</f>
        <v>1</v>
      </c>
      <c r="DB1">
        <f t="shared" ref="DB1:DB8" si="3">ROUND(ROUND(AT1*CZ1,2),2)</f>
        <v>83.72</v>
      </c>
      <c r="DC1">
        <f t="shared" ref="DC1:DC8" si="4">ROUND(ROUND(AT1*AG1,2),2)</f>
        <v>0</v>
      </c>
    </row>
    <row r="2" spans="1:107" x14ac:dyDescent="0.2">
      <c r="A2">
        <f>ROW(Source!A24)</f>
        <v>24</v>
      </c>
      <c r="B2">
        <v>52122056</v>
      </c>
      <c r="C2">
        <v>52122196</v>
      </c>
      <c r="D2">
        <v>29477608</v>
      </c>
      <c r="E2">
        <v>1</v>
      </c>
      <c r="F2">
        <v>1</v>
      </c>
      <c r="G2">
        <v>1</v>
      </c>
      <c r="H2">
        <v>1</v>
      </c>
      <c r="I2" t="s">
        <v>163</v>
      </c>
      <c r="J2" t="s">
        <v>3</v>
      </c>
      <c r="K2" t="s">
        <v>164</v>
      </c>
      <c r="L2">
        <v>1369</v>
      </c>
      <c r="N2">
        <v>1013</v>
      </c>
      <c r="O2" t="s">
        <v>162</v>
      </c>
      <c r="P2" t="s">
        <v>162</v>
      </c>
      <c r="Q2">
        <v>1</v>
      </c>
      <c r="W2">
        <v>0</v>
      </c>
      <c r="X2">
        <v>2087786099</v>
      </c>
      <c r="Y2">
        <v>6.48</v>
      </c>
      <c r="AA2">
        <v>0</v>
      </c>
      <c r="AB2">
        <v>0</v>
      </c>
      <c r="AC2">
        <v>0</v>
      </c>
      <c r="AD2">
        <v>12.69</v>
      </c>
      <c r="AE2">
        <v>0</v>
      </c>
      <c r="AF2">
        <v>0</v>
      </c>
      <c r="AG2">
        <v>0</v>
      </c>
      <c r="AH2">
        <v>12.69</v>
      </c>
      <c r="AI2">
        <v>1</v>
      </c>
      <c r="AJ2">
        <v>1</v>
      </c>
      <c r="AK2">
        <v>1</v>
      </c>
      <c r="AL2">
        <v>1</v>
      </c>
      <c r="AN2">
        <v>0</v>
      </c>
      <c r="AO2">
        <v>1</v>
      </c>
      <c r="AP2">
        <v>0</v>
      </c>
      <c r="AQ2">
        <v>0</v>
      </c>
      <c r="AR2">
        <v>0</v>
      </c>
      <c r="AS2" t="s">
        <v>3</v>
      </c>
      <c r="AT2">
        <v>6.48</v>
      </c>
      <c r="AU2" t="s">
        <v>3</v>
      </c>
      <c r="AV2">
        <v>1</v>
      </c>
      <c r="AW2">
        <v>2</v>
      </c>
      <c r="AX2">
        <v>52122198</v>
      </c>
      <c r="AY2">
        <v>1</v>
      </c>
      <c r="AZ2">
        <v>0</v>
      </c>
      <c r="BA2">
        <v>2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CX2">
        <f>Y2*Source!I24</f>
        <v>10.368000000000002</v>
      </c>
      <c r="CY2">
        <f t="shared" si="0"/>
        <v>12.69</v>
      </c>
      <c r="CZ2">
        <f t="shared" si="1"/>
        <v>12.69</v>
      </c>
      <c r="DA2">
        <f t="shared" si="2"/>
        <v>1</v>
      </c>
      <c r="DB2">
        <f t="shared" si="3"/>
        <v>82.23</v>
      </c>
      <c r="DC2">
        <f t="shared" si="4"/>
        <v>0</v>
      </c>
    </row>
    <row r="3" spans="1:107" x14ac:dyDescent="0.2">
      <c r="A3">
        <f>ROW(Source!A25)</f>
        <v>25</v>
      </c>
      <c r="B3">
        <v>52122056</v>
      </c>
      <c r="C3">
        <v>52122199</v>
      </c>
      <c r="D3">
        <v>29478568</v>
      </c>
      <c r="E3">
        <v>1</v>
      </c>
      <c r="F3">
        <v>1</v>
      </c>
      <c r="G3">
        <v>1</v>
      </c>
      <c r="H3">
        <v>1</v>
      </c>
      <c r="I3" t="s">
        <v>160</v>
      </c>
      <c r="J3" t="s">
        <v>3</v>
      </c>
      <c r="K3" t="s">
        <v>161</v>
      </c>
      <c r="L3">
        <v>1369</v>
      </c>
      <c r="N3">
        <v>1013</v>
      </c>
      <c r="O3" t="s">
        <v>162</v>
      </c>
      <c r="P3" t="s">
        <v>162</v>
      </c>
      <c r="Q3">
        <v>1</v>
      </c>
      <c r="W3">
        <v>0</v>
      </c>
      <c r="X3">
        <v>177969336</v>
      </c>
      <c r="Y3">
        <v>0.16</v>
      </c>
      <c r="AA3">
        <v>0</v>
      </c>
      <c r="AB3">
        <v>0</v>
      </c>
      <c r="AC3">
        <v>0</v>
      </c>
      <c r="AD3">
        <v>12.92</v>
      </c>
      <c r="AE3">
        <v>0</v>
      </c>
      <c r="AF3">
        <v>0</v>
      </c>
      <c r="AG3">
        <v>0</v>
      </c>
      <c r="AH3">
        <v>12.92</v>
      </c>
      <c r="AI3">
        <v>1</v>
      </c>
      <c r="AJ3">
        <v>1</v>
      </c>
      <c r="AK3">
        <v>1</v>
      </c>
      <c r="AL3">
        <v>1</v>
      </c>
      <c r="AN3">
        <v>0</v>
      </c>
      <c r="AO3">
        <v>1</v>
      </c>
      <c r="AP3">
        <v>0</v>
      </c>
      <c r="AQ3">
        <v>0</v>
      </c>
      <c r="AR3">
        <v>0</v>
      </c>
      <c r="AS3" t="s">
        <v>3</v>
      </c>
      <c r="AT3">
        <v>0.16</v>
      </c>
      <c r="AU3" t="s">
        <v>3</v>
      </c>
      <c r="AV3">
        <v>1</v>
      </c>
      <c r="AW3">
        <v>2</v>
      </c>
      <c r="AX3">
        <v>52122200</v>
      </c>
      <c r="AY3">
        <v>1</v>
      </c>
      <c r="AZ3">
        <v>0</v>
      </c>
      <c r="BA3">
        <v>3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CX3">
        <f>Y3*Source!I25</f>
        <v>19.04</v>
      </c>
      <c r="CY3">
        <f t="shared" si="0"/>
        <v>12.92</v>
      </c>
      <c r="CZ3">
        <f t="shared" si="1"/>
        <v>12.92</v>
      </c>
      <c r="DA3">
        <f t="shared" si="2"/>
        <v>1</v>
      </c>
      <c r="DB3">
        <f t="shared" si="3"/>
        <v>2.0699999999999998</v>
      </c>
      <c r="DC3">
        <f t="shared" si="4"/>
        <v>0</v>
      </c>
    </row>
    <row r="4" spans="1:107" x14ac:dyDescent="0.2">
      <c r="A4">
        <f>ROW(Source!A25)</f>
        <v>25</v>
      </c>
      <c r="B4">
        <v>52122056</v>
      </c>
      <c r="C4">
        <v>52122199</v>
      </c>
      <c r="D4">
        <v>29477608</v>
      </c>
      <c r="E4">
        <v>1</v>
      </c>
      <c r="F4">
        <v>1</v>
      </c>
      <c r="G4">
        <v>1</v>
      </c>
      <c r="H4">
        <v>1</v>
      </c>
      <c r="I4" t="s">
        <v>163</v>
      </c>
      <c r="J4" t="s">
        <v>3</v>
      </c>
      <c r="K4" t="s">
        <v>164</v>
      </c>
      <c r="L4">
        <v>1369</v>
      </c>
      <c r="N4">
        <v>1013</v>
      </c>
      <c r="O4" t="s">
        <v>162</v>
      </c>
      <c r="P4" t="s">
        <v>162</v>
      </c>
      <c r="Q4">
        <v>1</v>
      </c>
      <c r="W4">
        <v>0</v>
      </c>
      <c r="X4">
        <v>2087786099</v>
      </c>
      <c r="Y4">
        <v>0.16</v>
      </c>
      <c r="AA4">
        <v>0</v>
      </c>
      <c r="AB4">
        <v>0</v>
      </c>
      <c r="AC4">
        <v>0</v>
      </c>
      <c r="AD4">
        <v>12.69</v>
      </c>
      <c r="AE4">
        <v>0</v>
      </c>
      <c r="AF4">
        <v>0</v>
      </c>
      <c r="AG4">
        <v>0</v>
      </c>
      <c r="AH4">
        <v>12.69</v>
      </c>
      <c r="AI4">
        <v>1</v>
      </c>
      <c r="AJ4">
        <v>1</v>
      </c>
      <c r="AK4">
        <v>1</v>
      </c>
      <c r="AL4">
        <v>1</v>
      </c>
      <c r="AN4">
        <v>0</v>
      </c>
      <c r="AO4">
        <v>1</v>
      </c>
      <c r="AP4">
        <v>0</v>
      </c>
      <c r="AQ4">
        <v>0</v>
      </c>
      <c r="AR4">
        <v>0</v>
      </c>
      <c r="AS4" t="s">
        <v>3</v>
      </c>
      <c r="AT4">
        <v>0.16</v>
      </c>
      <c r="AU4" t="s">
        <v>3</v>
      </c>
      <c r="AV4">
        <v>1</v>
      </c>
      <c r="AW4">
        <v>2</v>
      </c>
      <c r="AX4">
        <v>52122201</v>
      </c>
      <c r="AY4">
        <v>1</v>
      </c>
      <c r="AZ4">
        <v>0</v>
      </c>
      <c r="BA4">
        <v>4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CX4">
        <f>Y4*Source!I25</f>
        <v>19.04</v>
      </c>
      <c r="CY4">
        <f t="shared" si="0"/>
        <v>12.69</v>
      </c>
      <c r="CZ4">
        <f t="shared" si="1"/>
        <v>12.69</v>
      </c>
      <c r="DA4">
        <f t="shared" si="2"/>
        <v>1</v>
      </c>
      <c r="DB4">
        <f t="shared" si="3"/>
        <v>2.0299999999999998</v>
      </c>
      <c r="DC4">
        <f t="shared" si="4"/>
        <v>0</v>
      </c>
    </row>
    <row r="5" spans="1:107" x14ac:dyDescent="0.2">
      <c r="A5">
        <f>ROW(Source!A26)</f>
        <v>26</v>
      </c>
      <c r="B5">
        <v>52122056</v>
      </c>
      <c r="C5">
        <v>52122202</v>
      </c>
      <c r="D5">
        <v>29478568</v>
      </c>
      <c r="E5">
        <v>1</v>
      </c>
      <c r="F5">
        <v>1</v>
      </c>
      <c r="G5">
        <v>1</v>
      </c>
      <c r="H5">
        <v>1</v>
      </c>
      <c r="I5" t="s">
        <v>160</v>
      </c>
      <c r="J5" t="s">
        <v>3</v>
      </c>
      <c r="K5" t="s">
        <v>161</v>
      </c>
      <c r="L5">
        <v>1369</v>
      </c>
      <c r="N5">
        <v>1013</v>
      </c>
      <c r="O5" t="s">
        <v>162</v>
      </c>
      <c r="P5" t="s">
        <v>162</v>
      </c>
      <c r="Q5">
        <v>1</v>
      </c>
      <c r="W5">
        <v>0</v>
      </c>
      <c r="X5">
        <v>177969336</v>
      </c>
      <c r="Y5">
        <v>0.61</v>
      </c>
      <c r="AA5">
        <v>0</v>
      </c>
      <c r="AB5">
        <v>0</v>
      </c>
      <c r="AC5">
        <v>0</v>
      </c>
      <c r="AD5">
        <v>12.92</v>
      </c>
      <c r="AE5">
        <v>0</v>
      </c>
      <c r="AF5">
        <v>0</v>
      </c>
      <c r="AG5">
        <v>0</v>
      </c>
      <c r="AH5">
        <v>12.92</v>
      </c>
      <c r="AI5">
        <v>1</v>
      </c>
      <c r="AJ5">
        <v>1</v>
      </c>
      <c r="AK5">
        <v>1</v>
      </c>
      <c r="AL5">
        <v>1</v>
      </c>
      <c r="AN5">
        <v>0</v>
      </c>
      <c r="AO5">
        <v>1</v>
      </c>
      <c r="AP5">
        <v>0</v>
      </c>
      <c r="AQ5">
        <v>0</v>
      </c>
      <c r="AR5">
        <v>0</v>
      </c>
      <c r="AS5" t="s">
        <v>3</v>
      </c>
      <c r="AT5">
        <v>0.61</v>
      </c>
      <c r="AU5" t="s">
        <v>3</v>
      </c>
      <c r="AV5">
        <v>1</v>
      </c>
      <c r="AW5">
        <v>2</v>
      </c>
      <c r="AX5">
        <v>52122203</v>
      </c>
      <c r="AY5">
        <v>1</v>
      </c>
      <c r="AZ5">
        <v>0</v>
      </c>
      <c r="BA5">
        <v>5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CX5">
        <f>Y5*Source!I26</f>
        <v>72.59</v>
      </c>
      <c r="CY5">
        <f t="shared" si="0"/>
        <v>12.92</v>
      </c>
      <c r="CZ5">
        <f t="shared" si="1"/>
        <v>12.92</v>
      </c>
      <c r="DA5">
        <f t="shared" si="2"/>
        <v>1</v>
      </c>
      <c r="DB5">
        <f t="shared" si="3"/>
        <v>7.88</v>
      </c>
      <c r="DC5">
        <f t="shared" si="4"/>
        <v>0</v>
      </c>
    </row>
    <row r="6" spans="1:107" x14ac:dyDescent="0.2">
      <c r="A6">
        <f>ROW(Source!A26)</f>
        <v>26</v>
      </c>
      <c r="B6">
        <v>52122056</v>
      </c>
      <c r="C6">
        <v>52122202</v>
      </c>
      <c r="D6">
        <v>29477608</v>
      </c>
      <c r="E6">
        <v>1</v>
      </c>
      <c r="F6">
        <v>1</v>
      </c>
      <c r="G6">
        <v>1</v>
      </c>
      <c r="H6">
        <v>1</v>
      </c>
      <c r="I6" t="s">
        <v>163</v>
      </c>
      <c r="J6" t="s">
        <v>3</v>
      </c>
      <c r="K6" t="s">
        <v>164</v>
      </c>
      <c r="L6">
        <v>1369</v>
      </c>
      <c r="N6">
        <v>1013</v>
      </c>
      <c r="O6" t="s">
        <v>162</v>
      </c>
      <c r="P6" t="s">
        <v>162</v>
      </c>
      <c r="Q6">
        <v>1</v>
      </c>
      <c r="W6">
        <v>0</v>
      </c>
      <c r="X6">
        <v>2087786099</v>
      </c>
      <c r="Y6">
        <v>0.61</v>
      </c>
      <c r="AA6">
        <v>0</v>
      </c>
      <c r="AB6">
        <v>0</v>
      </c>
      <c r="AC6">
        <v>0</v>
      </c>
      <c r="AD6">
        <v>12.69</v>
      </c>
      <c r="AE6">
        <v>0</v>
      </c>
      <c r="AF6">
        <v>0</v>
      </c>
      <c r="AG6">
        <v>0</v>
      </c>
      <c r="AH6">
        <v>12.69</v>
      </c>
      <c r="AI6">
        <v>1</v>
      </c>
      <c r="AJ6">
        <v>1</v>
      </c>
      <c r="AK6">
        <v>1</v>
      </c>
      <c r="AL6">
        <v>1</v>
      </c>
      <c r="AN6">
        <v>0</v>
      </c>
      <c r="AO6">
        <v>1</v>
      </c>
      <c r="AP6">
        <v>0</v>
      </c>
      <c r="AQ6">
        <v>0</v>
      </c>
      <c r="AR6">
        <v>0</v>
      </c>
      <c r="AS6" t="s">
        <v>3</v>
      </c>
      <c r="AT6">
        <v>0.61</v>
      </c>
      <c r="AU6" t="s">
        <v>3</v>
      </c>
      <c r="AV6">
        <v>1</v>
      </c>
      <c r="AW6">
        <v>2</v>
      </c>
      <c r="AX6">
        <v>52122204</v>
      </c>
      <c r="AY6">
        <v>1</v>
      </c>
      <c r="AZ6">
        <v>0</v>
      </c>
      <c r="BA6">
        <v>6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CX6">
        <f>Y6*Source!I26</f>
        <v>72.59</v>
      </c>
      <c r="CY6">
        <f t="shared" si="0"/>
        <v>12.69</v>
      </c>
      <c r="CZ6">
        <f t="shared" si="1"/>
        <v>12.69</v>
      </c>
      <c r="DA6">
        <f t="shared" si="2"/>
        <v>1</v>
      </c>
      <c r="DB6">
        <f t="shared" si="3"/>
        <v>7.74</v>
      </c>
      <c r="DC6">
        <f t="shared" si="4"/>
        <v>0</v>
      </c>
    </row>
    <row r="7" spans="1:107" x14ac:dyDescent="0.2">
      <c r="A7">
        <f>ROW(Source!A27)</f>
        <v>27</v>
      </c>
      <c r="B7">
        <v>52122056</v>
      </c>
      <c r="C7">
        <v>52122205</v>
      </c>
      <c r="D7">
        <v>29478568</v>
      </c>
      <c r="E7">
        <v>1</v>
      </c>
      <c r="F7">
        <v>1</v>
      </c>
      <c r="G7">
        <v>1</v>
      </c>
      <c r="H7">
        <v>1</v>
      </c>
      <c r="I7" t="s">
        <v>160</v>
      </c>
      <c r="J7" t="s">
        <v>3</v>
      </c>
      <c r="K7" t="s">
        <v>161</v>
      </c>
      <c r="L7">
        <v>1369</v>
      </c>
      <c r="N7">
        <v>1013</v>
      </c>
      <c r="O7" t="s">
        <v>162</v>
      </c>
      <c r="P7" t="s">
        <v>162</v>
      </c>
      <c r="Q7">
        <v>1</v>
      </c>
      <c r="W7">
        <v>0</v>
      </c>
      <c r="X7">
        <v>177969336</v>
      </c>
      <c r="Y7">
        <v>0.61</v>
      </c>
      <c r="AA7">
        <v>0</v>
      </c>
      <c r="AB7">
        <v>0</v>
      </c>
      <c r="AC7">
        <v>0</v>
      </c>
      <c r="AD7">
        <v>12.92</v>
      </c>
      <c r="AE7">
        <v>0</v>
      </c>
      <c r="AF7">
        <v>0</v>
      </c>
      <c r="AG7">
        <v>0</v>
      </c>
      <c r="AH7">
        <v>12.92</v>
      </c>
      <c r="AI7">
        <v>1</v>
      </c>
      <c r="AJ7">
        <v>1</v>
      </c>
      <c r="AK7">
        <v>1</v>
      </c>
      <c r="AL7">
        <v>1</v>
      </c>
      <c r="AN7">
        <v>0</v>
      </c>
      <c r="AO7">
        <v>1</v>
      </c>
      <c r="AP7">
        <v>0</v>
      </c>
      <c r="AQ7">
        <v>0</v>
      </c>
      <c r="AR7">
        <v>0</v>
      </c>
      <c r="AS7" t="s">
        <v>3</v>
      </c>
      <c r="AT7">
        <v>0.61</v>
      </c>
      <c r="AU7" t="s">
        <v>3</v>
      </c>
      <c r="AV7">
        <v>1</v>
      </c>
      <c r="AW7">
        <v>2</v>
      </c>
      <c r="AX7">
        <v>52122206</v>
      </c>
      <c r="AY7">
        <v>1</v>
      </c>
      <c r="AZ7">
        <v>0</v>
      </c>
      <c r="BA7">
        <v>7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CX7">
        <f>Y7*Source!I27</f>
        <v>7.93</v>
      </c>
      <c r="CY7">
        <f t="shared" si="0"/>
        <v>12.92</v>
      </c>
      <c r="CZ7">
        <f t="shared" si="1"/>
        <v>12.92</v>
      </c>
      <c r="DA7">
        <f t="shared" si="2"/>
        <v>1</v>
      </c>
      <c r="DB7">
        <f t="shared" si="3"/>
        <v>7.88</v>
      </c>
      <c r="DC7">
        <f t="shared" si="4"/>
        <v>0</v>
      </c>
    </row>
    <row r="8" spans="1:107" x14ac:dyDescent="0.2">
      <c r="A8">
        <f>ROW(Source!A27)</f>
        <v>27</v>
      </c>
      <c r="B8">
        <v>52122056</v>
      </c>
      <c r="C8">
        <v>52122205</v>
      </c>
      <c r="D8">
        <v>29477608</v>
      </c>
      <c r="E8">
        <v>1</v>
      </c>
      <c r="F8">
        <v>1</v>
      </c>
      <c r="G8">
        <v>1</v>
      </c>
      <c r="H8">
        <v>1</v>
      </c>
      <c r="I8" t="s">
        <v>163</v>
      </c>
      <c r="J8" t="s">
        <v>3</v>
      </c>
      <c r="K8" t="s">
        <v>164</v>
      </c>
      <c r="L8">
        <v>1369</v>
      </c>
      <c r="N8">
        <v>1013</v>
      </c>
      <c r="O8" t="s">
        <v>162</v>
      </c>
      <c r="P8" t="s">
        <v>162</v>
      </c>
      <c r="Q8">
        <v>1</v>
      </c>
      <c r="W8">
        <v>0</v>
      </c>
      <c r="X8">
        <v>2087786099</v>
      </c>
      <c r="Y8">
        <v>0.61</v>
      </c>
      <c r="AA8">
        <v>0</v>
      </c>
      <c r="AB8">
        <v>0</v>
      </c>
      <c r="AC8">
        <v>0</v>
      </c>
      <c r="AD8">
        <v>12.69</v>
      </c>
      <c r="AE8">
        <v>0</v>
      </c>
      <c r="AF8">
        <v>0</v>
      </c>
      <c r="AG8">
        <v>0</v>
      </c>
      <c r="AH8">
        <v>12.69</v>
      </c>
      <c r="AI8">
        <v>1</v>
      </c>
      <c r="AJ8">
        <v>1</v>
      </c>
      <c r="AK8">
        <v>1</v>
      </c>
      <c r="AL8">
        <v>1</v>
      </c>
      <c r="AN8">
        <v>0</v>
      </c>
      <c r="AO8">
        <v>1</v>
      </c>
      <c r="AP8">
        <v>0</v>
      </c>
      <c r="AQ8">
        <v>0</v>
      </c>
      <c r="AR8">
        <v>0</v>
      </c>
      <c r="AS8" t="s">
        <v>3</v>
      </c>
      <c r="AT8">
        <v>0.61</v>
      </c>
      <c r="AU8" t="s">
        <v>3</v>
      </c>
      <c r="AV8">
        <v>1</v>
      </c>
      <c r="AW8">
        <v>2</v>
      </c>
      <c r="AX8">
        <v>52122207</v>
      </c>
      <c r="AY8">
        <v>1</v>
      </c>
      <c r="AZ8">
        <v>0</v>
      </c>
      <c r="BA8">
        <v>8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CX8">
        <f>Y8*Source!I27</f>
        <v>7.93</v>
      </c>
      <c r="CY8">
        <f t="shared" si="0"/>
        <v>12.69</v>
      </c>
      <c r="CZ8">
        <f t="shared" si="1"/>
        <v>12.69</v>
      </c>
      <c r="DA8">
        <f t="shared" si="2"/>
        <v>1</v>
      </c>
      <c r="DB8">
        <f t="shared" si="3"/>
        <v>7.74</v>
      </c>
      <c r="DC8">
        <f t="shared" si="4"/>
        <v>0</v>
      </c>
    </row>
  </sheetData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8"/>
  <sheetViews>
    <sheetView workbookViewId="0"/>
  </sheetViews>
  <sheetFormatPr defaultColWidth="9.140625" defaultRowHeight="12.75" x14ac:dyDescent="0.2"/>
  <cols>
    <col min="1" max="256" width="9.140625" customWidth="1"/>
  </cols>
  <sheetData>
    <row r="1" spans="1:44" x14ac:dyDescent="0.2">
      <c r="A1">
        <f>ROW(Source!A24)</f>
        <v>24</v>
      </c>
      <c r="B1">
        <v>52122197</v>
      </c>
      <c r="C1">
        <v>52122196</v>
      </c>
      <c r="D1">
        <v>29478568</v>
      </c>
      <c r="E1">
        <v>1</v>
      </c>
      <c r="F1">
        <v>1</v>
      </c>
      <c r="G1">
        <v>1</v>
      </c>
      <c r="H1">
        <v>1</v>
      </c>
      <c r="I1" t="s">
        <v>160</v>
      </c>
      <c r="J1" t="s">
        <v>3</v>
      </c>
      <c r="K1" t="s">
        <v>161</v>
      </c>
      <c r="L1">
        <v>1369</v>
      </c>
      <c r="N1">
        <v>1013</v>
      </c>
      <c r="O1" t="s">
        <v>162</v>
      </c>
      <c r="P1" t="s">
        <v>162</v>
      </c>
      <c r="Q1">
        <v>1</v>
      </c>
      <c r="X1">
        <v>6.48</v>
      </c>
      <c r="Y1">
        <v>0</v>
      </c>
      <c r="Z1">
        <v>0</v>
      </c>
      <c r="AA1">
        <v>0</v>
      </c>
      <c r="AB1">
        <v>12.92</v>
      </c>
      <c r="AC1">
        <v>0</v>
      </c>
      <c r="AD1">
        <v>1</v>
      </c>
      <c r="AE1">
        <v>1</v>
      </c>
      <c r="AF1" t="s">
        <v>3</v>
      </c>
      <c r="AG1">
        <v>6.48</v>
      </c>
      <c r="AH1">
        <v>2</v>
      </c>
      <c r="AI1">
        <v>52122197</v>
      </c>
      <c r="AJ1">
        <v>1</v>
      </c>
      <c r="AK1">
        <v>0</v>
      </c>
      <c r="AL1">
        <v>0</v>
      </c>
      <c r="AM1">
        <v>0</v>
      </c>
      <c r="AN1">
        <v>0</v>
      </c>
      <c r="AO1">
        <v>0</v>
      </c>
      <c r="AP1">
        <v>0</v>
      </c>
      <c r="AQ1">
        <v>0</v>
      </c>
      <c r="AR1">
        <v>0</v>
      </c>
    </row>
    <row r="2" spans="1:44" x14ac:dyDescent="0.2">
      <c r="A2">
        <f>ROW(Source!A24)</f>
        <v>24</v>
      </c>
      <c r="B2">
        <v>52122198</v>
      </c>
      <c r="C2">
        <v>52122196</v>
      </c>
      <c r="D2">
        <v>29477608</v>
      </c>
      <c r="E2">
        <v>1</v>
      </c>
      <c r="F2">
        <v>1</v>
      </c>
      <c r="G2">
        <v>1</v>
      </c>
      <c r="H2">
        <v>1</v>
      </c>
      <c r="I2" t="s">
        <v>163</v>
      </c>
      <c r="J2" t="s">
        <v>3</v>
      </c>
      <c r="K2" t="s">
        <v>164</v>
      </c>
      <c r="L2">
        <v>1369</v>
      </c>
      <c r="N2">
        <v>1013</v>
      </c>
      <c r="O2" t="s">
        <v>162</v>
      </c>
      <c r="P2" t="s">
        <v>162</v>
      </c>
      <c r="Q2">
        <v>1</v>
      </c>
      <c r="X2">
        <v>6.48</v>
      </c>
      <c r="Y2">
        <v>0</v>
      </c>
      <c r="Z2">
        <v>0</v>
      </c>
      <c r="AA2">
        <v>0</v>
      </c>
      <c r="AB2">
        <v>12.69</v>
      </c>
      <c r="AC2">
        <v>0</v>
      </c>
      <c r="AD2">
        <v>1</v>
      </c>
      <c r="AE2">
        <v>1</v>
      </c>
      <c r="AF2" t="s">
        <v>3</v>
      </c>
      <c r="AG2">
        <v>6.48</v>
      </c>
      <c r="AH2">
        <v>2</v>
      </c>
      <c r="AI2">
        <v>52122198</v>
      </c>
      <c r="AJ2">
        <v>2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</row>
    <row r="3" spans="1:44" x14ac:dyDescent="0.2">
      <c r="A3">
        <f>ROW(Source!A25)</f>
        <v>25</v>
      </c>
      <c r="B3">
        <v>52122200</v>
      </c>
      <c r="C3">
        <v>52122199</v>
      </c>
      <c r="D3">
        <v>29478568</v>
      </c>
      <c r="E3">
        <v>1</v>
      </c>
      <c r="F3">
        <v>1</v>
      </c>
      <c r="G3">
        <v>1</v>
      </c>
      <c r="H3">
        <v>1</v>
      </c>
      <c r="I3" t="s">
        <v>160</v>
      </c>
      <c r="J3" t="s">
        <v>3</v>
      </c>
      <c r="K3" t="s">
        <v>161</v>
      </c>
      <c r="L3">
        <v>1369</v>
      </c>
      <c r="N3">
        <v>1013</v>
      </c>
      <c r="O3" t="s">
        <v>162</v>
      </c>
      <c r="P3" t="s">
        <v>162</v>
      </c>
      <c r="Q3">
        <v>1</v>
      </c>
      <c r="X3">
        <v>0.16</v>
      </c>
      <c r="Y3">
        <v>0</v>
      </c>
      <c r="Z3">
        <v>0</v>
      </c>
      <c r="AA3">
        <v>0</v>
      </c>
      <c r="AB3">
        <v>12.92</v>
      </c>
      <c r="AC3">
        <v>0</v>
      </c>
      <c r="AD3">
        <v>1</v>
      </c>
      <c r="AE3">
        <v>1</v>
      </c>
      <c r="AF3" t="s">
        <v>3</v>
      </c>
      <c r="AG3">
        <v>0.16</v>
      </c>
      <c r="AH3">
        <v>2</v>
      </c>
      <c r="AI3">
        <v>52122200</v>
      </c>
      <c r="AJ3">
        <v>3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</row>
    <row r="4" spans="1:44" x14ac:dyDescent="0.2">
      <c r="A4">
        <f>ROW(Source!A25)</f>
        <v>25</v>
      </c>
      <c r="B4">
        <v>52122201</v>
      </c>
      <c r="C4">
        <v>52122199</v>
      </c>
      <c r="D4">
        <v>29477608</v>
      </c>
      <c r="E4">
        <v>1</v>
      </c>
      <c r="F4">
        <v>1</v>
      </c>
      <c r="G4">
        <v>1</v>
      </c>
      <c r="H4">
        <v>1</v>
      </c>
      <c r="I4" t="s">
        <v>163</v>
      </c>
      <c r="J4" t="s">
        <v>3</v>
      </c>
      <c r="K4" t="s">
        <v>164</v>
      </c>
      <c r="L4">
        <v>1369</v>
      </c>
      <c r="N4">
        <v>1013</v>
      </c>
      <c r="O4" t="s">
        <v>162</v>
      </c>
      <c r="P4" t="s">
        <v>162</v>
      </c>
      <c r="Q4">
        <v>1</v>
      </c>
      <c r="X4">
        <v>0.16</v>
      </c>
      <c r="Y4">
        <v>0</v>
      </c>
      <c r="Z4">
        <v>0</v>
      </c>
      <c r="AA4">
        <v>0</v>
      </c>
      <c r="AB4">
        <v>12.69</v>
      </c>
      <c r="AC4">
        <v>0</v>
      </c>
      <c r="AD4">
        <v>1</v>
      </c>
      <c r="AE4">
        <v>1</v>
      </c>
      <c r="AF4" t="s">
        <v>3</v>
      </c>
      <c r="AG4">
        <v>0.16</v>
      </c>
      <c r="AH4">
        <v>2</v>
      </c>
      <c r="AI4">
        <v>52122201</v>
      </c>
      <c r="AJ4">
        <v>4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</row>
    <row r="5" spans="1:44" x14ac:dyDescent="0.2">
      <c r="A5">
        <f>ROW(Source!A26)</f>
        <v>26</v>
      </c>
      <c r="B5">
        <v>52122203</v>
      </c>
      <c r="C5">
        <v>52122202</v>
      </c>
      <c r="D5">
        <v>29478568</v>
      </c>
      <c r="E5">
        <v>1</v>
      </c>
      <c r="F5">
        <v>1</v>
      </c>
      <c r="G5">
        <v>1</v>
      </c>
      <c r="H5">
        <v>1</v>
      </c>
      <c r="I5" t="s">
        <v>160</v>
      </c>
      <c r="J5" t="s">
        <v>3</v>
      </c>
      <c r="K5" t="s">
        <v>161</v>
      </c>
      <c r="L5">
        <v>1369</v>
      </c>
      <c r="N5">
        <v>1013</v>
      </c>
      <c r="O5" t="s">
        <v>162</v>
      </c>
      <c r="P5" t="s">
        <v>162</v>
      </c>
      <c r="Q5">
        <v>1</v>
      </c>
      <c r="X5">
        <v>0.61</v>
      </c>
      <c r="Y5">
        <v>0</v>
      </c>
      <c r="Z5">
        <v>0</v>
      </c>
      <c r="AA5">
        <v>0</v>
      </c>
      <c r="AB5">
        <v>12.92</v>
      </c>
      <c r="AC5">
        <v>0</v>
      </c>
      <c r="AD5">
        <v>1</v>
      </c>
      <c r="AE5">
        <v>1</v>
      </c>
      <c r="AF5" t="s">
        <v>3</v>
      </c>
      <c r="AG5">
        <v>0.61</v>
      </c>
      <c r="AH5">
        <v>2</v>
      </c>
      <c r="AI5">
        <v>52122203</v>
      </c>
      <c r="AJ5">
        <v>5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</row>
    <row r="6" spans="1:44" x14ac:dyDescent="0.2">
      <c r="A6">
        <f>ROW(Source!A26)</f>
        <v>26</v>
      </c>
      <c r="B6">
        <v>52122204</v>
      </c>
      <c r="C6">
        <v>52122202</v>
      </c>
      <c r="D6">
        <v>29477608</v>
      </c>
      <c r="E6">
        <v>1</v>
      </c>
      <c r="F6">
        <v>1</v>
      </c>
      <c r="G6">
        <v>1</v>
      </c>
      <c r="H6">
        <v>1</v>
      </c>
      <c r="I6" t="s">
        <v>163</v>
      </c>
      <c r="J6" t="s">
        <v>3</v>
      </c>
      <c r="K6" t="s">
        <v>164</v>
      </c>
      <c r="L6">
        <v>1369</v>
      </c>
      <c r="N6">
        <v>1013</v>
      </c>
      <c r="O6" t="s">
        <v>162</v>
      </c>
      <c r="P6" t="s">
        <v>162</v>
      </c>
      <c r="Q6">
        <v>1</v>
      </c>
      <c r="X6">
        <v>0.61</v>
      </c>
      <c r="Y6">
        <v>0</v>
      </c>
      <c r="Z6">
        <v>0</v>
      </c>
      <c r="AA6">
        <v>0</v>
      </c>
      <c r="AB6">
        <v>12.69</v>
      </c>
      <c r="AC6">
        <v>0</v>
      </c>
      <c r="AD6">
        <v>1</v>
      </c>
      <c r="AE6">
        <v>1</v>
      </c>
      <c r="AF6" t="s">
        <v>3</v>
      </c>
      <c r="AG6">
        <v>0.61</v>
      </c>
      <c r="AH6">
        <v>2</v>
      </c>
      <c r="AI6">
        <v>52122204</v>
      </c>
      <c r="AJ6">
        <v>6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</row>
    <row r="7" spans="1:44" x14ac:dyDescent="0.2">
      <c r="A7">
        <f>ROW(Source!A27)</f>
        <v>27</v>
      </c>
      <c r="B7">
        <v>52122206</v>
      </c>
      <c r="C7">
        <v>52122205</v>
      </c>
      <c r="D7">
        <v>29478568</v>
      </c>
      <c r="E7">
        <v>1</v>
      </c>
      <c r="F7">
        <v>1</v>
      </c>
      <c r="G7">
        <v>1</v>
      </c>
      <c r="H7">
        <v>1</v>
      </c>
      <c r="I7" t="s">
        <v>160</v>
      </c>
      <c r="J7" t="s">
        <v>3</v>
      </c>
      <c r="K7" t="s">
        <v>161</v>
      </c>
      <c r="L7">
        <v>1369</v>
      </c>
      <c r="N7">
        <v>1013</v>
      </c>
      <c r="O7" t="s">
        <v>162</v>
      </c>
      <c r="P7" t="s">
        <v>162</v>
      </c>
      <c r="Q7">
        <v>1</v>
      </c>
      <c r="X7">
        <v>0.61</v>
      </c>
      <c r="Y7">
        <v>0</v>
      </c>
      <c r="Z7">
        <v>0</v>
      </c>
      <c r="AA7">
        <v>0</v>
      </c>
      <c r="AB7">
        <v>12.92</v>
      </c>
      <c r="AC7">
        <v>0</v>
      </c>
      <c r="AD7">
        <v>1</v>
      </c>
      <c r="AE7">
        <v>1</v>
      </c>
      <c r="AF7" t="s">
        <v>3</v>
      </c>
      <c r="AG7">
        <v>0.61</v>
      </c>
      <c r="AH7">
        <v>2</v>
      </c>
      <c r="AI7">
        <v>52122206</v>
      </c>
      <c r="AJ7">
        <v>7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</row>
    <row r="8" spans="1:44" x14ac:dyDescent="0.2">
      <c r="A8">
        <f>ROW(Source!A27)</f>
        <v>27</v>
      </c>
      <c r="B8">
        <v>52122207</v>
      </c>
      <c r="C8">
        <v>52122205</v>
      </c>
      <c r="D8">
        <v>29477608</v>
      </c>
      <c r="E8">
        <v>1</v>
      </c>
      <c r="F8">
        <v>1</v>
      </c>
      <c r="G8">
        <v>1</v>
      </c>
      <c r="H8">
        <v>1</v>
      </c>
      <c r="I8" t="s">
        <v>163</v>
      </c>
      <c r="J8" t="s">
        <v>3</v>
      </c>
      <c r="K8" t="s">
        <v>164</v>
      </c>
      <c r="L8">
        <v>1369</v>
      </c>
      <c r="N8">
        <v>1013</v>
      </c>
      <c r="O8" t="s">
        <v>162</v>
      </c>
      <c r="P8" t="s">
        <v>162</v>
      </c>
      <c r="Q8">
        <v>1</v>
      </c>
      <c r="X8">
        <v>0.61</v>
      </c>
      <c r="Y8">
        <v>0</v>
      </c>
      <c r="Z8">
        <v>0</v>
      </c>
      <c r="AA8">
        <v>0</v>
      </c>
      <c r="AB8">
        <v>12.69</v>
      </c>
      <c r="AC8">
        <v>0</v>
      </c>
      <c r="AD8">
        <v>1</v>
      </c>
      <c r="AE8">
        <v>1</v>
      </c>
      <c r="AF8" t="s">
        <v>3</v>
      </c>
      <c r="AG8">
        <v>0.61</v>
      </c>
      <c r="AH8">
        <v>2</v>
      </c>
      <c r="AI8">
        <v>52122207</v>
      </c>
      <c r="AJ8">
        <v>8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</row>
  </sheetData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2</vt:i4>
      </vt:variant>
    </vt:vector>
  </HeadingPairs>
  <TitlesOfParts>
    <vt:vector size="7" baseType="lpstr">
      <vt:lpstr>Смета 12 гр. ТЕР МО</vt:lpstr>
      <vt:lpstr>Source</vt:lpstr>
      <vt:lpstr>SourceObSm</vt:lpstr>
      <vt:lpstr>SmtRes</vt:lpstr>
      <vt:lpstr>EtalonRes</vt:lpstr>
      <vt:lpstr>'Смета 12 гр. ТЕР МО'!Заголовки_для_печати</vt:lpstr>
      <vt:lpstr>'Смета 12 гр. ТЕР МО'!Область_печати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lastPrinted>2021-04-15T06:23:35Z</cp:lastPrinted>
  <dcterms:created xsi:type="dcterms:W3CDTF">2021-04-15T06:18:56Z</dcterms:created>
  <dcterms:modified xsi:type="dcterms:W3CDTF">2021-06-15T11:59:10Z</dcterms:modified>
</cp:coreProperties>
</file>