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92" windowHeight="1140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МО'!$A$1:$L$141</definedName>
  </definedNames>
  <calcPr calcId="125725"/>
</workbook>
</file>

<file path=xl/calcChain.xml><?xml version="1.0" encoding="utf-8"?>
<calcChain xmlns="http://schemas.openxmlformats.org/spreadsheetml/2006/main">
  <c r="I139" i="5"/>
  <c r="I136"/>
  <c r="I133"/>
  <c r="D139"/>
  <c r="D136"/>
  <c r="D133"/>
  <c r="J130"/>
  <c r="C130"/>
  <c r="J129"/>
  <c r="C129"/>
  <c r="I32"/>
  <c r="I31"/>
  <c r="G31" s="1"/>
  <c r="I30"/>
  <c r="I29"/>
  <c r="I28"/>
  <c r="I27"/>
  <c r="I26"/>
  <c r="A127"/>
  <c r="A123"/>
  <c r="L121"/>
  <c r="Q121" s="1"/>
  <c r="Z121"/>
  <c r="Y121"/>
  <c r="X121"/>
  <c r="K120"/>
  <c r="J121" s="1"/>
  <c r="P121" s="1"/>
  <c r="J120"/>
  <c r="H120"/>
  <c r="G121" s="1"/>
  <c r="O121" s="1"/>
  <c r="G120"/>
  <c r="F120"/>
  <c r="V120"/>
  <c r="T120"/>
  <c r="U120"/>
  <c r="S120"/>
  <c r="E120"/>
  <c r="D120"/>
  <c r="I120"/>
  <c r="C120"/>
  <c r="B120"/>
  <c r="A120"/>
  <c r="L119"/>
  <c r="Q119" s="1"/>
  <c r="Z119"/>
  <c r="Y119"/>
  <c r="W119"/>
  <c r="C118"/>
  <c r="K117"/>
  <c r="J119" s="1"/>
  <c r="P119" s="1"/>
  <c r="J117"/>
  <c r="H117"/>
  <c r="G119" s="1"/>
  <c r="O119" s="1"/>
  <c r="G117"/>
  <c r="F117"/>
  <c r="V117"/>
  <c r="T117"/>
  <c r="U117"/>
  <c r="S117"/>
  <c r="E117"/>
  <c r="D117"/>
  <c r="I117"/>
  <c r="C117"/>
  <c r="B117"/>
  <c r="A117"/>
  <c r="Q116"/>
  <c r="L116"/>
  <c r="J116"/>
  <c r="P116" s="1"/>
  <c r="Z116"/>
  <c r="Y116"/>
  <c r="X116"/>
  <c r="K115"/>
  <c r="J115"/>
  <c r="H115"/>
  <c r="G116" s="1"/>
  <c r="O116" s="1"/>
  <c r="G115"/>
  <c r="F115"/>
  <c r="V115"/>
  <c r="T115"/>
  <c r="U115"/>
  <c r="S115"/>
  <c r="E115"/>
  <c r="D115"/>
  <c r="I115"/>
  <c r="C115"/>
  <c r="B115"/>
  <c r="A115"/>
  <c r="L114"/>
  <c r="Q114" s="1"/>
  <c r="Z114"/>
  <c r="Y114"/>
  <c r="W114"/>
  <c r="K112"/>
  <c r="L113"/>
  <c r="G113"/>
  <c r="E113"/>
  <c r="J112"/>
  <c r="E112"/>
  <c r="J111"/>
  <c r="E111"/>
  <c r="K110"/>
  <c r="J110"/>
  <c r="H110"/>
  <c r="G110"/>
  <c r="F110"/>
  <c r="K109"/>
  <c r="J109"/>
  <c r="H109"/>
  <c r="R109" s="1"/>
  <c r="G109"/>
  <c r="F109"/>
  <c r="K108"/>
  <c r="J108"/>
  <c r="H108"/>
  <c r="G108"/>
  <c r="F108"/>
  <c r="K107"/>
  <c r="J107"/>
  <c r="R107"/>
  <c r="H107"/>
  <c r="G107"/>
  <c r="F107"/>
  <c r="C106"/>
  <c r="V105"/>
  <c r="T105"/>
  <c r="K111" s="1"/>
  <c r="U105"/>
  <c r="H112" s="1"/>
  <c r="S105"/>
  <c r="H111" s="1"/>
  <c r="F105"/>
  <c r="E105"/>
  <c r="D105"/>
  <c r="I105"/>
  <c r="C105"/>
  <c r="B105"/>
  <c r="A105"/>
  <c r="Q104"/>
  <c r="L104"/>
  <c r="Z104"/>
  <c r="Y104"/>
  <c r="W104"/>
  <c r="K103"/>
  <c r="J103"/>
  <c r="Z103"/>
  <c r="Y103"/>
  <c r="W103"/>
  <c r="H103"/>
  <c r="X103" s="1"/>
  <c r="F103"/>
  <c r="V103"/>
  <c r="T103"/>
  <c r="U103"/>
  <c r="S103"/>
  <c r="E103"/>
  <c r="D103"/>
  <c r="C103"/>
  <c r="B103"/>
  <c r="A103"/>
  <c r="L102"/>
  <c r="G102"/>
  <c r="E102"/>
  <c r="J101"/>
  <c r="E101"/>
  <c r="J100"/>
  <c r="E100"/>
  <c r="K99"/>
  <c r="J99"/>
  <c r="H99"/>
  <c r="G99"/>
  <c r="F99"/>
  <c r="K98"/>
  <c r="J98"/>
  <c r="H98"/>
  <c r="G98"/>
  <c r="F98"/>
  <c r="K97"/>
  <c r="J97"/>
  <c r="H97"/>
  <c r="X104" s="1"/>
  <c r="G97"/>
  <c r="F97"/>
  <c r="V96"/>
  <c r="K101" s="1"/>
  <c r="T96"/>
  <c r="K100" s="1"/>
  <c r="U96"/>
  <c r="H101" s="1"/>
  <c r="S96"/>
  <c r="H100" s="1"/>
  <c r="F96"/>
  <c r="E96"/>
  <c r="D96"/>
  <c r="I96"/>
  <c r="C96"/>
  <c r="B96"/>
  <c r="A96"/>
  <c r="L95"/>
  <c r="Q95" s="1"/>
  <c r="Z95"/>
  <c r="Y95"/>
  <c r="W95"/>
  <c r="K94"/>
  <c r="J95" s="1"/>
  <c r="P95" s="1"/>
  <c r="J94"/>
  <c r="H94"/>
  <c r="G95" s="1"/>
  <c r="O95" s="1"/>
  <c r="G94"/>
  <c r="F94"/>
  <c r="V94"/>
  <c r="T94"/>
  <c r="U94"/>
  <c r="S94"/>
  <c r="E94"/>
  <c r="D94"/>
  <c r="I94"/>
  <c r="C94"/>
  <c r="B94"/>
  <c r="A94"/>
  <c r="L93"/>
  <c r="Q93" s="1"/>
  <c r="Z93"/>
  <c r="Y93"/>
  <c r="W93"/>
  <c r="K91"/>
  <c r="H90"/>
  <c r="L92"/>
  <c r="G92"/>
  <c r="E92"/>
  <c r="J91"/>
  <c r="E91"/>
  <c r="J90"/>
  <c r="E90"/>
  <c r="K89"/>
  <c r="J89"/>
  <c r="H89"/>
  <c r="G89"/>
  <c r="F89"/>
  <c r="K88"/>
  <c r="J88"/>
  <c r="H88"/>
  <c r="R88" s="1"/>
  <c r="G88"/>
  <c r="F88"/>
  <c r="K87"/>
  <c r="J87"/>
  <c r="H87"/>
  <c r="G87"/>
  <c r="F87"/>
  <c r="K86"/>
  <c r="J86"/>
  <c r="R86"/>
  <c r="H86"/>
  <c r="X93" s="1"/>
  <c r="G86"/>
  <c r="F86"/>
  <c r="C85"/>
  <c r="V84"/>
  <c r="T84"/>
  <c r="K90" s="1"/>
  <c r="U84"/>
  <c r="H91" s="1"/>
  <c r="S84"/>
  <c r="F84"/>
  <c r="E84"/>
  <c r="D84"/>
  <c r="I84"/>
  <c r="C84"/>
  <c r="B84"/>
  <c r="A84"/>
  <c r="L83"/>
  <c r="Q83" s="1"/>
  <c r="Z83"/>
  <c r="Y83"/>
  <c r="W83"/>
  <c r="K82"/>
  <c r="J83" s="1"/>
  <c r="P83" s="1"/>
  <c r="J82"/>
  <c r="H82"/>
  <c r="G83" s="1"/>
  <c r="O83" s="1"/>
  <c r="G82"/>
  <c r="F82"/>
  <c r="V82"/>
  <c r="T82"/>
  <c r="U82"/>
  <c r="S82"/>
  <c r="E82"/>
  <c r="D82"/>
  <c r="I82"/>
  <c r="C82"/>
  <c r="B82"/>
  <c r="A82"/>
  <c r="L81"/>
  <c r="Q81" s="1"/>
  <c r="Z81"/>
  <c r="Y81"/>
  <c r="W81"/>
  <c r="K79"/>
  <c r="H78"/>
  <c r="L80"/>
  <c r="G80"/>
  <c r="E80"/>
  <c r="J79"/>
  <c r="E79"/>
  <c r="J78"/>
  <c r="E78"/>
  <c r="K77"/>
  <c r="J77"/>
  <c r="H77"/>
  <c r="G77"/>
  <c r="F77"/>
  <c r="K76"/>
  <c r="J81" s="1"/>
  <c r="P81" s="1"/>
  <c r="J76"/>
  <c r="H76"/>
  <c r="G81" s="1"/>
  <c r="O81" s="1"/>
  <c r="G76"/>
  <c r="F76"/>
  <c r="V75"/>
  <c r="T75"/>
  <c r="K78" s="1"/>
  <c r="U75"/>
  <c r="H79" s="1"/>
  <c r="S75"/>
  <c r="F75"/>
  <c r="E75"/>
  <c r="D75"/>
  <c r="I75"/>
  <c r="C75"/>
  <c r="B75"/>
  <c r="A75"/>
  <c r="L74"/>
  <c r="Q74" s="1"/>
  <c r="Z74"/>
  <c r="Y74"/>
  <c r="W74"/>
  <c r="K73"/>
  <c r="J74" s="1"/>
  <c r="P74" s="1"/>
  <c r="J73"/>
  <c r="H73"/>
  <c r="G74" s="1"/>
  <c r="O74" s="1"/>
  <c r="G73"/>
  <c r="F73"/>
  <c r="V73"/>
  <c r="T73"/>
  <c r="U73"/>
  <c r="S73"/>
  <c r="E73"/>
  <c r="D73"/>
  <c r="I73"/>
  <c r="C73"/>
  <c r="B73"/>
  <c r="A73"/>
  <c r="L72"/>
  <c r="Q72" s="1"/>
  <c r="Z72"/>
  <c r="Y72"/>
  <c r="W72"/>
  <c r="K70"/>
  <c r="L71"/>
  <c r="G71"/>
  <c r="E71"/>
  <c r="J70"/>
  <c r="E70"/>
  <c r="J69"/>
  <c r="E69"/>
  <c r="K68"/>
  <c r="J68"/>
  <c r="H68"/>
  <c r="G68"/>
  <c r="F68"/>
  <c r="K67"/>
  <c r="J67"/>
  <c r="H67"/>
  <c r="R67" s="1"/>
  <c r="G67"/>
  <c r="F67"/>
  <c r="K66"/>
  <c r="J66"/>
  <c r="H66"/>
  <c r="G66"/>
  <c r="F66"/>
  <c r="K65"/>
  <c r="J65"/>
  <c r="H65"/>
  <c r="X72" s="1"/>
  <c r="G65"/>
  <c r="F65"/>
  <c r="V64"/>
  <c r="T64"/>
  <c r="K69" s="1"/>
  <c r="U64"/>
  <c r="H70" s="1"/>
  <c r="S64"/>
  <c r="H69" s="1"/>
  <c r="F64"/>
  <c r="E64"/>
  <c r="D64"/>
  <c r="I64"/>
  <c r="C64"/>
  <c r="B64"/>
  <c r="A64"/>
  <c r="L63"/>
  <c r="Q63" s="1"/>
  <c r="J63"/>
  <c r="P63" s="1"/>
  <c r="Z63"/>
  <c r="Y63"/>
  <c r="W63"/>
  <c r="K62"/>
  <c r="J62"/>
  <c r="H62"/>
  <c r="X63" s="1"/>
  <c r="G62"/>
  <c r="F62"/>
  <c r="V62"/>
  <c r="T62"/>
  <c r="U62"/>
  <c r="S62"/>
  <c r="E62"/>
  <c r="D62"/>
  <c r="I62"/>
  <c r="C62"/>
  <c r="B62"/>
  <c r="A62"/>
  <c r="L61"/>
  <c r="Q61" s="1"/>
  <c r="Z61"/>
  <c r="Y61"/>
  <c r="W61"/>
  <c r="H57"/>
  <c r="K60"/>
  <c r="J60"/>
  <c r="Z60"/>
  <c r="Y60"/>
  <c r="X60"/>
  <c r="W60"/>
  <c r="H60"/>
  <c r="F60"/>
  <c r="V60"/>
  <c r="T60"/>
  <c r="U60"/>
  <c r="S60"/>
  <c r="E60"/>
  <c r="D60"/>
  <c r="C60"/>
  <c r="B60"/>
  <c r="A60"/>
  <c r="K59"/>
  <c r="J59"/>
  <c r="Z59"/>
  <c r="Y59"/>
  <c r="X59"/>
  <c r="W59"/>
  <c r="H59"/>
  <c r="F59"/>
  <c r="V59"/>
  <c r="T59"/>
  <c r="U59"/>
  <c r="S59"/>
  <c r="E59"/>
  <c r="D59"/>
  <c r="C59"/>
  <c r="B59"/>
  <c r="A59"/>
  <c r="L58"/>
  <c r="G58"/>
  <c r="E58"/>
  <c r="J57"/>
  <c r="E57"/>
  <c r="J56"/>
  <c r="E56"/>
  <c r="K55"/>
  <c r="J55"/>
  <c r="H55"/>
  <c r="G55"/>
  <c r="F55"/>
  <c r="K54"/>
  <c r="J54"/>
  <c r="H54"/>
  <c r="G54"/>
  <c r="F54"/>
  <c r="K53"/>
  <c r="J53"/>
  <c r="R53"/>
  <c r="H53"/>
  <c r="G53"/>
  <c r="F53"/>
  <c r="V52"/>
  <c r="K57" s="1"/>
  <c r="T52"/>
  <c r="K56" s="1"/>
  <c r="U52"/>
  <c r="S52"/>
  <c r="H56" s="1"/>
  <c r="F52"/>
  <c r="E52"/>
  <c r="D52"/>
  <c r="I52"/>
  <c r="C52"/>
  <c r="B52"/>
  <c r="A52"/>
  <c r="Q51"/>
  <c r="L51"/>
  <c r="Z51"/>
  <c r="Y51"/>
  <c r="W51"/>
  <c r="K47"/>
  <c r="K50"/>
  <c r="J50"/>
  <c r="Z50"/>
  <c r="G30" s="1"/>
  <c r="Y50"/>
  <c r="G29" s="1"/>
  <c r="W50"/>
  <c r="H50"/>
  <c r="X50" s="1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51" s="1"/>
  <c r="O51" s="1"/>
  <c r="G45"/>
  <c r="F45"/>
  <c r="K44"/>
  <c r="J44"/>
  <c r="H44"/>
  <c r="R44" s="1"/>
  <c r="G44"/>
  <c r="F44"/>
  <c r="V43"/>
  <c r="K48" s="1"/>
  <c r="T43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" i="3"/>
  <c r="CX1"/>
  <c r="CY1"/>
  <c r="CZ1"/>
  <c r="DA1"/>
  <c r="DB1"/>
  <c r="DC1"/>
  <c r="A2"/>
  <c r="CX2"/>
  <c r="CY2"/>
  <c r="CZ2"/>
  <c r="DA2"/>
  <c r="DB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A5"/>
  <c r="DB5"/>
  <c r="DC5"/>
  <c r="A6"/>
  <c r="CX6"/>
  <c r="CY6"/>
  <c r="CZ6"/>
  <c r="DA6"/>
  <c r="DB6"/>
  <c r="DC6"/>
  <c r="A7"/>
  <c r="CX7"/>
  <c r="CY7"/>
  <c r="CZ7"/>
  <c r="DB7" s="1"/>
  <c r="DA7"/>
  <c r="DC7"/>
  <c r="A8"/>
  <c r="CX8"/>
  <c r="CY8"/>
  <c r="CZ8"/>
  <c r="DB8" s="1"/>
  <c r="DA8"/>
  <c r="DC8"/>
  <c r="A9"/>
  <c r="CX9"/>
  <c r="CY9"/>
  <c r="CZ9"/>
  <c r="DA9"/>
  <c r="DB9"/>
  <c r="DC9"/>
  <c r="A10"/>
  <c r="CX10"/>
  <c r="CY10"/>
  <c r="CZ10"/>
  <c r="DA10"/>
  <c r="DB10"/>
  <c r="DC10"/>
  <c r="A11"/>
  <c r="CX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X15"/>
  <c r="CY15"/>
  <c r="CZ15"/>
  <c r="DB15" s="1"/>
  <c r="DA15"/>
  <c r="DC15"/>
  <c r="A16"/>
  <c r="CX16"/>
  <c r="CY16"/>
  <c r="CZ16"/>
  <c r="DB16" s="1"/>
  <c r="DA16"/>
  <c r="DC16"/>
  <c r="A17"/>
  <c r="CX17"/>
  <c r="CY17"/>
  <c r="CZ17"/>
  <c r="DA17"/>
  <c r="DB17"/>
  <c r="DC17"/>
  <c r="A18"/>
  <c r="CX18"/>
  <c r="CY18"/>
  <c r="CZ18"/>
  <c r="DA18"/>
  <c r="DB18"/>
  <c r="DC18"/>
  <c r="A19"/>
  <c r="CX19"/>
  <c r="CY19"/>
  <c r="CZ19"/>
  <c r="DB19" s="1"/>
  <c r="DA19"/>
  <c r="DC19"/>
  <c r="A20"/>
  <c r="CX20"/>
  <c r="CY20"/>
  <c r="CZ20"/>
  <c r="DB20" s="1"/>
  <c r="DA20"/>
  <c r="DC20"/>
  <c r="A21"/>
  <c r="CX21"/>
  <c r="CY21"/>
  <c r="CZ21"/>
  <c r="DA21"/>
  <c r="DB21"/>
  <c r="DC21"/>
  <c r="A22"/>
  <c r="CX22"/>
  <c r="CY22"/>
  <c r="CZ22"/>
  <c r="DA22"/>
  <c r="DB22"/>
  <c r="DC22"/>
  <c r="A23"/>
  <c r="CX23"/>
  <c r="CY23"/>
  <c r="CZ23"/>
  <c r="DB23" s="1"/>
  <c r="DA23"/>
  <c r="DC23"/>
  <c r="A24"/>
  <c r="CX24"/>
  <c r="CY24"/>
  <c r="CZ24"/>
  <c r="DB24" s="1"/>
  <c r="DA24"/>
  <c r="DC24"/>
  <c r="A25"/>
  <c r="CX25"/>
  <c r="CY25"/>
  <c r="CZ25"/>
  <c r="DA25"/>
  <c r="DB25"/>
  <c r="DC25"/>
  <c r="A26"/>
  <c r="CX26"/>
  <c r="CY26"/>
  <c r="CZ26"/>
  <c r="DA26"/>
  <c r="DB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A29"/>
  <c r="DB29"/>
  <c r="DC29"/>
  <c r="A30"/>
  <c r="CY30"/>
  <c r="CZ30"/>
  <c r="DA30"/>
  <c r="DB30"/>
  <c r="DC30"/>
  <c r="A31"/>
  <c r="CY31"/>
  <c r="CZ31"/>
  <c r="DB31" s="1"/>
  <c r="DA31"/>
  <c r="DC31"/>
  <c r="A32"/>
  <c r="CY32"/>
  <c r="CZ32"/>
  <c r="DB32" s="1"/>
  <c r="DA32"/>
  <c r="DC32"/>
  <c r="A33"/>
  <c r="CY33"/>
  <c r="CZ33"/>
  <c r="DA33"/>
  <c r="DB33"/>
  <c r="DC33"/>
  <c r="A34"/>
  <c r="CY34"/>
  <c r="CZ34"/>
  <c r="DA34"/>
  <c r="DB34"/>
  <c r="DC34"/>
  <c r="A35"/>
  <c r="CY35"/>
  <c r="CZ35"/>
  <c r="DB35" s="1"/>
  <c r="DA35"/>
  <c r="DC35"/>
  <c r="A36"/>
  <c r="CY36"/>
  <c r="CZ36"/>
  <c r="DB36" s="1"/>
  <c r="DA36"/>
  <c r="DC36"/>
  <c r="A37"/>
  <c r="CY37"/>
  <c r="CZ37"/>
  <c r="DA37"/>
  <c r="DB37"/>
  <c r="DC37"/>
  <c r="A38"/>
  <c r="CX38"/>
  <c r="CY38"/>
  <c r="CZ38"/>
  <c r="DA38"/>
  <c r="DB38"/>
  <c r="DC38"/>
  <c r="A39"/>
  <c r="CX39"/>
  <c r="CY39"/>
  <c r="CZ39"/>
  <c r="DB39" s="1"/>
  <c r="DA39"/>
  <c r="DC39"/>
  <c r="A40"/>
  <c r="CX40"/>
  <c r="CY40"/>
  <c r="CZ40"/>
  <c r="DB40" s="1"/>
  <c r="DA40"/>
  <c r="DC40"/>
  <c r="A41"/>
  <c r="CX41"/>
  <c r="CY41"/>
  <c r="CZ41"/>
  <c r="DA41"/>
  <c r="DB41"/>
  <c r="DC41"/>
  <c r="A42"/>
  <c r="CX42"/>
  <c r="CY42"/>
  <c r="CZ42"/>
  <c r="DA42"/>
  <c r="DB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X45"/>
  <c r="CY45"/>
  <c r="CZ45"/>
  <c r="DA45"/>
  <c r="DB45"/>
  <c r="DC45"/>
  <c r="A46"/>
  <c r="CX46"/>
  <c r="CY46"/>
  <c r="CZ46"/>
  <c r="DA46"/>
  <c r="DB46"/>
  <c r="DC46"/>
  <c r="A47"/>
  <c r="CY47"/>
  <c r="CZ47"/>
  <c r="DB47" s="1"/>
  <c r="DA47"/>
  <c r="DC47"/>
  <c r="A48"/>
  <c r="CY48"/>
  <c r="CZ48"/>
  <c r="DB48" s="1"/>
  <c r="DA48"/>
  <c r="DC48"/>
  <c r="A49"/>
  <c r="CY49"/>
  <c r="CZ49"/>
  <c r="DA49"/>
  <c r="DB49"/>
  <c r="DC49"/>
  <c r="A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CQ24" s="1"/>
  <c r="P24" s="1"/>
  <c r="AE24"/>
  <c r="AD24" s="1"/>
  <c r="AF24"/>
  <c r="CT24" s="1"/>
  <c r="S24" s="1"/>
  <c r="AG24"/>
  <c r="CU24" s="1"/>
  <c r="T24" s="1"/>
  <c r="AH24"/>
  <c r="AI24"/>
  <c r="AJ24"/>
  <c r="CX24" s="1"/>
  <c r="W24" s="1"/>
  <c r="CS24"/>
  <c r="R24" s="1"/>
  <c r="CV24"/>
  <c r="U24" s="1"/>
  <c r="CW24"/>
  <c r="V24" s="1"/>
  <c r="FR24"/>
  <c r="GL24"/>
  <c r="GN24"/>
  <c r="GP24"/>
  <c r="GV24"/>
  <c r="HC24"/>
  <c r="GX24" s="1"/>
  <c r="I25"/>
  <c r="AC25"/>
  <c r="AE25"/>
  <c r="AD25" s="1"/>
  <c r="AF25"/>
  <c r="CT25" s="1"/>
  <c r="S25" s="1"/>
  <c r="AG25"/>
  <c r="AH25"/>
  <c r="AI25"/>
  <c r="CW25" s="1"/>
  <c r="V25" s="1"/>
  <c r="AJ25"/>
  <c r="CX25" s="1"/>
  <c r="W25" s="1"/>
  <c r="CQ25"/>
  <c r="P25" s="1"/>
  <c r="CU25"/>
  <c r="T25" s="1"/>
  <c r="CV25"/>
  <c r="U25" s="1"/>
  <c r="FR25"/>
  <c r="GL25"/>
  <c r="GN25"/>
  <c r="GP25"/>
  <c r="GV25"/>
  <c r="HC25" s="1"/>
  <c r="GX25" s="1"/>
  <c r="C26"/>
  <c r="D26"/>
  <c r="AC26"/>
  <c r="AB26" s="1"/>
  <c r="AD26"/>
  <c r="CR26" s="1"/>
  <c r="Q26" s="1"/>
  <c r="AE26"/>
  <c r="AF26"/>
  <c r="AG26"/>
  <c r="CU26" s="1"/>
  <c r="T26" s="1"/>
  <c r="AH26"/>
  <c r="CV26" s="1"/>
  <c r="U26" s="1"/>
  <c r="AI26"/>
  <c r="AJ26"/>
  <c r="CS26"/>
  <c r="R26" s="1"/>
  <c r="CT26"/>
  <c r="S26" s="1"/>
  <c r="CW26"/>
  <c r="V26" s="1"/>
  <c r="CX26"/>
  <c r="W26" s="1"/>
  <c r="FR26"/>
  <c r="GL26"/>
  <c r="GN26"/>
  <c r="GP26"/>
  <c r="GV26"/>
  <c r="HC26"/>
  <c r="GX26" s="1"/>
  <c r="I27"/>
  <c r="AC27"/>
  <c r="CQ27" s="1"/>
  <c r="P27" s="1"/>
  <c r="AE27"/>
  <c r="AD27" s="1"/>
  <c r="AF27"/>
  <c r="CT27" s="1"/>
  <c r="S27" s="1"/>
  <c r="AG27"/>
  <c r="CU27" s="1"/>
  <c r="T27" s="1"/>
  <c r="AH27"/>
  <c r="AI27"/>
  <c r="AJ27"/>
  <c r="CX27" s="1"/>
  <c r="W27" s="1"/>
  <c r="CS27"/>
  <c r="R27" s="1"/>
  <c r="CV27"/>
  <c r="U27" s="1"/>
  <c r="CW27"/>
  <c r="V27" s="1"/>
  <c r="FR27"/>
  <c r="GL27"/>
  <c r="GN27"/>
  <c r="GP27"/>
  <c r="GV27"/>
  <c r="HC27"/>
  <c r="GX27" s="1"/>
  <c r="I28"/>
  <c r="AC28"/>
  <c r="AE28"/>
  <c r="AD28" s="1"/>
  <c r="AF28"/>
  <c r="CT28" s="1"/>
  <c r="S28" s="1"/>
  <c r="AG28"/>
  <c r="AH28"/>
  <c r="AI28"/>
  <c r="CW28" s="1"/>
  <c r="V28" s="1"/>
  <c r="AJ28"/>
  <c r="CX28" s="1"/>
  <c r="W28" s="1"/>
  <c r="CQ28"/>
  <c r="P28" s="1"/>
  <c r="CU28"/>
  <c r="T28" s="1"/>
  <c r="CV28"/>
  <c r="U28" s="1"/>
  <c r="FR28"/>
  <c r="GL28"/>
  <c r="GN28"/>
  <c r="GP28"/>
  <c r="GV28"/>
  <c r="HC28" s="1"/>
  <c r="GX28" s="1"/>
  <c r="AC29"/>
  <c r="AE29"/>
  <c r="AD29" s="1"/>
  <c r="AF29"/>
  <c r="AG29"/>
  <c r="AH29"/>
  <c r="AI29"/>
  <c r="CW29" s="1"/>
  <c r="V29" s="1"/>
  <c r="AJ29"/>
  <c r="CQ29"/>
  <c r="P29" s="1"/>
  <c r="CT29"/>
  <c r="S29" s="1"/>
  <c r="CU29"/>
  <c r="T29" s="1"/>
  <c r="CV29"/>
  <c r="U29" s="1"/>
  <c r="CX29"/>
  <c r="W29" s="1"/>
  <c r="FR29"/>
  <c r="GL29"/>
  <c r="GN29"/>
  <c r="GP29"/>
  <c r="GV29"/>
  <c r="HC29" s="1"/>
  <c r="GX29" s="1"/>
  <c r="C30"/>
  <c r="D30"/>
  <c r="AC30"/>
  <c r="AB30" s="1"/>
  <c r="AE30"/>
  <c r="AD30" s="1"/>
  <c r="CR30" s="1"/>
  <c r="Q30" s="1"/>
  <c r="AF30"/>
  <c r="AG30"/>
  <c r="CU30" s="1"/>
  <c r="T30" s="1"/>
  <c r="AH30"/>
  <c r="AI30"/>
  <c r="AJ30"/>
  <c r="CS30"/>
  <c r="R30" s="1"/>
  <c r="CT30"/>
  <c r="S30" s="1"/>
  <c r="CV30"/>
  <c r="U30" s="1"/>
  <c r="CW30"/>
  <c r="V30" s="1"/>
  <c r="CX30"/>
  <c r="W30" s="1"/>
  <c r="FR30"/>
  <c r="GL30"/>
  <c r="GN30"/>
  <c r="GP30"/>
  <c r="GV30"/>
  <c r="HC30"/>
  <c r="GX30" s="1"/>
  <c r="AC31"/>
  <c r="AE31"/>
  <c r="AD31" s="1"/>
  <c r="CR31" s="1"/>
  <c r="Q31" s="1"/>
  <c r="AF31"/>
  <c r="AG31"/>
  <c r="CU31" s="1"/>
  <c r="T31" s="1"/>
  <c r="AH31"/>
  <c r="AI31"/>
  <c r="AJ31"/>
  <c r="CS31"/>
  <c r="R31" s="1"/>
  <c r="CT31"/>
  <c r="S31" s="1"/>
  <c r="CV31"/>
  <c r="U31" s="1"/>
  <c r="CW31"/>
  <c r="V31" s="1"/>
  <c r="CX31"/>
  <c r="W31" s="1"/>
  <c r="FR31"/>
  <c r="GL31"/>
  <c r="GN31"/>
  <c r="GP31"/>
  <c r="GV31"/>
  <c r="HC31"/>
  <c r="GX31" s="1"/>
  <c r="C32"/>
  <c r="D32"/>
  <c r="AC32"/>
  <c r="AE32"/>
  <c r="AD32" s="1"/>
  <c r="CR32" s="1"/>
  <c r="Q32" s="1"/>
  <c r="AF32"/>
  <c r="AG32"/>
  <c r="AH32"/>
  <c r="AI32"/>
  <c r="CW32" s="1"/>
  <c r="V32" s="1"/>
  <c r="AJ32"/>
  <c r="CQ32"/>
  <c r="P32" s="1"/>
  <c r="CT32"/>
  <c r="S32" s="1"/>
  <c r="CU32"/>
  <c r="T32" s="1"/>
  <c r="CV32"/>
  <c r="U32" s="1"/>
  <c r="CX32"/>
  <c r="W32" s="1"/>
  <c r="FR32"/>
  <c r="GL32"/>
  <c r="GN32"/>
  <c r="GP32"/>
  <c r="GV32"/>
  <c r="HC32" s="1"/>
  <c r="GX32" s="1"/>
  <c r="AC33"/>
  <c r="AE33"/>
  <c r="AD33" s="1"/>
  <c r="CR33" s="1"/>
  <c r="Q33" s="1"/>
  <c r="AF33"/>
  <c r="AG33"/>
  <c r="AH33"/>
  <c r="AI33"/>
  <c r="CW33" s="1"/>
  <c r="V33" s="1"/>
  <c r="AJ33"/>
  <c r="CQ33"/>
  <c r="P33" s="1"/>
  <c r="CT33"/>
  <c r="S33" s="1"/>
  <c r="CU33"/>
  <c r="T33" s="1"/>
  <c r="CV33"/>
  <c r="U33" s="1"/>
  <c r="CX33"/>
  <c r="W33" s="1"/>
  <c r="FR33"/>
  <c r="GL33"/>
  <c r="GN33"/>
  <c r="GP33"/>
  <c r="GV33"/>
  <c r="HC33" s="1"/>
  <c r="GX33" s="1"/>
  <c r="C34"/>
  <c r="D34"/>
  <c r="I34"/>
  <c r="CX33" i="3" s="1"/>
  <c r="AC34" i="1"/>
  <c r="AE34"/>
  <c r="AD34" s="1"/>
  <c r="AF34"/>
  <c r="CT34" s="1"/>
  <c r="S34" s="1"/>
  <c r="AG34"/>
  <c r="AH34"/>
  <c r="AI34"/>
  <c r="AJ34"/>
  <c r="CX34" s="1"/>
  <c r="W34" s="1"/>
  <c r="CQ34"/>
  <c r="P34" s="1"/>
  <c r="CS34"/>
  <c r="R34" s="1"/>
  <c r="CU34"/>
  <c r="T34" s="1"/>
  <c r="CV34"/>
  <c r="U34" s="1"/>
  <c r="CW34"/>
  <c r="V34" s="1"/>
  <c r="FR34"/>
  <c r="GL34"/>
  <c r="GN34"/>
  <c r="GP34"/>
  <c r="GV34"/>
  <c r="HC34"/>
  <c r="GX34" s="1"/>
  <c r="AC35"/>
  <c r="CQ35" s="1"/>
  <c r="P35" s="1"/>
  <c r="AE35"/>
  <c r="AD35" s="1"/>
  <c r="AF35"/>
  <c r="CT35" s="1"/>
  <c r="S35" s="1"/>
  <c r="AG35"/>
  <c r="CU35" s="1"/>
  <c r="T35" s="1"/>
  <c r="AH35"/>
  <c r="AI35"/>
  <c r="AJ35"/>
  <c r="CX35" s="1"/>
  <c r="W35" s="1"/>
  <c r="CS35"/>
  <c r="R35" s="1"/>
  <c r="CV35"/>
  <c r="U35" s="1"/>
  <c r="CW35"/>
  <c r="V35" s="1"/>
  <c r="FR35"/>
  <c r="GL35"/>
  <c r="GN35"/>
  <c r="GP35"/>
  <c r="GV35"/>
  <c r="HC35"/>
  <c r="GX35" s="1"/>
  <c r="C36"/>
  <c r="D36"/>
  <c r="AC36"/>
  <c r="AB36" s="1"/>
  <c r="AD36"/>
  <c r="CR36" s="1"/>
  <c r="Q36" s="1"/>
  <c r="AE36"/>
  <c r="CS36" s="1"/>
  <c r="R36" s="1"/>
  <c r="AF36"/>
  <c r="AG36"/>
  <c r="AH36"/>
  <c r="CV36" s="1"/>
  <c r="U36" s="1"/>
  <c r="AI36"/>
  <c r="CW36" s="1"/>
  <c r="V36" s="1"/>
  <c r="AJ36"/>
  <c r="CQ36"/>
  <c r="P36" s="1"/>
  <c r="CP36" s="1"/>
  <c r="O36" s="1"/>
  <c r="CT36"/>
  <c r="S36" s="1"/>
  <c r="CU36"/>
  <c r="T36" s="1"/>
  <c r="CX36"/>
  <c r="W36" s="1"/>
  <c r="FR36"/>
  <c r="GL36"/>
  <c r="GN36"/>
  <c r="GP36"/>
  <c r="GV36"/>
  <c r="HC36" s="1"/>
  <c r="GX36" s="1"/>
  <c r="I37"/>
  <c r="AC37"/>
  <c r="AB37" s="1"/>
  <c r="AE37"/>
  <c r="AD37" s="1"/>
  <c r="CR37" s="1"/>
  <c r="Q37" s="1"/>
  <c r="AF37"/>
  <c r="AG37"/>
  <c r="CU37" s="1"/>
  <c r="T37" s="1"/>
  <c r="AH37"/>
  <c r="AI37"/>
  <c r="AJ37"/>
  <c r="CS37"/>
  <c r="R37" s="1"/>
  <c r="CT37"/>
  <c r="S37" s="1"/>
  <c r="CV37"/>
  <c r="U37" s="1"/>
  <c r="CW37"/>
  <c r="V37" s="1"/>
  <c r="CX37"/>
  <c r="W37" s="1"/>
  <c r="FR37"/>
  <c r="GL37"/>
  <c r="GN37"/>
  <c r="GP37"/>
  <c r="GV37"/>
  <c r="HC37"/>
  <c r="GX37" s="1"/>
  <c r="C38"/>
  <c r="D38"/>
  <c r="I38"/>
  <c r="CX49" i="3" s="1"/>
  <c r="AC38" i="1"/>
  <c r="AB38" s="1"/>
  <c r="AD38"/>
  <c r="CR38" s="1"/>
  <c r="Q38" s="1"/>
  <c r="AE38"/>
  <c r="AF38"/>
  <c r="AG38"/>
  <c r="AH38"/>
  <c r="CV38" s="1"/>
  <c r="U38" s="1"/>
  <c r="AI38"/>
  <c r="AJ38"/>
  <c r="CQ38"/>
  <c r="P38" s="1"/>
  <c r="CS38"/>
  <c r="R38" s="1"/>
  <c r="CT38"/>
  <c r="S38" s="1"/>
  <c r="CU38"/>
  <c r="T38" s="1"/>
  <c r="CW38"/>
  <c r="V38" s="1"/>
  <c r="CX38"/>
  <c r="W38" s="1"/>
  <c r="FR38"/>
  <c r="GL38"/>
  <c r="GN38"/>
  <c r="GP38"/>
  <c r="GV38"/>
  <c r="HC38" s="1"/>
  <c r="GX38" s="1"/>
  <c r="AC39"/>
  <c r="AB39" s="1"/>
  <c r="AD39"/>
  <c r="CR39" s="1"/>
  <c r="Q39" s="1"/>
  <c r="AE39"/>
  <c r="AF39"/>
  <c r="AG39"/>
  <c r="AH39"/>
  <c r="CV39" s="1"/>
  <c r="U39" s="1"/>
  <c r="AI39"/>
  <c r="AJ39"/>
  <c r="CQ39"/>
  <c r="P39" s="1"/>
  <c r="CS39"/>
  <c r="R39" s="1"/>
  <c r="CT39"/>
  <c r="S39" s="1"/>
  <c r="CU39"/>
  <c r="T39" s="1"/>
  <c r="CW39"/>
  <c r="V39" s="1"/>
  <c r="CX39"/>
  <c r="W39" s="1"/>
  <c r="FR39"/>
  <c r="GL39"/>
  <c r="GO39"/>
  <c r="GP39"/>
  <c r="GV39"/>
  <c r="HC39" s="1"/>
  <c r="GX39" s="1"/>
  <c r="I40"/>
  <c r="AC40"/>
  <c r="AE40"/>
  <c r="AD40" s="1"/>
  <c r="CR40" s="1"/>
  <c r="Q40" s="1"/>
  <c r="AF40"/>
  <c r="AG40"/>
  <c r="CU40" s="1"/>
  <c r="T40" s="1"/>
  <c r="AH40"/>
  <c r="AI40"/>
  <c r="AJ40"/>
  <c r="CS40"/>
  <c r="R40" s="1"/>
  <c r="CT40"/>
  <c r="S40" s="1"/>
  <c r="CV40"/>
  <c r="U40" s="1"/>
  <c r="CW40"/>
  <c r="V40" s="1"/>
  <c r="CX40"/>
  <c r="W40" s="1"/>
  <c r="FR40"/>
  <c r="GL40"/>
  <c r="GN40"/>
  <c r="GP40"/>
  <c r="GV40"/>
  <c r="HC40"/>
  <c r="GX40" s="1"/>
  <c r="AC41"/>
  <c r="AB41" s="1"/>
  <c r="AE41"/>
  <c r="AD41" s="1"/>
  <c r="CR41" s="1"/>
  <c r="Q41" s="1"/>
  <c r="AF41"/>
  <c r="AG41"/>
  <c r="CU41" s="1"/>
  <c r="T41" s="1"/>
  <c r="AH41"/>
  <c r="AI41"/>
  <c r="AJ41"/>
  <c r="CS41"/>
  <c r="R41" s="1"/>
  <c r="CT41"/>
  <c r="S41" s="1"/>
  <c r="CV41"/>
  <c r="U41" s="1"/>
  <c r="CW41"/>
  <c r="V41" s="1"/>
  <c r="CX41"/>
  <c r="W41" s="1"/>
  <c r="FR41"/>
  <c r="GL41"/>
  <c r="GO41"/>
  <c r="GP41"/>
  <c r="GV41"/>
  <c r="HC41"/>
  <c r="GX41" s="1"/>
  <c r="B43"/>
  <c r="B22" s="1"/>
  <c r="C43"/>
  <c r="C22" s="1"/>
  <c r="D43"/>
  <c r="D22" s="1"/>
  <c r="F43"/>
  <c r="F22" s="1"/>
  <c r="G43"/>
  <c r="G22" s="1"/>
  <c r="BX43"/>
  <c r="BX22" s="1"/>
  <c r="BY43"/>
  <c r="AP43" s="1"/>
  <c r="BZ43"/>
  <c r="BZ22" s="1"/>
  <c r="CD43"/>
  <c r="CD22" s="1"/>
  <c r="CG43"/>
  <c r="AX43" s="1"/>
  <c r="CK43"/>
  <c r="BB43" s="1"/>
  <c r="CL43"/>
  <c r="CL22" s="1"/>
  <c r="CM43"/>
  <c r="CM22" s="1"/>
  <c r="B73"/>
  <c r="B18" s="1"/>
  <c r="C73"/>
  <c r="C18" s="1"/>
  <c r="D73"/>
  <c r="D18" s="1"/>
  <c r="F73"/>
  <c r="F18" s="1"/>
  <c r="G73"/>
  <c r="G18" s="1"/>
  <c r="G27" i="5" l="1"/>
  <c r="G61"/>
  <c r="O61" s="1"/>
  <c r="G26" s="1"/>
  <c r="J93"/>
  <c r="P93" s="1"/>
  <c r="G114"/>
  <c r="O114" s="1"/>
  <c r="J51"/>
  <c r="P51" s="1"/>
  <c r="J61"/>
  <c r="P61" s="1"/>
  <c r="J72"/>
  <c r="P72" s="1"/>
  <c r="G93"/>
  <c r="O93" s="1"/>
  <c r="J104"/>
  <c r="P104" s="1"/>
  <c r="J114"/>
  <c r="P114" s="1"/>
  <c r="L127"/>
  <c r="G72"/>
  <c r="O72" s="1"/>
  <c r="G127" s="1"/>
  <c r="X61"/>
  <c r="G63"/>
  <c r="O63" s="1"/>
  <c r="R65"/>
  <c r="X74"/>
  <c r="X83"/>
  <c r="X95"/>
  <c r="G104"/>
  <c r="O104" s="1"/>
  <c r="X114"/>
  <c r="W116"/>
  <c r="L123"/>
  <c r="R76"/>
  <c r="G32" s="1"/>
  <c r="X81"/>
  <c r="R97"/>
  <c r="X119"/>
  <c r="W121"/>
  <c r="X51"/>
  <c r="G28" s="1"/>
  <c r="BB73" i="1"/>
  <c r="BB22"/>
  <c r="F56"/>
  <c r="CY39"/>
  <c r="X39" s="1"/>
  <c r="CZ39"/>
  <c r="Y39" s="1"/>
  <c r="CY36"/>
  <c r="X36" s="1"/>
  <c r="CZ36"/>
  <c r="Y36" s="1"/>
  <c r="CZ40"/>
  <c r="Y40" s="1"/>
  <c r="CY40"/>
  <c r="X40" s="1"/>
  <c r="CZ37"/>
  <c r="Y37" s="1"/>
  <c r="CY37"/>
  <c r="X37" s="1"/>
  <c r="CZ34"/>
  <c r="Y34" s="1"/>
  <c r="CY34"/>
  <c r="X34" s="1"/>
  <c r="AB24"/>
  <c r="CR24"/>
  <c r="Q24" s="1"/>
  <c r="AB40"/>
  <c r="CP39"/>
  <c r="O39" s="1"/>
  <c r="CP32"/>
  <c r="O32" s="1"/>
  <c r="AI43"/>
  <c r="CY38"/>
  <c r="X38" s="1"/>
  <c r="CZ38"/>
  <c r="Y38" s="1"/>
  <c r="AB34"/>
  <c r="CR34"/>
  <c r="Q34" s="1"/>
  <c r="F50"/>
  <c r="AX73"/>
  <c r="AX22"/>
  <c r="AB35"/>
  <c r="CR35"/>
  <c r="Q35" s="1"/>
  <c r="CP35" s="1"/>
  <c r="O35" s="1"/>
  <c r="CZ31"/>
  <c r="Y31" s="1"/>
  <c r="CY31"/>
  <c r="X31" s="1"/>
  <c r="CR29"/>
  <c r="Q29" s="1"/>
  <c r="AB29"/>
  <c r="AB27"/>
  <c r="CR27"/>
  <c r="Q27" s="1"/>
  <c r="CP27" s="1"/>
  <c r="O27" s="1"/>
  <c r="CR25"/>
  <c r="Q25" s="1"/>
  <c r="AB25"/>
  <c r="AF43"/>
  <c r="CZ24"/>
  <c r="Y24" s="1"/>
  <c r="CY24"/>
  <c r="X24" s="1"/>
  <c r="CP38"/>
  <c r="O38" s="1"/>
  <c r="CP34"/>
  <c r="O34" s="1"/>
  <c r="CP33"/>
  <c r="O33" s="1"/>
  <c r="AB32"/>
  <c r="AB31"/>
  <c r="AJ43"/>
  <c r="CZ41"/>
  <c r="Y41" s="1"/>
  <c r="CY41"/>
  <c r="X41" s="1"/>
  <c r="GM36"/>
  <c r="GO36"/>
  <c r="CZ35"/>
  <c r="Y35" s="1"/>
  <c r="CY35"/>
  <c r="X35" s="1"/>
  <c r="CY33"/>
  <c r="X33" s="1"/>
  <c r="CR28"/>
  <c r="Q28" s="1"/>
  <c r="CP28" s="1"/>
  <c r="O28" s="1"/>
  <c r="AB28"/>
  <c r="CZ27"/>
  <c r="Y27" s="1"/>
  <c r="CY27"/>
  <c r="X27" s="1"/>
  <c r="CZ26"/>
  <c r="Y26" s="1"/>
  <c r="CY26"/>
  <c r="X26" s="1"/>
  <c r="AB33"/>
  <c r="CJ43"/>
  <c r="AG43"/>
  <c r="AP73"/>
  <c r="AP22"/>
  <c r="F52"/>
  <c r="G16" i="2" s="1"/>
  <c r="G18" s="1"/>
  <c r="CZ30" i="1"/>
  <c r="Y30" s="1"/>
  <c r="CY30"/>
  <c r="X30" s="1"/>
  <c r="CP24"/>
  <c r="O24" s="1"/>
  <c r="CP29"/>
  <c r="O29" s="1"/>
  <c r="CP25"/>
  <c r="O25" s="1"/>
  <c r="AH43"/>
  <c r="BC43"/>
  <c r="AU43"/>
  <c r="AQ43"/>
  <c r="CQ41"/>
  <c r="P41" s="1"/>
  <c r="CP41" s="1"/>
  <c r="O41" s="1"/>
  <c r="CQ40"/>
  <c r="P40" s="1"/>
  <c r="CP40" s="1"/>
  <c r="O40" s="1"/>
  <c r="CQ37"/>
  <c r="P37" s="1"/>
  <c r="CP37" s="1"/>
  <c r="O37" s="1"/>
  <c r="CS33"/>
  <c r="R33" s="1"/>
  <c r="CZ33" s="1"/>
  <c r="Y33" s="1"/>
  <c r="CS32"/>
  <c r="R32" s="1"/>
  <c r="CY32" s="1"/>
  <c r="X32" s="1"/>
  <c r="CQ31"/>
  <c r="P31" s="1"/>
  <c r="CP31" s="1"/>
  <c r="O31" s="1"/>
  <c r="CQ30"/>
  <c r="P30" s="1"/>
  <c r="CP30" s="1"/>
  <c r="O30" s="1"/>
  <c r="CS29"/>
  <c r="R29" s="1"/>
  <c r="CY29" s="1"/>
  <c r="X29" s="1"/>
  <c r="CS28"/>
  <c r="R28" s="1"/>
  <c r="CY28" s="1"/>
  <c r="X28" s="1"/>
  <c r="CQ26"/>
  <c r="P26" s="1"/>
  <c r="CP26" s="1"/>
  <c r="O26" s="1"/>
  <c r="CS25"/>
  <c r="R25" s="1"/>
  <c r="CY25" s="1"/>
  <c r="X25" s="1"/>
  <c r="CK22"/>
  <c r="CG22"/>
  <c r="BY22"/>
  <c r="CX52" i="3"/>
  <c r="CX48"/>
  <c r="CX36"/>
  <c r="CX32"/>
  <c r="CI43" i="1"/>
  <c r="BD43"/>
  <c r="CX51" i="3"/>
  <c r="CX47"/>
  <c r="CX35"/>
  <c r="CX31"/>
  <c r="AO43" i="1"/>
  <c r="CX54" i="3"/>
  <c r="CX50"/>
  <c r="CX34"/>
  <c r="CX30"/>
  <c r="CX53"/>
  <c r="CX37"/>
  <c r="G123" i="5" l="1"/>
  <c r="J127"/>
  <c r="J123"/>
  <c r="GO27" i="1"/>
  <c r="GM27"/>
  <c r="GO35"/>
  <c r="GM35"/>
  <c r="GN41"/>
  <c r="GM41"/>
  <c r="GO40"/>
  <c r="GM40"/>
  <c r="BC73"/>
  <c r="BC22"/>
  <c r="F59"/>
  <c r="AP18"/>
  <c r="F82"/>
  <c r="GM33"/>
  <c r="GO33"/>
  <c r="BB18"/>
  <c r="F86"/>
  <c r="AC43"/>
  <c r="AD43"/>
  <c r="AO73"/>
  <c r="AO22"/>
  <c r="F47"/>
  <c r="GO26"/>
  <c r="GM26"/>
  <c r="CI22"/>
  <c r="AZ43"/>
  <c r="GO37"/>
  <c r="GM37"/>
  <c r="F62"/>
  <c r="AU73"/>
  <c r="AU22"/>
  <c r="GM29"/>
  <c r="CJ22"/>
  <c r="BA43"/>
  <c r="AX18"/>
  <c r="F80"/>
  <c r="CZ28"/>
  <c r="Y28" s="1"/>
  <c r="GO28" s="1"/>
  <c r="AK43"/>
  <c r="CZ32"/>
  <c r="Y32" s="1"/>
  <c r="GO32" s="1"/>
  <c r="CZ29"/>
  <c r="Y29" s="1"/>
  <c r="GO29" s="1"/>
  <c r="U43"/>
  <c r="AH22"/>
  <c r="GO31"/>
  <c r="GM31"/>
  <c r="GO30"/>
  <c r="GM30"/>
  <c r="BD22"/>
  <c r="BD73"/>
  <c r="F68"/>
  <c r="AQ73"/>
  <c r="AQ22"/>
  <c r="F53"/>
  <c r="GO25"/>
  <c r="GM38"/>
  <c r="GO38"/>
  <c r="GM39"/>
  <c r="GN39"/>
  <c r="CB43" s="1"/>
  <c r="AE43"/>
  <c r="CZ25"/>
  <c r="Y25" s="1"/>
  <c r="AL43" s="1"/>
  <c r="GO24"/>
  <c r="AB43"/>
  <c r="GM24"/>
  <c r="T43"/>
  <c r="AG22"/>
  <c r="AJ22"/>
  <c r="W43"/>
  <c r="GO34"/>
  <c r="GM34"/>
  <c r="AF22"/>
  <c r="S43"/>
  <c r="V43"/>
  <c r="AI22"/>
  <c r="Y43" l="1"/>
  <c r="AL22"/>
  <c r="F77"/>
  <c r="AO18"/>
  <c r="CA43"/>
  <c r="GM28"/>
  <c r="R43"/>
  <c r="AE22"/>
  <c r="F66"/>
  <c r="V22"/>
  <c r="V73"/>
  <c r="T22"/>
  <c r="T73"/>
  <c r="F64"/>
  <c r="F98"/>
  <c r="BD18"/>
  <c r="CF43"/>
  <c r="P43"/>
  <c r="CE43"/>
  <c r="AC22"/>
  <c r="CH43"/>
  <c r="GM32"/>
  <c r="AB22"/>
  <c r="O43"/>
  <c r="F58"/>
  <c r="J16" i="2" s="1"/>
  <c r="J18" s="1"/>
  <c r="S22" i="1"/>
  <c r="S73"/>
  <c r="W22"/>
  <c r="W73"/>
  <c r="F67"/>
  <c r="F65"/>
  <c r="U73"/>
  <c r="U22"/>
  <c r="AU18"/>
  <c r="F92"/>
  <c r="AZ22"/>
  <c r="F54"/>
  <c r="AZ73"/>
  <c r="BC18"/>
  <c r="F89"/>
  <c r="CC43"/>
  <c r="GM25"/>
  <c r="CB22"/>
  <c r="AS43"/>
  <c r="AQ18"/>
  <c r="F83"/>
  <c r="X43"/>
  <c r="AK22"/>
  <c r="BA73"/>
  <c r="BA22"/>
  <c r="F63"/>
  <c r="H16" i="2" s="1"/>
  <c r="H18" s="1"/>
  <c r="Q43" i="1"/>
  <c r="AD22"/>
  <c r="CA22" l="1"/>
  <c r="AR43"/>
  <c r="F70"/>
  <c r="Y22"/>
  <c r="Y73"/>
  <c r="F60"/>
  <c r="E16" i="2" s="1"/>
  <c r="AS73" i="1"/>
  <c r="AS22"/>
  <c r="O22"/>
  <c r="F45"/>
  <c r="O73"/>
  <c r="P22"/>
  <c r="F46"/>
  <c r="P73"/>
  <c r="Q73"/>
  <c r="Q22"/>
  <c r="F55"/>
  <c r="U18"/>
  <c r="F95"/>
  <c r="CH22"/>
  <c r="AY43"/>
  <c r="CF22"/>
  <c r="AW43"/>
  <c r="F94"/>
  <c r="T18"/>
  <c r="F93"/>
  <c r="BA18"/>
  <c r="F84"/>
  <c r="AZ18"/>
  <c r="CE22"/>
  <c r="AV43"/>
  <c r="V18"/>
  <c r="F96"/>
  <c r="F57"/>
  <c r="R22"/>
  <c r="R73"/>
  <c r="AT43"/>
  <c r="CC22"/>
  <c r="W18"/>
  <c r="F97"/>
  <c r="X22"/>
  <c r="X73"/>
  <c r="F69"/>
  <c r="S18"/>
  <c r="F88"/>
  <c r="AY73" l="1"/>
  <c r="AY22"/>
  <c r="F51"/>
  <c r="F100"/>
  <c r="Y18"/>
  <c r="F76"/>
  <c r="P18"/>
  <c r="E18" i="2"/>
  <c r="AR22" i="1"/>
  <c r="F71"/>
  <c r="AR73"/>
  <c r="F61"/>
  <c r="F16" i="2" s="1"/>
  <c r="F18" s="1"/>
  <c r="AT73" i="1"/>
  <c r="AT22"/>
  <c r="F99"/>
  <c r="X18"/>
  <c r="AV22"/>
  <c r="F48"/>
  <c r="AV73"/>
  <c r="F85"/>
  <c r="Q18"/>
  <c r="O18"/>
  <c r="F75"/>
  <c r="AS18"/>
  <c r="F90"/>
  <c r="F49"/>
  <c r="AW73"/>
  <c r="AW22"/>
  <c r="R18"/>
  <c r="F87"/>
  <c r="AY18" l="1"/>
  <c r="F81"/>
  <c r="AT18"/>
  <c r="F91"/>
  <c r="AW18"/>
  <c r="F79"/>
  <c r="AV18"/>
  <c r="F78"/>
  <c r="F101"/>
  <c r="AR18"/>
  <c r="I16" i="2"/>
  <c r="I18" s="1"/>
  <c r="F103" i="1" l="1"/>
  <c r="F102"/>
</calcChain>
</file>

<file path=xl/sharedStrings.xml><?xml version="1.0" encoding="utf-8"?>
<sst xmlns="http://schemas.openxmlformats.org/spreadsheetml/2006/main" count="2015" uniqueCount="344">
  <si>
    <t>Smeta.RU  (495) 974-1589</t>
  </si>
  <si>
    <t>_PS_</t>
  </si>
  <si>
    <t>Smeta.RU</t>
  </si>
  <si>
    <t/>
  </si>
  <si>
    <t>Новый объект</t>
  </si>
  <si>
    <t>Дрезна  КТС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</si>
  <si>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</si>
  <si>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</si>
  <si>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</si>
  <si>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</si>
  <si>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</si>
  <si>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</si>
  <si>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</si>
  <si>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</si>
  <si>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</t>
  </si>
  <si>
    <t>Приборы ПС приемно-контрольные, пусковые, концентратор блок базовый на 10 лучей</t>
  </si>
  <si>
    <t>1  ШТ.</t>
  </si>
  <si>
    <t>ТЕРм Московской обл., м10-08-001-1,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</si>
  <si>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</si>
  <si>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</si>
  <si>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</si>
  <si>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</si>
  <si>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постовщика</t>
  </si>
  <si>
    <t>ППКОП Юпитер 16IP/GPRS с УВС ТМ</t>
  </si>
  <si>
    <t>1  шт.</t>
  </si>
  <si>
    <t>1привод</t>
  </si>
  <si>
    <t>занесена вручную</t>
  </si>
  <si>
    <t>2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</si>
  <si>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</si>
  <si>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</si>
  <si>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</si>
  <si>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2,1</t>
  </si>
  <si>
    <t>РИП 12 исп 16 блок питани</t>
  </si>
  <si>
    <t>2,2</t>
  </si>
  <si>
    <t>Антенна  Антей GSM- mini</t>
  </si>
  <si>
    <t>4</t>
  </si>
  <si>
    <t>509-1945</t>
  </si>
  <si>
    <t>Радиобрелок управления 5804 4-х кнопочный</t>
  </si>
  <si>
    <t>шт.</t>
  </si>
  <si>
    <t>ТССЦ Московской обл., 509-1945,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</si>
  <si>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</si>
  <si>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</si>
  <si>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</si>
  <si>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</si>
  <si>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м08-01-081-1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</si>
  <si>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</si>
  <si>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ТЕРм Московской обл., м08-01-081-1,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</si>
  <si>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</si>
  <si>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</si>
  <si>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6</t>
  </si>
  <si>
    <t>509-3827</t>
  </si>
  <si>
    <t>Кнопка тревожной сигнализации с фиксацией Астра-321</t>
  </si>
  <si>
    <t>ТССЦ Московской обл., 509-3827, приказ Минстроя России №675/пр от 21.09.2015 г.</t>
  </si>
  <si>
    <t>7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</si>
  <si>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</si>
  <si>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</si>
  <si>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</si>
  <si>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9</t>
  </si>
  <si>
    <t>509-1909</t>
  </si>
  <si>
    <t>Извещатель охранный контактный ИО-102-20 (А2П/ Б2П) поверхностный</t>
  </si>
  <si>
    <t>ТССЦ Московской обл., 509-1909, приказ Минстроя России №675/пр от 21.09.2015 г.</t>
  </si>
  <si>
    <t>10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</si>
  <si>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</si>
  <si>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</si>
  <si>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</si>
  <si>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</si>
  <si>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11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</si>
  <si>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</si>
  <si>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</si>
  <si>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</si>
  <si>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</si>
  <si>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12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</si>
  <si>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</si>
  <si>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</si>
  <si>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</si>
  <si>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12,1</t>
  </si>
  <si>
    <t>Орлан Д Извещатель охранный оптико-электронный</t>
  </si>
  <si>
    <t>13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</si>
  <si>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</si>
  <si>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</si>
  <si>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</si>
  <si>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23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</si>
  <si>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</si>
  <si>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</si>
  <si>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</si>
  <si>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</si>
  <si>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</si>
  <si>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24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</si>
  <si>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</si>
  <si>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</si>
  <si>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</si>
  <si>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</si>
  <si>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</si>
  <si>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25</t>
  </si>
  <si>
    <t>цена поставщика</t>
  </si>
  <si>
    <t>БИГ 09 контрольный геркон (базисная стоимость 250,00=250)</t>
  </si>
  <si>
    <t>ШТ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</si>
  <si>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</si>
  <si>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</si>
  <si>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</si>
  <si>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</si>
  <si>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</si>
  <si>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</si>
  <si>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</si>
  <si>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</si>
  <si>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</si>
  <si>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</si>
  <si>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</si>
  <si>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</si>
  <si>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</si>
  <si>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</si>
  <si>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</si>
  <si>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</si>
  <si>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</si>
  <si>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</si>
  <si>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</si>
  <si>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</si>
  <si>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</si>
  <si>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</si>
  <si>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</si>
  <si>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</si>
  <si>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</si>
  <si>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</si>
  <si>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</si>
  <si>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</si>
  <si>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</si>
  <si>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</si>
  <si>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</si>
  <si>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</si>
  <si>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</si>
  <si>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</si>
  <si>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</si>
  <si>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</si>
  <si>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</si>
  <si>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</si>
  <si>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</si>
  <si>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</si>
  <si>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</si>
  <si>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</si>
  <si>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</si>
  <si>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</si>
  <si>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</si>
  <si>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</si>
  <si>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</si>
  <si>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</si>
  <si>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</si>
  <si>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</si>
  <si>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</si>
  <si>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</si>
  <si>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</si>
  <si>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</si>
  <si>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</si>
  <si>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</si>
  <si>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</si>
  <si>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</si>
  <si>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</si>
  <si>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</si>
  <si>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</si>
  <si>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</si>
  <si>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</si>
  <si>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</si>
  <si>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</si>
  <si>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</si>
  <si>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</si>
  <si>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</si>
  <si>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</si>
  <si>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</si>
  <si>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</si>
  <si>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</si>
  <si>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</si>
  <si>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</si>
  <si>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</si>
  <si>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</si>
  <si>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</si>
  <si>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</si>
  <si>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</si>
  <si>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</si>
  <si>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</si>
  <si>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</si>
  <si>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</si>
  <si>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</si>
  <si>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</si>
  <si>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</si>
  <si>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</si>
  <si>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</si>
  <si>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</si>
  <si>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</si>
  <si>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</si>
  <si>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</si>
  <si>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</si>
  <si>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</si>
  <si>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</si>
  <si>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</si>
  <si>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</si>
  <si>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</si>
  <si>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</si>
  <si>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</si>
  <si>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</si>
  <si>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</si>
  <si>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</si>
  <si>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</si>
  <si>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</si>
  <si>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</si>
  <si>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</si>
  <si>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</si>
  <si>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</si>
  <si>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</si>
  <si>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</si>
  <si>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</si>
  <si>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</si>
  <si>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</si>
  <si>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</si>
  <si>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</si>
  <si>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</si>
  <si>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</si>
  <si>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</si>
  <si>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</si>
  <si>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</si>
  <si>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</si>
  <si>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</si>
  <si>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</si>
  <si>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1-2043-90</t>
  </si>
  <si>
    <t>Рабочий монтажник среднего разряда 4,3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</si>
  <si>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</si>
  <si>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</si>
  <si>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</si>
  <si>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</si>
  <si>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</si>
  <si>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</si>
  <si>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</si>
  <si>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</si>
  <si>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</si>
  <si>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</si>
  <si>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</si>
  <si>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</si>
  <si>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</si>
  <si>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</si>
  <si>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</si>
  <si>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</si>
  <si>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</si>
  <si>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</si>
  <si>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</si>
  <si>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</si>
  <si>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</si>
  <si>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</si>
  <si>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</si>
  <si>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</si>
  <si>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</si>
  <si>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</si>
  <si>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1-2040-90</t>
  </si>
  <si>
    <t>Рабочий монтажник среднего разряда 4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</si>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</sst>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164" fontId="18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40"/>
  <sheetViews>
    <sheetView tabSelected="1" zoomScaleNormal="100" workbookViewId="0">
      <selection activeCell="A63" sqref="A63"/>
    </sheetView>
  </sheetViews>
  <sheetFormatPr defaultRowHeight="13.2"/>
  <cols>
    <col min="1" max="1" width="5.77734375" customWidth="1"/>
    <col min="2" max="2" width="11.77734375" customWidth="1"/>
    <col min="3" max="3" width="40.77734375" customWidth="1"/>
    <col min="4" max="5" width="10.77734375" customWidth="1"/>
    <col min="6" max="8" width="12.77734375" customWidth="1"/>
    <col min="9" max="9" width="17.77734375" customWidth="1"/>
    <col min="10" max="10" width="8.77734375" customWidth="1"/>
    <col min="11" max="11" width="12.77734375" customWidth="1"/>
    <col min="12" max="12" width="9.77734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3.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8">
      <c r="A3" s="12"/>
      <c r="B3" s="13" t="s">
        <v>299</v>
      </c>
      <c r="C3" s="13"/>
      <c r="D3" s="13"/>
      <c r="E3" s="13"/>
      <c r="F3" s="11"/>
      <c r="G3" s="11"/>
      <c r="H3" s="13" t="s">
        <v>300</v>
      </c>
      <c r="I3" s="13"/>
      <c r="J3" s="13"/>
      <c r="K3" s="13"/>
      <c r="L3" s="13"/>
    </row>
    <row r="4" spans="1:12" ht="13.8">
      <c r="A4" s="11"/>
      <c r="B4" s="14"/>
      <c r="C4" s="14"/>
      <c r="D4" s="14"/>
      <c r="E4" s="14"/>
      <c r="F4" s="11"/>
      <c r="G4" s="11"/>
      <c r="H4" s="14"/>
      <c r="I4" s="14"/>
      <c r="J4" s="14"/>
      <c r="K4" s="14"/>
      <c r="L4" s="14"/>
    </row>
    <row r="5" spans="1:12" ht="13.8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3.8">
      <c r="A6" s="17"/>
      <c r="B6" s="14" t="str">
        <f>CONCATENATE("______________________ ", IF(Source!AL12&lt;&gt;"", Source!AL12, ""))</f>
        <v xml:space="preserve">______________________ </v>
      </c>
      <c r="C6" s="14"/>
      <c r="D6" s="14"/>
      <c r="E6" s="14"/>
      <c r="F6" s="11"/>
      <c r="G6" s="11"/>
      <c r="H6" s="14" t="str">
        <f>CONCATENATE("______________________ ", IF(Source!AH12&lt;&gt;"", Source!AH12, ""))</f>
        <v xml:space="preserve">______________________ </v>
      </c>
      <c r="I6" s="14"/>
      <c r="J6" s="14"/>
      <c r="K6" s="14"/>
      <c r="L6" s="14"/>
    </row>
    <row r="7" spans="1:12" ht="13.8">
      <c r="A7" s="18"/>
      <c r="B7" s="19" t="s">
        <v>301</v>
      </c>
      <c r="C7" s="19"/>
      <c r="D7" s="19"/>
      <c r="E7" s="19"/>
      <c r="F7" s="11"/>
      <c r="G7" s="11"/>
      <c r="H7" s="19" t="s">
        <v>301</v>
      </c>
      <c r="I7" s="19"/>
      <c r="J7" s="19"/>
      <c r="K7" s="19"/>
      <c r="L7" s="19"/>
    </row>
    <row r="10" spans="1:12" ht="15.6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3.8">
      <c r="A11" s="21"/>
      <c r="B11" s="22" t="s">
        <v>302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3.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3.8">
      <c r="A13" s="11"/>
      <c r="B13" s="11"/>
      <c r="C13" s="11"/>
      <c r="D13" s="11"/>
      <c r="E13" s="11"/>
      <c r="F13" s="23" t="s">
        <v>303</v>
      </c>
      <c r="G13" s="23"/>
      <c r="H13" s="24" t="str">
        <f>IF(Source!F12&lt;&gt;"Новый объект", Source!F12, "")</f>
        <v/>
      </c>
      <c r="I13" s="24"/>
      <c r="J13" s="24"/>
      <c r="K13" s="24"/>
      <c r="L13" s="25"/>
    </row>
    <row r="14" spans="1:12" ht="13.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6">
      <c r="A15" s="26"/>
      <c r="B15" s="20" t="str">
        <f>CONCATENATE( "ЛОКАЛЬНАЯ СМЕТА № ",IF(Source!F12&lt;&gt;"Новый объект", Source!F12, ""))</f>
        <v xml:space="preserve">ЛОКАЛЬНАЯ СМЕТА № </v>
      </c>
      <c r="C15" s="20"/>
      <c r="D15" s="20"/>
      <c r="E15" s="20"/>
      <c r="F15" s="20"/>
      <c r="G15" s="20"/>
      <c r="H15" s="20"/>
      <c r="I15" s="20"/>
      <c r="J15" s="20"/>
      <c r="K15" s="20"/>
      <c r="L15" s="26"/>
    </row>
    <row r="16" spans="1:12" ht="15.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6"/>
    </row>
    <row r="17" spans="1:12" ht="17.399999999999999" hidden="1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/>
    </row>
    <row r="18" spans="1:12" ht="13.8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7.399999999999999">
      <c r="A19" s="11"/>
      <c r="B19" s="29" t="str">
        <f>IF(Source!G12&lt;&gt;"Новый объект", Source!G12, "")</f>
        <v>Дрезна  КТС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3.8">
      <c r="A20" s="11"/>
      <c r="B20" s="31" t="s">
        <v>304</v>
      </c>
      <c r="C20" s="31"/>
      <c r="D20" s="31"/>
      <c r="E20" s="31"/>
      <c r="F20" s="31"/>
      <c r="G20" s="31"/>
      <c r="H20" s="31"/>
      <c r="I20" s="31"/>
      <c r="J20" s="31"/>
      <c r="K20" s="31"/>
      <c r="L20" s="18"/>
    </row>
    <row r="21" spans="1:12" ht="13.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3.8">
      <c r="A22" s="24" t="str">
        <f>CONCATENATE("Основание: ", Source!J12)</f>
        <v xml:space="preserve">Основание: 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3.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3.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8">
      <c r="A25" s="11"/>
      <c r="B25" s="11"/>
      <c r="C25" s="11"/>
      <c r="D25" s="11"/>
      <c r="E25" s="32"/>
      <c r="F25" s="32"/>
      <c r="G25" s="33" t="s">
        <v>305</v>
      </c>
      <c r="H25" s="33"/>
      <c r="I25" s="33" t="s">
        <v>306</v>
      </c>
      <c r="J25" s="33"/>
      <c r="K25" s="11"/>
      <c r="L25" s="11"/>
    </row>
    <row r="26" spans="1:12" ht="13.8">
      <c r="A26" s="11"/>
      <c r="B26" s="11"/>
      <c r="C26" s="34" t="s">
        <v>307</v>
      </c>
      <c r="D26" s="34"/>
      <c r="E26" s="34"/>
      <c r="F26" s="34"/>
      <c r="G26" s="35">
        <f>SUM(O1:O128)/1000</f>
        <v>39.559590000000007</v>
      </c>
      <c r="H26" s="35"/>
      <c r="I26" s="35">
        <f>(Source!F103/1000)</f>
        <v>96.564440000000005</v>
      </c>
      <c r="J26" s="35"/>
      <c r="K26" s="36" t="s">
        <v>308</v>
      </c>
      <c r="L26" s="36"/>
    </row>
    <row r="27" spans="1:12" ht="13.8">
      <c r="A27" s="11"/>
      <c r="B27" s="11"/>
      <c r="C27" s="37" t="s">
        <v>309</v>
      </c>
      <c r="D27" s="37"/>
      <c r="E27" s="37"/>
      <c r="F27" s="37"/>
      <c r="G27" s="35">
        <f>SUM(W1:W128)/1000</f>
        <v>1.55</v>
      </c>
      <c r="H27" s="35"/>
      <c r="I27" s="35">
        <f>(Source!F90)/1000</f>
        <v>1.55</v>
      </c>
      <c r="J27" s="35"/>
      <c r="K27" s="36" t="s">
        <v>308</v>
      </c>
      <c r="L27" s="36"/>
    </row>
    <row r="28" spans="1:12" ht="13.8">
      <c r="A28" s="11"/>
      <c r="B28" s="11"/>
      <c r="C28" s="37" t="s">
        <v>310</v>
      </c>
      <c r="D28" s="37"/>
      <c r="E28" s="37"/>
      <c r="F28" s="37"/>
      <c r="G28" s="35">
        <f>SUM(X1:X128)/1000</f>
        <v>38.00959000000001</v>
      </c>
      <c r="H28" s="35"/>
      <c r="I28" s="35">
        <f>(Source!F91)/1000</f>
        <v>78.920369999999991</v>
      </c>
      <c r="J28" s="35"/>
      <c r="K28" s="36" t="s">
        <v>308</v>
      </c>
      <c r="L28" s="36"/>
    </row>
    <row r="29" spans="1:12" ht="13.8">
      <c r="A29" s="11"/>
      <c r="B29" s="11"/>
      <c r="C29" s="37" t="s">
        <v>311</v>
      </c>
      <c r="D29" s="37"/>
      <c r="E29" s="37"/>
      <c r="F29" s="37"/>
      <c r="G29" s="35">
        <f>SUM(Y1:Y128)/1000</f>
        <v>0</v>
      </c>
      <c r="H29" s="35"/>
      <c r="I29" s="35">
        <f>(Source!F82)/1000</f>
        <v>0</v>
      </c>
      <c r="J29" s="35"/>
      <c r="K29" s="36" t="s">
        <v>308</v>
      </c>
      <c r="L29" s="36"/>
    </row>
    <row r="30" spans="1:12" ht="13.8">
      <c r="A30" s="11"/>
      <c r="B30" s="11"/>
      <c r="C30" s="37" t="s">
        <v>312</v>
      </c>
      <c r="D30" s="37"/>
      <c r="E30" s="37"/>
      <c r="F30" s="37"/>
      <c r="G30" s="35">
        <f>SUM(Z1:Z128)/1000</f>
        <v>0</v>
      </c>
      <c r="H30" s="35"/>
      <c r="I30" s="35">
        <f>(Source!F92+Source!F93)/1000</f>
        <v>0</v>
      </c>
      <c r="J30" s="35"/>
      <c r="K30" s="36" t="s">
        <v>308</v>
      </c>
      <c r="L30" s="36"/>
    </row>
    <row r="31" spans="1:12" ht="13.8">
      <c r="A31" s="11"/>
      <c r="B31" s="11"/>
      <c r="C31" s="34" t="s">
        <v>313</v>
      </c>
      <c r="D31" s="34"/>
      <c r="E31" s="34"/>
      <c r="F31" s="34"/>
      <c r="G31" s="35">
        <f>I31</f>
        <v>47.11</v>
      </c>
      <c r="H31" s="35"/>
      <c r="I31" s="35">
        <f>(Source!F95+Source!F96)</f>
        <v>47.11</v>
      </c>
      <c r="J31" s="35"/>
      <c r="K31" s="36" t="s">
        <v>314</v>
      </c>
      <c r="L31" s="36"/>
    </row>
    <row r="32" spans="1:12" ht="13.8">
      <c r="A32" s="11"/>
      <c r="B32" s="11"/>
      <c r="C32" s="34" t="s">
        <v>315</v>
      </c>
      <c r="D32" s="34"/>
      <c r="E32" s="34"/>
      <c r="F32" s="34"/>
      <c r="G32" s="35">
        <f>SUM(R1:R128)/1000</f>
        <v>0.45588999999999991</v>
      </c>
      <c r="H32" s="35"/>
      <c r="I32" s="35">
        <f>(Source!F88+ Source!F87)/1000</f>
        <v>13.808909999999999</v>
      </c>
      <c r="J32" s="35"/>
      <c r="K32" s="36" t="s">
        <v>308</v>
      </c>
      <c r="L32" s="36"/>
    </row>
    <row r="33" spans="1:22" ht="13.8" hidden="1">
      <c r="A33" s="11"/>
      <c r="B33" s="11"/>
      <c r="C33" s="37" t="s">
        <v>136</v>
      </c>
      <c r="D33" s="37"/>
      <c r="E33" s="37"/>
      <c r="F33" s="37"/>
      <c r="G33" s="35"/>
      <c r="H33" s="35"/>
      <c r="I33" s="35"/>
      <c r="J33" s="35"/>
      <c r="K33" s="38" t="s">
        <v>308</v>
      </c>
      <c r="L33" s="11"/>
    </row>
    <row r="34" spans="1:22" ht="13.8">
      <c r="A34" s="11"/>
      <c r="B34" s="11"/>
      <c r="C34" s="39"/>
      <c r="D34" s="39"/>
      <c r="E34" s="39"/>
      <c r="F34" s="17"/>
      <c r="G34" s="40"/>
      <c r="H34" s="40"/>
      <c r="I34" s="40"/>
      <c r="J34" s="40"/>
      <c r="K34" s="40"/>
      <c r="L34" s="40"/>
    </row>
    <row r="35" spans="1:22" ht="15" hidden="1">
      <c r="A35" s="17" t="s">
        <v>316</v>
      </c>
      <c r="B35" s="11"/>
      <c r="C35" s="11"/>
      <c r="D35" s="15"/>
      <c r="E35" s="11"/>
      <c r="F35" s="11"/>
      <c r="G35" s="41"/>
      <c r="H35" s="41"/>
      <c r="I35" s="42"/>
      <c r="J35" s="41"/>
      <c r="K35" s="41"/>
      <c r="L35" s="41"/>
    </row>
    <row r="36" spans="1:22" ht="15" hidden="1">
      <c r="A36" s="17" t="s">
        <v>317</v>
      </c>
      <c r="B36" s="11"/>
      <c r="C36" s="11"/>
      <c r="D36" s="15"/>
      <c r="E36" s="11"/>
      <c r="F36" s="11"/>
      <c r="G36" s="41"/>
      <c r="H36" s="41"/>
      <c r="I36" s="42"/>
      <c r="J36" s="41"/>
      <c r="K36" s="41"/>
      <c r="L36" s="41"/>
    </row>
    <row r="37" spans="1:22" ht="15" hidden="1">
      <c r="A37" s="11"/>
      <c r="B37" s="11"/>
      <c r="C37" s="10"/>
      <c r="D37" s="10"/>
      <c r="E37" s="10"/>
      <c r="F37" s="10"/>
      <c r="G37" s="41"/>
      <c r="H37" s="41"/>
      <c r="I37" s="42"/>
      <c r="J37" s="41"/>
      <c r="K37" s="41"/>
      <c r="L37" s="41"/>
    </row>
    <row r="38" spans="1:22" ht="13.8">
      <c r="A38" s="43" t="s">
        <v>330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22" ht="55.2">
      <c r="A39" s="44" t="s">
        <v>318</v>
      </c>
      <c r="B39" s="44" t="s">
        <v>319</v>
      </c>
      <c r="C39" s="44" t="s">
        <v>320</v>
      </c>
      <c r="D39" s="44" t="s">
        <v>321</v>
      </c>
      <c r="E39" s="44" t="s">
        <v>322</v>
      </c>
      <c r="F39" s="44" t="s">
        <v>323</v>
      </c>
      <c r="G39" s="44" t="s">
        <v>324</v>
      </c>
      <c r="H39" s="44" t="s">
        <v>325</v>
      </c>
      <c r="I39" s="44" t="s">
        <v>326</v>
      </c>
      <c r="J39" s="44" t="s">
        <v>327</v>
      </c>
      <c r="K39" s="44" t="s">
        <v>328</v>
      </c>
      <c r="L39" s="44" t="s">
        <v>329</v>
      </c>
    </row>
    <row r="40" spans="1:22" ht="13.8">
      <c r="A40" s="45">
        <v>1</v>
      </c>
      <c r="B40" s="45">
        <v>2</v>
      </c>
      <c r="C40" s="45">
        <v>3</v>
      </c>
      <c r="D40" s="45">
        <v>4</v>
      </c>
      <c r="E40" s="45">
        <v>5</v>
      </c>
      <c r="F40" s="45">
        <v>6</v>
      </c>
      <c r="G40" s="45">
        <v>7</v>
      </c>
      <c r="H40" s="45">
        <v>8</v>
      </c>
      <c r="I40" s="45">
        <v>9</v>
      </c>
      <c r="J40" s="45">
        <v>10</v>
      </c>
      <c r="K40" s="45">
        <v>11</v>
      </c>
      <c r="L40" s="46">
        <v>12</v>
      </c>
    </row>
    <row r="42" spans="1:22" ht="16.8">
      <c r="A42" s="55" t="str">
        <f>CONCATENATE("Локальная смета: ",IF(Source!G20&lt;&gt;"Новая локальная смета", Source!G20, ""))</f>
        <v xml:space="preserve">Локальная смета: 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22" ht="41.4">
      <c r="A43" s="38" t="str">
        <f>Source!E24</f>
        <v>1</v>
      </c>
      <c r="B43" s="78" t="str">
        <f>Source!F24</f>
        <v>м10-08-001-1</v>
      </c>
      <c r="C43" s="78" t="str">
        <f>Source!G24</f>
        <v>Приборы ПС приемно-контрольные, пусковые, концентратор блок базовый на 10 лучей</v>
      </c>
      <c r="D43" s="58" t="str">
        <f>Source!H24</f>
        <v>1  ШТ.</v>
      </c>
      <c r="E43" s="10">
        <f>Source!I24</f>
        <v>1</v>
      </c>
      <c r="F43" s="59">
        <f>Source!AL24+Source!AM24+Source!AO24</f>
        <v>81.27000000000001</v>
      </c>
      <c r="G43" s="60"/>
      <c r="H43" s="61"/>
      <c r="I43" s="60" t="str">
        <f>Source!BO24</f>
        <v>м10-08-001-1</v>
      </c>
      <c r="J43" s="60"/>
      <c r="K43" s="61"/>
      <c r="L43" s="62"/>
      <c r="S43">
        <f>ROUND((Source!FX24/100)*((ROUND(Source!AF24*Source!I24, 2)+ROUND(Source!AE24*Source!I24, 2))), 2)</f>
        <v>57.94</v>
      </c>
      <c r="T43">
        <f>Source!X24</f>
        <v>1755.12</v>
      </c>
      <c r="U43">
        <f>ROUND((Source!FY24/100)*((ROUND(Source!AF24*Source!I24, 2)+ROUND(Source!AE24*Source!I24, 2))), 2)</f>
        <v>43.46</v>
      </c>
      <c r="V43">
        <f>Source!Y24</f>
        <v>1316.34</v>
      </c>
    </row>
    <row r="44" spans="1:22" ht="14.4">
      <c r="A44" s="38"/>
      <c r="B44" s="78"/>
      <c r="C44" s="78" t="s">
        <v>331</v>
      </c>
      <c r="D44" s="58"/>
      <c r="E44" s="10"/>
      <c r="F44" s="59">
        <f>Source!AO24</f>
        <v>72.430000000000007</v>
      </c>
      <c r="G44" s="60" t="str">
        <f>Source!DG24</f>
        <v/>
      </c>
      <c r="H44" s="61">
        <f>ROUND(Source!AF24*Source!I24, 2)</f>
        <v>72.430000000000007</v>
      </c>
      <c r="I44" s="60"/>
      <c r="J44" s="60">
        <f>IF(Source!BA24&lt;&gt; 0, Source!BA24, 1)</f>
        <v>30.29</v>
      </c>
      <c r="K44" s="61">
        <f>Source!S24</f>
        <v>2193.9</v>
      </c>
      <c r="L44" s="62"/>
      <c r="R44">
        <f>H44</f>
        <v>72.430000000000007</v>
      </c>
    </row>
    <row r="45" spans="1:22" ht="14.4">
      <c r="A45" s="38"/>
      <c r="B45" s="78"/>
      <c r="C45" s="78" t="s">
        <v>118</v>
      </c>
      <c r="D45" s="58"/>
      <c r="E45" s="10"/>
      <c r="F45" s="59">
        <f>Source!AM24</f>
        <v>0.31</v>
      </c>
      <c r="G45" s="60" t="str">
        <f>Source!DE24</f>
        <v/>
      </c>
      <c r="H45" s="61">
        <f>ROUND(Source!AD24*Source!I24, 2)</f>
        <v>0.31</v>
      </c>
      <c r="I45" s="60"/>
      <c r="J45" s="60">
        <f>IF(Source!BB24&lt;&gt; 0, Source!BB24, 1)</f>
        <v>3.74</v>
      </c>
      <c r="K45" s="61">
        <f>Source!Q24</f>
        <v>1.1599999999999999</v>
      </c>
      <c r="L45" s="62"/>
    </row>
    <row r="46" spans="1:22" ht="14.4">
      <c r="A46" s="38"/>
      <c r="B46" s="78"/>
      <c r="C46" s="78" t="s">
        <v>332</v>
      </c>
      <c r="D46" s="58"/>
      <c r="E46" s="10"/>
      <c r="F46" s="59">
        <f>Source!AL24</f>
        <v>8.5299999999999994</v>
      </c>
      <c r="G46" s="60" t="str">
        <f>Source!DD24</f>
        <v/>
      </c>
      <c r="H46" s="61">
        <f>ROUND(Source!AC24*Source!I24, 2)</f>
        <v>8.5299999999999994</v>
      </c>
      <c r="I46" s="60"/>
      <c r="J46" s="60">
        <f>IF(Source!BC24&lt;&gt; 0, Source!BC24, 1)</f>
        <v>10.7</v>
      </c>
      <c r="K46" s="61">
        <f>Source!P24</f>
        <v>91.27</v>
      </c>
      <c r="L46" s="62"/>
    </row>
    <row r="47" spans="1:22" ht="14.4">
      <c r="A47" s="38"/>
      <c r="B47" s="78"/>
      <c r="C47" s="78" t="s">
        <v>333</v>
      </c>
      <c r="D47" s="58" t="s">
        <v>334</v>
      </c>
      <c r="E47" s="10">
        <f>Source!BZ24</f>
        <v>80</v>
      </c>
      <c r="F47" s="81"/>
      <c r="G47" s="60"/>
      <c r="H47" s="61">
        <f>SUM(S43:S50)</f>
        <v>57.94</v>
      </c>
      <c r="I47" s="63"/>
      <c r="J47" s="56">
        <f>Source!AT24</f>
        <v>80</v>
      </c>
      <c r="K47" s="61">
        <f>SUM(T43:T50)</f>
        <v>1755.12</v>
      </c>
      <c r="L47" s="62"/>
    </row>
    <row r="48" spans="1:22" ht="14.4">
      <c r="A48" s="38"/>
      <c r="B48" s="78"/>
      <c r="C48" s="78" t="s">
        <v>335</v>
      </c>
      <c r="D48" s="58" t="s">
        <v>334</v>
      </c>
      <c r="E48" s="10">
        <f>Source!CA24</f>
        <v>60</v>
      </c>
      <c r="F48" s="81"/>
      <c r="G48" s="60"/>
      <c r="H48" s="61">
        <f>SUM(U43:U50)</f>
        <v>43.46</v>
      </c>
      <c r="I48" s="63"/>
      <c r="J48" s="56">
        <f>Source!AU24</f>
        <v>60</v>
      </c>
      <c r="K48" s="61">
        <f>SUM(V43:V50)</f>
        <v>1316.34</v>
      </c>
      <c r="L48" s="62"/>
    </row>
    <row r="49" spans="1:26" ht="14.4">
      <c r="A49" s="38"/>
      <c r="B49" s="78"/>
      <c r="C49" s="78" t="s">
        <v>336</v>
      </c>
      <c r="D49" s="58" t="s">
        <v>337</v>
      </c>
      <c r="E49" s="10">
        <f>Source!AQ24</f>
        <v>7.2</v>
      </c>
      <c r="F49" s="59"/>
      <c r="G49" s="60" t="str">
        <f>Source!DI24</f>
        <v/>
      </c>
      <c r="H49" s="61"/>
      <c r="I49" s="60"/>
      <c r="J49" s="60"/>
      <c r="K49" s="61"/>
      <c r="L49" s="64">
        <f>Source!U24</f>
        <v>7.2</v>
      </c>
    </row>
    <row r="50" spans="1:26" ht="41.4">
      <c r="A50" s="79" t="str">
        <f>Source!E25</f>
        <v>1,1</v>
      </c>
      <c r="B50" s="80" t="str">
        <f>Source!F25</f>
        <v>цена постовщика</v>
      </c>
      <c r="C50" s="80" t="str">
        <f>Source!G25</f>
        <v>ППКОП Юпитер 16IP/GPRS с УВС ТМ</v>
      </c>
      <c r="D50" s="65" t="str">
        <f>Source!H25</f>
        <v>1  шт.</v>
      </c>
      <c r="E50" s="66">
        <f>Source!I25</f>
        <v>1</v>
      </c>
      <c r="F50" s="67">
        <f>Source!AL25+Source!AM25+Source!AO25</f>
        <v>14116.67</v>
      </c>
      <c r="G50" s="68" t="s">
        <v>3</v>
      </c>
      <c r="H50" s="69">
        <f>ROUND(Source!AC25*Source!I25, 2)+ROUND(Source!AD25*Source!I25, 2)+ROUND(Source!AF25*Source!I25, 2)</f>
        <v>14116.67</v>
      </c>
      <c r="I50" s="70"/>
      <c r="J50" s="70">
        <f>IF(Source!BC25&lt;&gt; 0, Source!BC25, 1)</f>
        <v>1</v>
      </c>
      <c r="K50" s="69">
        <f>Source!O25</f>
        <v>14116.67</v>
      </c>
      <c r="L50" s="71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14116.67</v>
      </c>
      <c r="Y50">
        <f>IF(Source!BI25=3,H50, 0)</f>
        <v>0</v>
      </c>
      <c r="Z50">
        <f>IF(Source!BI25=4,H50, 0)</f>
        <v>0</v>
      </c>
    </row>
    <row r="51" spans="1:26" ht="13.8">
      <c r="G51" s="72">
        <f>H44+H45+H46+H47+H48+SUM(H50:H50)</f>
        <v>14299.34</v>
      </c>
      <c r="H51" s="72"/>
      <c r="J51" s="72">
        <f>K44+K45+K46+K47+K48+SUM(K50:K50)</f>
        <v>19474.46</v>
      </c>
      <c r="K51" s="72"/>
      <c r="L51" s="73">
        <f>Source!U24</f>
        <v>7.2</v>
      </c>
      <c r="O51" s="47">
        <f>G51</f>
        <v>14299.34</v>
      </c>
      <c r="P51" s="47">
        <f>J51</f>
        <v>19474.46</v>
      </c>
      <c r="Q51" s="47">
        <f>L51</f>
        <v>7.2</v>
      </c>
      <c r="W51">
        <f>IF(Source!BI24&lt;=1,H44+H45+H46+H47+H48, 0)</f>
        <v>0</v>
      </c>
      <c r="X51">
        <f>IF(Source!BI24=2,H44+H45+H46+H47+H48, 0)</f>
        <v>182.67000000000002</v>
      </c>
      <c r="Y51">
        <f>IF(Source!BI24=3,H44+H45+H46+H47+H48, 0)</f>
        <v>0</v>
      </c>
      <c r="Z51">
        <f>IF(Source!BI24=4,H44+H45+H46+H47+H48, 0)</f>
        <v>0</v>
      </c>
    </row>
    <row r="52" spans="1:26" ht="27.6">
      <c r="A52" s="38" t="str">
        <f>Source!E26</f>
        <v>2</v>
      </c>
      <c r="B52" s="78" t="str">
        <f>Source!F26</f>
        <v>м10-08-001-13</v>
      </c>
      <c r="C52" s="78" t="str">
        <f>Source!G26</f>
        <v>Устройства промежуточные на количество лучей 1</v>
      </c>
      <c r="D52" s="58" t="str">
        <f>Source!H26</f>
        <v>1  ШТ.</v>
      </c>
      <c r="E52" s="10">
        <f>Source!I26</f>
        <v>2</v>
      </c>
      <c r="F52" s="59">
        <f>Source!AL26+Source!AM26+Source!AO26</f>
        <v>15.79</v>
      </c>
      <c r="G52" s="60"/>
      <c r="H52" s="61"/>
      <c r="I52" s="60" t="str">
        <f>Source!BO26</f>
        <v>м10-08-001-13</v>
      </c>
      <c r="J52" s="60"/>
      <c r="K52" s="61"/>
      <c r="L52" s="62"/>
      <c r="S52">
        <f>ROUND((Source!FX26/100)*((ROUND(Source!AF26*Source!I26, 2)+ROUND(Source!AE26*Source!I26, 2))), 2)</f>
        <v>19.600000000000001</v>
      </c>
      <c r="T52">
        <f>Source!X26</f>
        <v>593.69000000000005</v>
      </c>
      <c r="U52">
        <f>ROUND((Source!FY26/100)*((ROUND(Source!AF26*Source!I26, 2)+ROUND(Source!AE26*Source!I26, 2))), 2)</f>
        <v>14.7</v>
      </c>
      <c r="V52">
        <f>Source!Y26</f>
        <v>445.27</v>
      </c>
    </row>
    <row r="53" spans="1:26" ht="14.4">
      <c r="A53" s="38"/>
      <c r="B53" s="78"/>
      <c r="C53" s="78" t="s">
        <v>331</v>
      </c>
      <c r="D53" s="58"/>
      <c r="E53" s="10"/>
      <c r="F53" s="59">
        <f>Source!AO26</f>
        <v>12.25</v>
      </c>
      <c r="G53" s="60" t="str">
        <f>Source!DG26</f>
        <v/>
      </c>
      <c r="H53" s="61">
        <f>ROUND(Source!AF26*Source!I26, 2)</f>
        <v>24.5</v>
      </c>
      <c r="I53" s="60"/>
      <c r="J53" s="60">
        <f>IF(Source!BA26&lt;&gt; 0, Source!BA26, 1)</f>
        <v>30.29</v>
      </c>
      <c r="K53" s="61">
        <f>Source!S26</f>
        <v>742.11</v>
      </c>
      <c r="L53" s="62"/>
      <c r="R53">
        <f>H53</f>
        <v>24.5</v>
      </c>
    </row>
    <row r="54" spans="1:26" ht="14.4">
      <c r="A54" s="38"/>
      <c r="B54" s="78"/>
      <c r="C54" s="78" t="s">
        <v>118</v>
      </c>
      <c r="D54" s="58"/>
      <c r="E54" s="10"/>
      <c r="F54" s="59">
        <f>Source!AM26</f>
        <v>0.25</v>
      </c>
      <c r="G54" s="60" t="str">
        <f>Source!DE26</f>
        <v/>
      </c>
      <c r="H54" s="61">
        <f>ROUND(Source!AD26*Source!I26, 2)</f>
        <v>0.5</v>
      </c>
      <c r="I54" s="60"/>
      <c r="J54" s="60">
        <f>IF(Source!BB26&lt;&gt; 0, Source!BB26, 1)</f>
        <v>3.76</v>
      </c>
      <c r="K54" s="61">
        <f>Source!Q26</f>
        <v>1.88</v>
      </c>
      <c r="L54" s="62"/>
    </row>
    <row r="55" spans="1:26" ht="14.4">
      <c r="A55" s="38"/>
      <c r="B55" s="78"/>
      <c r="C55" s="78" t="s">
        <v>332</v>
      </c>
      <c r="D55" s="58"/>
      <c r="E55" s="10"/>
      <c r="F55" s="59">
        <f>Source!AL26</f>
        <v>3.29</v>
      </c>
      <c r="G55" s="60" t="str">
        <f>Source!DD26</f>
        <v/>
      </c>
      <c r="H55" s="61">
        <f>ROUND(Source!AC26*Source!I26, 2)</f>
        <v>6.58</v>
      </c>
      <c r="I55" s="60"/>
      <c r="J55" s="60">
        <f>IF(Source!BC26&lt;&gt; 0, Source!BC26, 1)</f>
        <v>6.48</v>
      </c>
      <c r="K55" s="61">
        <f>Source!P26</f>
        <v>42.64</v>
      </c>
      <c r="L55" s="62"/>
    </row>
    <row r="56" spans="1:26" ht="14.4">
      <c r="A56" s="38"/>
      <c r="B56" s="78"/>
      <c r="C56" s="78" t="s">
        <v>333</v>
      </c>
      <c r="D56" s="58" t="s">
        <v>334</v>
      </c>
      <c r="E56" s="10">
        <f>Source!BZ26</f>
        <v>80</v>
      </c>
      <c r="F56" s="81"/>
      <c r="G56" s="60"/>
      <c r="H56" s="61">
        <f>SUM(S52:S60)</f>
        <v>19.600000000000001</v>
      </c>
      <c r="I56" s="63"/>
      <c r="J56" s="56">
        <f>Source!AT26</f>
        <v>80</v>
      </c>
      <c r="K56" s="61">
        <f>SUM(T52:T60)</f>
        <v>593.69000000000005</v>
      </c>
      <c r="L56" s="62"/>
    </row>
    <row r="57" spans="1:26" ht="14.4">
      <c r="A57" s="38"/>
      <c r="B57" s="78"/>
      <c r="C57" s="78" t="s">
        <v>335</v>
      </c>
      <c r="D57" s="58" t="s">
        <v>334</v>
      </c>
      <c r="E57" s="10">
        <f>Source!CA26</f>
        <v>60</v>
      </c>
      <c r="F57" s="81"/>
      <c r="G57" s="60"/>
      <c r="H57" s="61">
        <f>SUM(U52:U60)</f>
        <v>14.7</v>
      </c>
      <c r="I57" s="63"/>
      <c r="J57" s="56">
        <f>Source!AU26</f>
        <v>60</v>
      </c>
      <c r="K57" s="61">
        <f>SUM(V52:V60)</f>
        <v>445.27</v>
      </c>
      <c r="L57" s="62"/>
    </row>
    <row r="58" spans="1:26" ht="14.4">
      <c r="A58" s="38"/>
      <c r="B58" s="78"/>
      <c r="C58" s="78" t="s">
        <v>336</v>
      </c>
      <c r="D58" s="58" t="s">
        <v>337</v>
      </c>
      <c r="E58" s="10">
        <f>Source!AQ26</f>
        <v>1.2</v>
      </c>
      <c r="F58" s="59"/>
      <c r="G58" s="60" t="str">
        <f>Source!DI26</f>
        <v/>
      </c>
      <c r="H58" s="61"/>
      <c r="I58" s="60"/>
      <c r="J58" s="60"/>
      <c r="K58" s="61"/>
      <c r="L58" s="64">
        <f>Source!U26</f>
        <v>2.4</v>
      </c>
    </row>
    <row r="59" spans="1:26" ht="41.4">
      <c r="A59" s="38" t="str">
        <f>Source!E27</f>
        <v>2,1</v>
      </c>
      <c r="B59" s="78" t="str">
        <f>Source!F27</f>
        <v>цена постовщика</v>
      </c>
      <c r="C59" s="78" t="str">
        <f>Source!G27</f>
        <v>РИП 12 исп 16 блок питани</v>
      </c>
      <c r="D59" s="58" t="str">
        <f>Source!H27</f>
        <v/>
      </c>
      <c r="E59" s="10">
        <f>Source!I27</f>
        <v>2</v>
      </c>
      <c r="F59" s="59">
        <f>Source!AL27+Source!AM27+Source!AO27</f>
        <v>3822.33</v>
      </c>
      <c r="G59" s="74" t="s">
        <v>3</v>
      </c>
      <c r="H59" s="61">
        <f>ROUND(Source!AC27*Source!I27, 2)+ROUND(Source!AD27*Source!I27, 2)+ROUND(Source!AF27*Source!I27, 2)</f>
        <v>7644.66</v>
      </c>
      <c r="I59" s="60"/>
      <c r="J59" s="60">
        <f>IF(Source!BC27&lt;&gt; 0, Source!BC27, 1)</f>
        <v>1</v>
      </c>
      <c r="K59" s="61">
        <f>Source!O27</f>
        <v>7644.66</v>
      </c>
      <c r="L59" s="62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  <c r="W59">
        <f>IF(Source!BI27&lt;=1,H59, 0)</f>
        <v>0</v>
      </c>
      <c r="X59">
        <f>IF(Source!BI27=2,H59, 0)</f>
        <v>7644.66</v>
      </c>
      <c r="Y59">
        <f>IF(Source!BI27=3,H59, 0)</f>
        <v>0</v>
      </c>
      <c r="Z59">
        <f>IF(Source!BI27=4,H59, 0)</f>
        <v>0</v>
      </c>
    </row>
    <row r="60" spans="1:26" ht="41.4">
      <c r="A60" s="79" t="str">
        <f>Source!E28</f>
        <v>2,2</v>
      </c>
      <c r="B60" s="80" t="str">
        <f>Source!F28</f>
        <v>цена постовщика</v>
      </c>
      <c r="C60" s="80" t="str">
        <f>Source!G28</f>
        <v>Антенна  Антей GSM- mini</v>
      </c>
      <c r="D60" s="65" t="str">
        <f>Source!H28</f>
        <v/>
      </c>
      <c r="E60" s="66">
        <f>Source!I28</f>
        <v>2</v>
      </c>
      <c r="F60" s="67">
        <f>Source!AL28+Source!AM28+Source!AO28</f>
        <v>382.67</v>
      </c>
      <c r="G60" s="68" t="s">
        <v>3</v>
      </c>
      <c r="H60" s="69">
        <f>ROUND(Source!AC28*Source!I28, 2)+ROUND(Source!AD28*Source!I28, 2)+ROUND(Source!AF28*Source!I28, 2)</f>
        <v>765.34</v>
      </c>
      <c r="I60" s="70"/>
      <c r="J60" s="70">
        <f>IF(Source!BC28&lt;&gt; 0, Source!BC28, 1)</f>
        <v>1</v>
      </c>
      <c r="K60" s="69">
        <f>Source!O28</f>
        <v>765.34</v>
      </c>
      <c r="L60" s="71"/>
      <c r="S60">
        <f>ROUND((Source!FX28/100)*((ROUND(Source!AF28*Source!I28, 2)+ROUND(Source!AE28*Source!I28, 2))), 2)</f>
        <v>0</v>
      </c>
      <c r="T60">
        <f>Source!X28</f>
        <v>0</v>
      </c>
      <c r="U60">
        <f>ROUND((Source!FY28/100)*((ROUND(Source!AF28*Source!I28, 2)+ROUND(Source!AE28*Source!I28, 2))), 2)</f>
        <v>0</v>
      </c>
      <c r="V60">
        <f>Source!Y28</f>
        <v>0</v>
      </c>
      <c r="W60">
        <f>IF(Source!BI28&lt;=1,H60, 0)</f>
        <v>0</v>
      </c>
      <c r="X60">
        <f>IF(Source!BI28=2,H60, 0)</f>
        <v>765.34</v>
      </c>
      <c r="Y60">
        <f>IF(Source!BI28=3,H60, 0)</f>
        <v>0</v>
      </c>
      <c r="Z60">
        <f>IF(Source!BI28=4,H60, 0)</f>
        <v>0</v>
      </c>
    </row>
    <row r="61" spans="1:26" ht="13.8">
      <c r="G61" s="72">
        <f>H53+H54+H55+H56+H57+SUM(H59:H60)</f>
        <v>8475.8799999999992</v>
      </c>
      <c r="H61" s="72"/>
      <c r="J61" s="72">
        <f>K53+K54+K55+K56+K57+SUM(K59:K60)</f>
        <v>10235.59</v>
      </c>
      <c r="K61" s="72"/>
      <c r="L61" s="73">
        <f>Source!U26</f>
        <v>2.4</v>
      </c>
      <c r="O61" s="47">
        <f>G61</f>
        <v>8475.8799999999992</v>
      </c>
      <c r="P61" s="47">
        <f>J61</f>
        <v>10235.59</v>
      </c>
      <c r="Q61" s="47">
        <f>L61</f>
        <v>2.4</v>
      </c>
      <c r="W61">
        <f>IF(Source!BI26&lt;=1,H53+H54+H55+H56+H57, 0)</f>
        <v>0</v>
      </c>
      <c r="X61">
        <f>IF(Source!BI26=2,H53+H54+H55+H56+H57, 0)</f>
        <v>65.88</v>
      </c>
      <c r="Y61">
        <f>IF(Source!BI26=3,H53+H54+H55+H56+H57, 0)</f>
        <v>0</v>
      </c>
      <c r="Z61">
        <f>IF(Source!BI26=4,H53+H54+H55+H56+H57, 0)</f>
        <v>0</v>
      </c>
    </row>
    <row r="62" spans="1:26" ht="27.6">
      <c r="A62" s="79" t="str">
        <f>Source!E29</f>
        <v>4</v>
      </c>
      <c r="B62" s="80" t="str">
        <f>Source!F29</f>
        <v>509-1945</v>
      </c>
      <c r="C62" s="80" t="str">
        <f>Source!G29</f>
        <v>Радиобрелок управления 5804 4-х кнопочный</v>
      </c>
      <c r="D62" s="65" t="str">
        <f>Source!H29</f>
        <v>шт.</v>
      </c>
      <c r="E62" s="66">
        <f>Source!I29</f>
        <v>2</v>
      </c>
      <c r="F62" s="67">
        <f>Source!AL29</f>
        <v>463.48</v>
      </c>
      <c r="G62" s="70" t="str">
        <f>Source!DD29</f>
        <v/>
      </c>
      <c r="H62" s="69">
        <f>ROUND(Source!AC29*Source!I29, 2)</f>
        <v>926.96</v>
      </c>
      <c r="I62" s="70" t="str">
        <f>Source!BO29</f>
        <v>509-1945</v>
      </c>
      <c r="J62" s="70">
        <f>IF(Source!BC29&lt;&gt; 0, Source!BC29, 1)</f>
        <v>6.3</v>
      </c>
      <c r="K62" s="69">
        <f>Source!P29</f>
        <v>5839.85</v>
      </c>
      <c r="L62" s="71"/>
      <c r="S62">
        <f>ROUND((Source!FX29/100)*((ROUND(Source!AF29*Source!I29, 2)+ROUND(Source!AE29*Source!I29, 2))), 2)</f>
        <v>0</v>
      </c>
      <c r="T62">
        <f>Source!X29</f>
        <v>0</v>
      </c>
      <c r="U62">
        <f>ROUND((Source!FY29/100)*((ROUND(Source!AF29*Source!I29, 2)+ROUND(Source!AE29*Source!I29, 2))), 2)</f>
        <v>0</v>
      </c>
      <c r="V62">
        <f>Source!Y29</f>
        <v>0</v>
      </c>
    </row>
    <row r="63" spans="1:26" ht="13.8">
      <c r="G63" s="72">
        <f>H62</f>
        <v>926.96</v>
      </c>
      <c r="H63" s="72"/>
      <c r="J63" s="72">
        <f>K62</f>
        <v>5839.85</v>
      </c>
      <c r="K63" s="72"/>
      <c r="L63" s="73">
        <f>Source!U29</f>
        <v>0</v>
      </c>
      <c r="O63" s="47">
        <f>G63</f>
        <v>926.96</v>
      </c>
      <c r="P63" s="47">
        <f>J63</f>
        <v>5839.85</v>
      </c>
      <c r="Q63" s="47">
        <f>L63</f>
        <v>0</v>
      </c>
      <c r="W63">
        <f>IF(Source!BI29&lt;=1,H62, 0)</f>
        <v>0</v>
      </c>
      <c r="X63">
        <f>IF(Source!BI29=2,H62, 0)</f>
        <v>926.96</v>
      </c>
      <c r="Y63">
        <f>IF(Source!BI29=3,H62, 0)</f>
        <v>0</v>
      </c>
      <c r="Z63">
        <f>IF(Source!BI29=4,H62, 0)</f>
        <v>0</v>
      </c>
    </row>
    <row r="64" spans="1:26" ht="69">
      <c r="A64" s="38" t="str">
        <f>Source!E30</f>
        <v>5</v>
      </c>
      <c r="B64" s="78" t="str">
        <f>Source!F30</f>
        <v>м08-01-081-1</v>
      </c>
      <c r="C64" s="78" t="str">
        <f>Source!G30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64" s="58" t="str">
        <f>Source!H30</f>
        <v>1  ШТ.</v>
      </c>
      <c r="E64" s="10">
        <f>Source!I30</f>
        <v>1</v>
      </c>
      <c r="F64" s="59">
        <f>Source!AL30+Source!AM30+Source!AO30</f>
        <v>20.5</v>
      </c>
      <c r="G64" s="60"/>
      <c r="H64" s="61"/>
      <c r="I64" s="60" t="str">
        <f>Source!BO30</f>
        <v>м08-01-081-1</v>
      </c>
      <c r="J64" s="60"/>
      <c r="K64" s="61"/>
      <c r="L64" s="62"/>
      <c r="S64">
        <f>ROUND((Source!FX30/100)*((ROUND(Source!AF30*Source!I30, 2)+ROUND(Source!AE30*Source!I30, 2))), 2)</f>
        <v>10.84</v>
      </c>
      <c r="T64">
        <f>Source!X30</f>
        <v>328.33</v>
      </c>
      <c r="U64">
        <f>ROUND((Source!FY30/100)*((ROUND(Source!AF30*Source!I30, 2)+ROUND(Source!AE30*Source!I30, 2))), 2)</f>
        <v>7.42</v>
      </c>
      <c r="V64">
        <f>Source!Y30</f>
        <v>224.65</v>
      </c>
    </row>
    <row r="65" spans="1:26" ht="14.4">
      <c r="A65" s="38"/>
      <c r="B65" s="78"/>
      <c r="C65" s="78" t="s">
        <v>331</v>
      </c>
      <c r="D65" s="58"/>
      <c r="E65" s="10"/>
      <c r="F65" s="59">
        <f>Source!AO30</f>
        <v>10.87</v>
      </c>
      <c r="G65" s="60" t="str">
        <f>Source!DG30</f>
        <v/>
      </c>
      <c r="H65" s="61">
        <f>ROUND(Source!AF30*Source!I30, 2)</f>
        <v>10.87</v>
      </c>
      <c r="I65" s="60"/>
      <c r="J65" s="60">
        <f>IF(Source!BA30&lt;&gt; 0, Source!BA30, 1)</f>
        <v>30.29</v>
      </c>
      <c r="K65" s="61">
        <f>Source!S30</f>
        <v>329.25</v>
      </c>
      <c r="L65" s="62"/>
      <c r="R65">
        <f>H65</f>
        <v>10.87</v>
      </c>
    </row>
    <row r="66" spans="1:26" ht="14.4">
      <c r="A66" s="38"/>
      <c r="B66" s="78"/>
      <c r="C66" s="78" t="s">
        <v>118</v>
      </c>
      <c r="D66" s="58"/>
      <c r="E66" s="10"/>
      <c r="F66" s="59">
        <f>Source!AM30</f>
        <v>8.8699999999999992</v>
      </c>
      <c r="G66" s="60" t="str">
        <f>Source!DE30</f>
        <v/>
      </c>
      <c r="H66" s="61">
        <f>ROUND(Source!AD30*Source!I30, 2)</f>
        <v>8.8699999999999992</v>
      </c>
      <c r="I66" s="60"/>
      <c r="J66" s="60">
        <f>IF(Source!BB30&lt;&gt; 0, Source!BB30, 1)</f>
        <v>8.77</v>
      </c>
      <c r="K66" s="61">
        <f>Source!Q30</f>
        <v>77.790000000000006</v>
      </c>
      <c r="L66" s="62"/>
    </row>
    <row r="67" spans="1:26" ht="14.4">
      <c r="A67" s="38"/>
      <c r="B67" s="78"/>
      <c r="C67" s="78" t="s">
        <v>338</v>
      </c>
      <c r="D67" s="58"/>
      <c r="E67" s="10"/>
      <c r="F67" s="59">
        <f>Source!AN30</f>
        <v>0.54</v>
      </c>
      <c r="G67" s="60" t="str">
        <f>Source!DF30</f>
        <v/>
      </c>
      <c r="H67" s="75">
        <f>ROUND(Source!AE30*Source!I30, 2)</f>
        <v>0.54</v>
      </c>
      <c r="I67" s="60"/>
      <c r="J67" s="60">
        <f>IF(Source!BS30&lt;&gt; 0, Source!BS30, 1)</f>
        <v>30.29</v>
      </c>
      <c r="K67" s="75">
        <f>Source!R30</f>
        <v>16.36</v>
      </c>
      <c r="L67" s="62"/>
      <c r="R67">
        <f>H67</f>
        <v>0.54</v>
      </c>
    </row>
    <row r="68" spans="1:26" ht="14.4">
      <c r="A68" s="38"/>
      <c r="B68" s="78"/>
      <c r="C68" s="78" t="s">
        <v>332</v>
      </c>
      <c r="D68" s="58"/>
      <c r="E68" s="10"/>
      <c r="F68" s="59">
        <f>Source!AL30</f>
        <v>0.76</v>
      </c>
      <c r="G68" s="60" t="str">
        <f>Source!DD30</f>
        <v/>
      </c>
      <c r="H68" s="61">
        <f>ROUND(Source!AC30*Source!I30, 2)</f>
        <v>0.76</v>
      </c>
      <c r="I68" s="60"/>
      <c r="J68" s="60">
        <f>IF(Source!BC30&lt;&gt; 0, Source!BC30, 1)</f>
        <v>14.96</v>
      </c>
      <c r="K68" s="61">
        <f>Source!P30</f>
        <v>11.37</v>
      </c>
      <c r="L68" s="62"/>
    </row>
    <row r="69" spans="1:26" ht="14.4">
      <c r="A69" s="38"/>
      <c r="B69" s="78"/>
      <c r="C69" s="78" t="s">
        <v>333</v>
      </c>
      <c r="D69" s="58" t="s">
        <v>334</v>
      </c>
      <c r="E69" s="10">
        <f>Source!BZ30</f>
        <v>95</v>
      </c>
      <c r="F69" s="81"/>
      <c r="G69" s="60"/>
      <c r="H69" s="61">
        <f>SUM(S64:S71)</f>
        <v>10.84</v>
      </c>
      <c r="I69" s="63"/>
      <c r="J69" s="56">
        <f>Source!AT30</f>
        <v>95</v>
      </c>
      <c r="K69" s="61">
        <f>SUM(T64:T71)</f>
        <v>328.33</v>
      </c>
      <c r="L69" s="62"/>
    </row>
    <row r="70" spans="1:26" ht="14.4">
      <c r="A70" s="38"/>
      <c r="B70" s="78"/>
      <c r="C70" s="78" t="s">
        <v>335</v>
      </c>
      <c r="D70" s="58" t="s">
        <v>334</v>
      </c>
      <c r="E70" s="10">
        <f>Source!CA30</f>
        <v>65</v>
      </c>
      <c r="F70" s="81"/>
      <c r="G70" s="60"/>
      <c r="H70" s="61">
        <f>SUM(U64:U71)</f>
        <v>7.42</v>
      </c>
      <c r="I70" s="63"/>
      <c r="J70" s="56">
        <f>Source!AU30</f>
        <v>65</v>
      </c>
      <c r="K70" s="61">
        <f>SUM(V64:V71)</f>
        <v>224.65</v>
      </c>
      <c r="L70" s="62"/>
    </row>
    <row r="71" spans="1:26" ht="14.4">
      <c r="A71" s="79"/>
      <c r="B71" s="80"/>
      <c r="C71" s="80" t="s">
        <v>336</v>
      </c>
      <c r="D71" s="65" t="s">
        <v>337</v>
      </c>
      <c r="E71" s="66">
        <f>Source!AQ30</f>
        <v>1.1299999999999999</v>
      </c>
      <c r="F71" s="67"/>
      <c r="G71" s="70" t="str">
        <f>Source!DI30</f>
        <v/>
      </c>
      <c r="H71" s="69"/>
      <c r="I71" s="70"/>
      <c r="J71" s="70"/>
      <c r="K71" s="69"/>
      <c r="L71" s="76">
        <f>Source!U30</f>
        <v>1.1299999999999999</v>
      </c>
    </row>
    <row r="72" spans="1:26" ht="13.8">
      <c r="G72" s="72">
        <f>H65+H66+H68+H69+H70</f>
        <v>38.76</v>
      </c>
      <c r="H72" s="72"/>
      <c r="J72" s="72">
        <f>K65+K66+K68+K69+K70</f>
        <v>971.39</v>
      </c>
      <c r="K72" s="72"/>
      <c r="L72" s="73">
        <f>Source!U30</f>
        <v>1.1299999999999999</v>
      </c>
      <c r="O72" s="47">
        <f>G72</f>
        <v>38.76</v>
      </c>
      <c r="P72" s="47">
        <f>J72</f>
        <v>971.39</v>
      </c>
      <c r="Q72" s="47">
        <f>L72</f>
        <v>1.1299999999999999</v>
      </c>
      <c r="W72">
        <f>IF(Source!BI30&lt;=1,H65+H66+H68+H69+H70, 0)</f>
        <v>0</v>
      </c>
      <c r="X72">
        <f>IF(Source!BI30=2,H65+H66+H68+H69+H70, 0)</f>
        <v>38.76</v>
      </c>
      <c r="Y72">
        <f>IF(Source!BI30=3,H65+H66+H68+H69+H70, 0)</f>
        <v>0</v>
      </c>
      <c r="Z72">
        <f>IF(Source!BI30=4,H65+H66+H68+H69+H70, 0)</f>
        <v>0</v>
      </c>
    </row>
    <row r="73" spans="1:26" ht="27.6">
      <c r="A73" s="79" t="str">
        <f>Source!E31</f>
        <v>6</v>
      </c>
      <c r="B73" s="80" t="str">
        <f>Source!F31</f>
        <v>509-3827</v>
      </c>
      <c r="C73" s="80" t="str">
        <f>Source!G31</f>
        <v>Кнопка тревожной сигнализации с фиксацией Астра-321</v>
      </c>
      <c r="D73" s="65" t="str">
        <f>Source!H31</f>
        <v>шт.</v>
      </c>
      <c r="E73" s="66">
        <f>Source!I31</f>
        <v>1</v>
      </c>
      <c r="F73" s="67">
        <f>Source!AL31</f>
        <v>45.61</v>
      </c>
      <c r="G73" s="70" t="str">
        <f>Source!DD31</f>
        <v/>
      </c>
      <c r="H73" s="69">
        <f>ROUND(Source!AC31*Source!I31, 2)</f>
        <v>45.61</v>
      </c>
      <c r="I73" s="70" t="str">
        <f>Source!BO31</f>
        <v>509-3827</v>
      </c>
      <c r="J73" s="70">
        <f>IF(Source!BC31&lt;&gt; 0, Source!BC31, 1)</f>
        <v>4.67</v>
      </c>
      <c r="K73" s="69">
        <f>Source!P31</f>
        <v>213</v>
      </c>
      <c r="L73" s="71"/>
      <c r="S73">
        <f>ROUND((Source!FX31/100)*((ROUND(Source!AF31*Source!I31, 2)+ROUND(Source!AE31*Source!I31, 2))), 2)</f>
        <v>0</v>
      </c>
      <c r="T73">
        <f>Source!X31</f>
        <v>0</v>
      </c>
      <c r="U73">
        <f>ROUND((Source!FY31/100)*((ROUND(Source!AF31*Source!I31, 2)+ROUND(Source!AE31*Source!I31, 2))), 2)</f>
        <v>0</v>
      </c>
      <c r="V73">
        <f>Source!Y31</f>
        <v>0</v>
      </c>
    </row>
    <row r="74" spans="1:26" ht="13.8">
      <c r="G74" s="72">
        <f>H73</f>
        <v>45.61</v>
      </c>
      <c r="H74" s="72"/>
      <c r="J74" s="72">
        <f>K73</f>
        <v>213</v>
      </c>
      <c r="K74" s="72"/>
      <c r="L74" s="73">
        <f>Source!U31</f>
        <v>0</v>
      </c>
      <c r="O74" s="47">
        <f>G74</f>
        <v>45.61</v>
      </c>
      <c r="P74" s="47">
        <f>J74</f>
        <v>213</v>
      </c>
      <c r="Q74" s="47">
        <f>L74</f>
        <v>0</v>
      </c>
      <c r="W74">
        <f>IF(Source!BI31&lt;=1,H73, 0)</f>
        <v>0</v>
      </c>
      <c r="X74">
        <f>IF(Source!BI31=2,H73, 0)</f>
        <v>45.61</v>
      </c>
      <c r="Y74">
        <f>IF(Source!BI31=3,H73, 0)</f>
        <v>0</v>
      </c>
      <c r="Z74">
        <f>IF(Source!BI31=4,H73, 0)</f>
        <v>0</v>
      </c>
    </row>
    <row r="75" spans="1:26" ht="41.4">
      <c r="A75" s="38" t="str">
        <f>Source!E32</f>
        <v>7</v>
      </c>
      <c r="B75" s="78" t="str">
        <f>Source!F32</f>
        <v>м10-08-002-4</v>
      </c>
      <c r="C75" s="78" t="str">
        <f>Source!G32</f>
        <v>Извещатель ОС автоматический контактный, магнитоконтактный на открывание окон, дверей</v>
      </c>
      <c r="D75" s="58" t="str">
        <f>Source!H32</f>
        <v>1  ШТ.</v>
      </c>
      <c r="E75" s="10">
        <f>Source!I32</f>
        <v>10</v>
      </c>
      <c r="F75" s="59">
        <f>Source!AL32+Source!AM32+Source!AO32</f>
        <v>9.9600000000000009</v>
      </c>
      <c r="G75" s="60"/>
      <c r="H75" s="61"/>
      <c r="I75" s="60" t="str">
        <f>Source!BO32</f>
        <v>м10-08-002-4</v>
      </c>
      <c r="J75" s="60"/>
      <c r="K75" s="61"/>
      <c r="L75" s="62"/>
      <c r="S75">
        <f>ROUND((Source!FX32/100)*((ROUND(Source!AF32*Source!I32, 2)+ROUND(Source!AE32*Source!I32, 2))), 2)</f>
        <v>64.64</v>
      </c>
      <c r="T75">
        <f>Source!X32</f>
        <v>1957.94</v>
      </c>
      <c r="U75">
        <f>ROUND((Source!FY32/100)*((ROUND(Source!AF32*Source!I32, 2)+ROUND(Source!AE32*Source!I32, 2))), 2)</f>
        <v>48.48</v>
      </c>
      <c r="V75">
        <f>Source!Y32</f>
        <v>1468.46</v>
      </c>
    </row>
    <row r="76" spans="1:26" ht="14.4">
      <c r="A76" s="38"/>
      <c r="B76" s="78"/>
      <c r="C76" s="78" t="s">
        <v>331</v>
      </c>
      <c r="D76" s="58"/>
      <c r="E76" s="10"/>
      <c r="F76" s="59">
        <f>Source!AO32</f>
        <v>8.08</v>
      </c>
      <c r="G76" s="60" t="str">
        <f>Source!DG32</f>
        <v/>
      </c>
      <c r="H76" s="61">
        <f>ROUND(Source!AF32*Source!I32, 2)</f>
        <v>80.8</v>
      </c>
      <c r="I76" s="60"/>
      <c r="J76" s="60">
        <f>IF(Source!BA32&lt;&gt; 0, Source!BA32, 1)</f>
        <v>30.29</v>
      </c>
      <c r="K76" s="61">
        <f>Source!S32</f>
        <v>2447.4299999999998</v>
      </c>
      <c r="L76" s="62"/>
      <c r="R76">
        <f>H76</f>
        <v>80.8</v>
      </c>
    </row>
    <row r="77" spans="1:26" ht="14.4">
      <c r="A77" s="38"/>
      <c r="B77" s="78"/>
      <c r="C77" s="78" t="s">
        <v>332</v>
      </c>
      <c r="D77" s="58"/>
      <c r="E77" s="10"/>
      <c r="F77" s="59">
        <f>Source!AL32</f>
        <v>1.88</v>
      </c>
      <c r="G77" s="60" t="str">
        <f>Source!DD32</f>
        <v/>
      </c>
      <c r="H77" s="61">
        <f>ROUND(Source!AC32*Source!I32, 2)</f>
        <v>18.8</v>
      </c>
      <c r="I77" s="60"/>
      <c r="J77" s="60">
        <f>IF(Source!BC32&lt;&gt; 0, Source!BC32, 1)</f>
        <v>9.6</v>
      </c>
      <c r="K77" s="61">
        <f>Source!P32</f>
        <v>180.48</v>
      </c>
      <c r="L77" s="62"/>
    </row>
    <row r="78" spans="1:26" ht="14.4">
      <c r="A78" s="38"/>
      <c r="B78" s="78"/>
      <c r="C78" s="78" t="s">
        <v>333</v>
      </c>
      <c r="D78" s="58" t="s">
        <v>334</v>
      </c>
      <c r="E78" s="10">
        <f>Source!BZ32</f>
        <v>80</v>
      </c>
      <c r="F78" s="81"/>
      <c r="G78" s="60"/>
      <c r="H78" s="61">
        <f>SUM(S75:S80)</f>
        <v>64.64</v>
      </c>
      <c r="I78" s="63"/>
      <c r="J78" s="56">
        <f>Source!AT32</f>
        <v>80</v>
      </c>
      <c r="K78" s="61">
        <f>SUM(T75:T80)</f>
        <v>1957.94</v>
      </c>
      <c r="L78" s="62"/>
    </row>
    <row r="79" spans="1:26" ht="14.4">
      <c r="A79" s="38"/>
      <c r="B79" s="78"/>
      <c r="C79" s="78" t="s">
        <v>335</v>
      </c>
      <c r="D79" s="58" t="s">
        <v>334</v>
      </c>
      <c r="E79" s="10">
        <f>Source!CA32</f>
        <v>60</v>
      </c>
      <c r="F79" s="81"/>
      <c r="G79" s="60"/>
      <c r="H79" s="61">
        <f>SUM(U75:U80)</f>
        <v>48.48</v>
      </c>
      <c r="I79" s="63"/>
      <c r="J79" s="56">
        <f>Source!AU32</f>
        <v>60</v>
      </c>
      <c r="K79" s="61">
        <f>SUM(V75:V80)</f>
        <v>1468.46</v>
      </c>
      <c r="L79" s="62"/>
    </row>
    <row r="80" spans="1:26" ht="14.4">
      <c r="A80" s="79"/>
      <c r="B80" s="80"/>
      <c r="C80" s="80" t="s">
        <v>336</v>
      </c>
      <c r="D80" s="65" t="s">
        <v>337</v>
      </c>
      <c r="E80" s="66">
        <f>Source!AQ32</f>
        <v>0.84</v>
      </c>
      <c r="F80" s="67"/>
      <c r="G80" s="70" t="str">
        <f>Source!DI32</f>
        <v/>
      </c>
      <c r="H80" s="69"/>
      <c r="I80" s="70"/>
      <c r="J80" s="70"/>
      <c r="K80" s="69"/>
      <c r="L80" s="76">
        <f>Source!U32</f>
        <v>8.4</v>
      </c>
    </row>
    <row r="81" spans="1:26" ht="13.8">
      <c r="G81" s="72">
        <f>H76+H77+H78+H79</f>
        <v>212.72</v>
      </c>
      <c r="H81" s="72"/>
      <c r="J81" s="72">
        <f>K76+K77+K78+K79</f>
        <v>6054.31</v>
      </c>
      <c r="K81" s="72"/>
      <c r="L81" s="73">
        <f>Source!U32</f>
        <v>8.4</v>
      </c>
      <c r="O81" s="47">
        <f>G81</f>
        <v>212.72</v>
      </c>
      <c r="P81" s="47">
        <f>J81</f>
        <v>6054.31</v>
      </c>
      <c r="Q81" s="47">
        <f>L81</f>
        <v>8.4</v>
      </c>
      <c r="W81">
        <f>IF(Source!BI32&lt;=1,H76+H77+H78+H79, 0)</f>
        <v>0</v>
      </c>
      <c r="X81">
        <f>IF(Source!BI32=2,H76+H77+H78+H79, 0)</f>
        <v>212.72</v>
      </c>
      <c r="Y81">
        <f>IF(Source!BI32=3,H76+H77+H78+H79, 0)</f>
        <v>0</v>
      </c>
      <c r="Z81">
        <f>IF(Source!BI32=4,H76+H77+H78+H79, 0)</f>
        <v>0</v>
      </c>
    </row>
    <row r="82" spans="1:26" ht="27.6">
      <c r="A82" s="79" t="str">
        <f>Source!E33</f>
        <v>9</v>
      </c>
      <c r="B82" s="80" t="str">
        <f>Source!F33</f>
        <v>509-1909</v>
      </c>
      <c r="C82" s="80" t="str">
        <f>Source!G33</f>
        <v>Извещатель охранный контактный ИО-102-20 (А2П/ Б2П) поверхностный</v>
      </c>
      <c r="D82" s="65" t="str">
        <f>Source!H33</f>
        <v>шт.</v>
      </c>
      <c r="E82" s="66">
        <f>Source!I33</f>
        <v>10</v>
      </c>
      <c r="F82" s="67">
        <f>Source!AL33</f>
        <v>41.65</v>
      </c>
      <c r="G82" s="70" t="str">
        <f>Source!DD33</f>
        <v/>
      </c>
      <c r="H82" s="69">
        <f>ROUND(Source!AC33*Source!I33, 2)</f>
        <v>416.5</v>
      </c>
      <c r="I82" s="70" t="str">
        <f>Source!BO33</f>
        <v>509-1909</v>
      </c>
      <c r="J82" s="70">
        <f>IF(Source!BC33&lt;&gt; 0, Source!BC33, 1)</f>
        <v>3.29</v>
      </c>
      <c r="K82" s="69">
        <f>Source!P33</f>
        <v>1370.29</v>
      </c>
      <c r="L82" s="71"/>
      <c r="S82">
        <f>ROUND((Source!FX33/100)*((ROUND(Source!AF33*Source!I33, 2)+ROUND(Source!AE33*Source!I33, 2))), 2)</f>
        <v>0</v>
      </c>
      <c r="T82">
        <f>Source!X33</f>
        <v>0</v>
      </c>
      <c r="U82">
        <f>ROUND((Source!FY33/100)*((ROUND(Source!AF33*Source!I33, 2)+ROUND(Source!AE33*Source!I33, 2))), 2)</f>
        <v>0</v>
      </c>
      <c r="V82">
        <f>Source!Y33</f>
        <v>0</v>
      </c>
    </row>
    <row r="83" spans="1:26" ht="13.8">
      <c r="G83" s="72">
        <f>H82</f>
        <v>416.5</v>
      </c>
      <c r="H83" s="72"/>
      <c r="J83" s="72">
        <f>K82</f>
        <v>1370.29</v>
      </c>
      <c r="K83" s="72"/>
      <c r="L83" s="73">
        <f>Source!U33</f>
        <v>0</v>
      </c>
      <c r="O83" s="47">
        <f>G83</f>
        <v>416.5</v>
      </c>
      <c r="P83" s="47">
        <f>J83</f>
        <v>1370.29</v>
      </c>
      <c r="Q83" s="47">
        <f>L83</f>
        <v>0</v>
      </c>
      <c r="W83">
        <f>IF(Source!BI33&lt;=1,H82, 0)</f>
        <v>0</v>
      </c>
      <c r="X83">
        <f>IF(Source!BI33=2,H82, 0)</f>
        <v>416.5</v>
      </c>
      <c r="Y83">
        <f>IF(Source!BI33=3,H82, 0)</f>
        <v>0</v>
      </c>
      <c r="Z83">
        <f>IF(Source!BI33=4,H82, 0)</f>
        <v>0</v>
      </c>
    </row>
    <row r="84" spans="1:26" ht="27.6">
      <c r="A84" s="38" t="str">
        <f>Source!E34</f>
        <v>10</v>
      </c>
      <c r="B84" s="78" t="str">
        <f>Source!F34</f>
        <v>м08-02-390-1</v>
      </c>
      <c r="C84" s="78" t="str">
        <f>Source!G34</f>
        <v>Короба пластмассовые шириной до 40 мм</v>
      </c>
      <c r="D84" s="58" t="str">
        <f>Source!H34</f>
        <v>100 м</v>
      </c>
      <c r="E84" s="10">
        <f>Source!I34</f>
        <v>1</v>
      </c>
      <c r="F84" s="59">
        <f>Source!AL34+Source!AM34+Source!AO34</f>
        <v>237.45</v>
      </c>
      <c r="G84" s="60"/>
      <c r="H84" s="61"/>
      <c r="I84" s="60" t="str">
        <f>Source!BO34</f>
        <v>м08-02-390-1</v>
      </c>
      <c r="J84" s="60"/>
      <c r="K84" s="61"/>
      <c r="L84" s="62"/>
      <c r="S84">
        <f>ROUND((Source!FX34/100)*((ROUND(Source!AF34*Source!I34, 2)+ROUND(Source!AE34*Source!I34, 2))), 2)</f>
        <v>147.31</v>
      </c>
      <c r="T84">
        <f>Source!X34</f>
        <v>4461.93</v>
      </c>
      <c r="U84">
        <f>ROUND((Source!FY34/100)*((ROUND(Source!AF34*Source!I34, 2)+ROUND(Source!AE34*Source!I34, 2))), 2)</f>
        <v>100.79</v>
      </c>
      <c r="V84">
        <f>Source!Y34</f>
        <v>3052.9</v>
      </c>
    </row>
    <row r="85" spans="1:26">
      <c r="C85" s="49" t="str">
        <f>"Объем: "&amp;Source!I34&amp;"=100/"&amp;"100"</f>
        <v>Объем: 1=100/100</v>
      </c>
    </row>
    <row r="86" spans="1:26" ht="14.4">
      <c r="A86" s="38"/>
      <c r="B86" s="78"/>
      <c r="C86" s="78" t="s">
        <v>331</v>
      </c>
      <c r="D86" s="58"/>
      <c r="E86" s="10"/>
      <c r="F86" s="59">
        <f>Source!AO34</f>
        <v>154.91999999999999</v>
      </c>
      <c r="G86" s="60" t="str">
        <f>Source!DG34</f>
        <v/>
      </c>
      <c r="H86" s="61">
        <f>ROUND(Source!AF34*Source!I34, 2)</f>
        <v>154.91999999999999</v>
      </c>
      <c r="I86" s="60"/>
      <c r="J86" s="60">
        <f>IF(Source!BA34&lt;&gt; 0, Source!BA34, 1)</f>
        <v>30.29</v>
      </c>
      <c r="K86" s="61">
        <f>Source!S34</f>
        <v>4692.53</v>
      </c>
      <c r="L86" s="62"/>
      <c r="R86">
        <f>H86</f>
        <v>154.91999999999999</v>
      </c>
    </row>
    <row r="87" spans="1:26" ht="14.4">
      <c r="A87" s="38"/>
      <c r="B87" s="78"/>
      <c r="C87" s="78" t="s">
        <v>118</v>
      </c>
      <c r="D87" s="58"/>
      <c r="E87" s="10"/>
      <c r="F87" s="59">
        <f>Source!AM34</f>
        <v>31.2</v>
      </c>
      <c r="G87" s="60" t="str">
        <f>Source!DE34</f>
        <v/>
      </c>
      <c r="H87" s="61">
        <f>ROUND(Source!AD34*Source!I34, 2)</f>
        <v>31.2</v>
      </c>
      <c r="I87" s="60"/>
      <c r="J87" s="60">
        <f>IF(Source!BB34&lt;&gt; 0, Source!BB34, 1)</f>
        <v>8.7899999999999991</v>
      </c>
      <c r="K87" s="61">
        <f>Source!Q34</f>
        <v>274.25</v>
      </c>
      <c r="L87" s="62"/>
    </row>
    <row r="88" spans="1:26" ht="14.4">
      <c r="A88" s="38"/>
      <c r="B88" s="78"/>
      <c r="C88" s="78" t="s">
        <v>338</v>
      </c>
      <c r="D88" s="58"/>
      <c r="E88" s="10"/>
      <c r="F88" s="59">
        <f>Source!AN34</f>
        <v>0.14000000000000001</v>
      </c>
      <c r="G88" s="60" t="str">
        <f>Source!DF34</f>
        <v/>
      </c>
      <c r="H88" s="75">
        <f>ROUND(Source!AE34*Source!I34, 2)</f>
        <v>0.14000000000000001</v>
      </c>
      <c r="I88" s="60"/>
      <c r="J88" s="60">
        <f>IF(Source!BS34&lt;&gt; 0, Source!BS34, 1)</f>
        <v>30.29</v>
      </c>
      <c r="K88" s="75">
        <f>Source!R34</f>
        <v>4.24</v>
      </c>
      <c r="L88" s="62"/>
      <c r="R88">
        <f>H88</f>
        <v>0.14000000000000001</v>
      </c>
    </row>
    <row r="89" spans="1:26" ht="14.4">
      <c r="A89" s="38"/>
      <c r="B89" s="78"/>
      <c r="C89" s="78" t="s">
        <v>332</v>
      </c>
      <c r="D89" s="58"/>
      <c r="E89" s="10"/>
      <c r="F89" s="59">
        <f>Source!AL34</f>
        <v>51.33</v>
      </c>
      <c r="G89" s="60" t="str">
        <f>Source!DD34</f>
        <v/>
      </c>
      <c r="H89" s="61">
        <f>ROUND(Source!AC34*Source!I34, 2)</f>
        <v>51.33</v>
      </c>
      <c r="I89" s="60"/>
      <c r="J89" s="60">
        <f>IF(Source!BC34&lt;&gt; 0, Source!BC34, 1)</f>
        <v>4.42</v>
      </c>
      <c r="K89" s="61">
        <f>Source!P34</f>
        <v>226.88</v>
      </c>
      <c r="L89" s="62"/>
    </row>
    <row r="90" spans="1:26" ht="14.4">
      <c r="A90" s="38"/>
      <c r="B90" s="78"/>
      <c r="C90" s="78" t="s">
        <v>333</v>
      </c>
      <c r="D90" s="58" t="s">
        <v>334</v>
      </c>
      <c r="E90" s="10">
        <f>Source!BZ34</f>
        <v>95</v>
      </c>
      <c r="F90" s="81"/>
      <c r="G90" s="60"/>
      <c r="H90" s="61">
        <f>SUM(S84:S92)</f>
        <v>147.31</v>
      </c>
      <c r="I90" s="63"/>
      <c r="J90" s="56">
        <f>Source!AT34</f>
        <v>95</v>
      </c>
      <c r="K90" s="61">
        <f>SUM(T84:T92)</f>
        <v>4461.93</v>
      </c>
      <c r="L90" s="62"/>
    </row>
    <row r="91" spans="1:26" ht="14.4">
      <c r="A91" s="38"/>
      <c r="B91" s="78"/>
      <c r="C91" s="78" t="s">
        <v>335</v>
      </c>
      <c r="D91" s="58" t="s">
        <v>334</v>
      </c>
      <c r="E91" s="10">
        <f>Source!CA34</f>
        <v>65</v>
      </c>
      <c r="F91" s="81"/>
      <c r="G91" s="60"/>
      <c r="H91" s="61">
        <f>SUM(U84:U92)</f>
        <v>100.79</v>
      </c>
      <c r="I91" s="63"/>
      <c r="J91" s="56">
        <f>Source!AU34</f>
        <v>65</v>
      </c>
      <c r="K91" s="61">
        <f>SUM(V84:V92)</f>
        <v>3052.9</v>
      </c>
      <c r="L91" s="62"/>
    </row>
    <row r="92" spans="1:26" ht="14.4">
      <c r="A92" s="79"/>
      <c r="B92" s="80"/>
      <c r="C92" s="80" t="s">
        <v>336</v>
      </c>
      <c r="D92" s="65" t="s">
        <v>337</v>
      </c>
      <c r="E92" s="66">
        <f>Source!AQ34</f>
        <v>16.29</v>
      </c>
      <c r="F92" s="67"/>
      <c r="G92" s="70" t="str">
        <f>Source!DI34</f>
        <v/>
      </c>
      <c r="H92" s="69"/>
      <c r="I92" s="70"/>
      <c r="J92" s="70"/>
      <c r="K92" s="69"/>
      <c r="L92" s="76">
        <f>Source!U34</f>
        <v>16.29</v>
      </c>
    </row>
    <row r="93" spans="1:26" ht="13.8">
      <c r="G93" s="72">
        <f>H86+H87+H89+H90+H91</f>
        <v>485.55</v>
      </c>
      <c r="H93" s="72"/>
      <c r="J93" s="72">
        <f>K86+K87+K89+K90+K91</f>
        <v>12708.49</v>
      </c>
      <c r="K93" s="72"/>
      <c r="L93" s="73">
        <f>Source!U34</f>
        <v>16.29</v>
      </c>
      <c r="O93" s="47">
        <f>G93</f>
        <v>485.55</v>
      </c>
      <c r="P93" s="47">
        <f>J93</f>
        <v>12708.49</v>
      </c>
      <c r="Q93" s="47">
        <f>L93</f>
        <v>16.29</v>
      </c>
      <c r="W93">
        <f>IF(Source!BI34&lt;=1,H86+H87+H89+H90+H91, 0)</f>
        <v>0</v>
      </c>
      <c r="X93">
        <f>IF(Source!BI34=2,H86+H87+H89+H90+H91, 0)</f>
        <v>485.55</v>
      </c>
      <c r="Y93">
        <f>IF(Source!BI34=3,H86+H87+H89+H90+H91, 0)</f>
        <v>0</v>
      </c>
      <c r="Z93">
        <f>IF(Source!BI34=4,H86+H87+H89+H90+H91, 0)</f>
        <v>0</v>
      </c>
    </row>
    <row r="94" spans="1:26" ht="27.6">
      <c r="A94" s="79" t="str">
        <f>Source!E35</f>
        <v>11</v>
      </c>
      <c r="B94" s="80" t="str">
        <f>Source!F35</f>
        <v>509-1830</v>
      </c>
      <c r="C94" s="80" t="str">
        <f>Source!G35</f>
        <v>Кабель-канал (короб) "Электропласт" 20x10 мм</v>
      </c>
      <c r="D94" s="65" t="str">
        <f>Source!H35</f>
        <v>м</v>
      </c>
      <c r="E94" s="66">
        <f>Source!I35</f>
        <v>100</v>
      </c>
      <c r="F94" s="67">
        <f>Source!AL35</f>
        <v>1.21</v>
      </c>
      <c r="G94" s="70" t="str">
        <f>Source!DD35</f>
        <v/>
      </c>
      <c r="H94" s="69">
        <f>ROUND(Source!AC35*Source!I35, 2)</f>
        <v>121</v>
      </c>
      <c r="I94" s="70" t="str">
        <f>Source!BO35</f>
        <v>509-1830</v>
      </c>
      <c r="J94" s="70">
        <f>IF(Source!BC35&lt;&gt; 0, Source!BC35, 1)</f>
        <v>5.05</v>
      </c>
      <c r="K94" s="69">
        <f>Source!P35</f>
        <v>611.04999999999995</v>
      </c>
      <c r="L94" s="71"/>
      <c r="S94">
        <f>ROUND((Source!FX35/100)*((ROUND(Source!AF35*Source!I35, 2)+ROUND(Source!AE35*Source!I35, 2))), 2)</f>
        <v>0</v>
      </c>
      <c r="T94">
        <f>Source!X35</f>
        <v>0</v>
      </c>
      <c r="U94">
        <f>ROUND((Source!FY35/100)*((ROUND(Source!AF35*Source!I35, 2)+ROUND(Source!AE35*Source!I35, 2))), 2)</f>
        <v>0</v>
      </c>
      <c r="V94">
        <f>Source!Y35</f>
        <v>0</v>
      </c>
    </row>
    <row r="95" spans="1:26" ht="13.8">
      <c r="G95" s="72">
        <f>H94</f>
        <v>121</v>
      </c>
      <c r="H95" s="72"/>
      <c r="J95" s="72">
        <f>K94</f>
        <v>611.04999999999995</v>
      </c>
      <c r="K95" s="72"/>
      <c r="L95" s="73">
        <f>Source!U35</f>
        <v>0</v>
      </c>
      <c r="O95" s="47">
        <f>G95</f>
        <v>121</v>
      </c>
      <c r="P95" s="47">
        <f>J95</f>
        <v>611.04999999999995</v>
      </c>
      <c r="Q95" s="47">
        <f>L95</f>
        <v>0</v>
      </c>
      <c r="W95">
        <f>IF(Source!BI35&lt;=1,H94, 0)</f>
        <v>0</v>
      </c>
      <c r="X95">
        <f>IF(Source!BI35=2,H94, 0)</f>
        <v>121</v>
      </c>
      <c r="Y95">
        <f>IF(Source!BI35=3,H94, 0)</f>
        <v>0</v>
      </c>
      <c r="Z95">
        <f>IF(Source!BI35=4,H94, 0)</f>
        <v>0</v>
      </c>
    </row>
    <row r="96" spans="1:26" ht="55.2">
      <c r="A96" s="38" t="str">
        <f>Source!E36</f>
        <v>12</v>
      </c>
      <c r="B96" s="78" t="str">
        <f>Source!F36</f>
        <v>м10-08-002-1</v>
      </c>
      <c r="C96" s="78" t="str">
        <f>Source!G36</f>
        <v>Извещатель ПС автоматический тепловой электро-контактный, магнитоконтактный в нормальном исполнении</v>
      </c>
      <c r="D96" s="58" t="str">
        <f>Source!H36</f>
        <v>1  ШТ.</v>
      </c>
      <c r="E96" s="10">
        <f>Source!I36</f>
        <v>12</v>
      </c>
      <c r="F96" s="59">
        <f>Source!AL36+Source!AM36+Source!AO36</f>
        <v>9.48</v>
      </c>
      <c r="G96" s="60"/>
      <c r="H96" s="61"/>
      <c r="I96" s="60" t="str">
        <f>Source!BO36</f>
        <v>м10-08-002-1</v>
      </c>
      <c r="J96" s="60"/>
      <c r="K96" s="61"/>
      <c r="L96" s="62"/>
      <c r="S96">
        <f>ROUND((Source!FX36/100)*((ROUND(Source!AF36*Source!I36, 2)+ROUND(Source!AE36*Source!I36, 2))), 2)</f>
        <v>77.569999999999993</v>
      </c>
      <c r="T96">
        <f>Source!X36</f>
        <v>2349.54</v>
      </c>
      <c r="U96">
        <f>ROUND((Source!FY36/100)*((ROUND(Source!AF36*Source!I36, 2)+ROUND(Source!AE36*Source!I36, 2))), 2)</f>
        <v>58.18</v>
      </c>
      <c r="V96">
        <f>Source!Y36</f>
        <v>1762.15</v>
      </c>
    </row>
    <row r="97" spans="1:26" ht="14.4">
      <c r="A97" s="38"/>
      <c r="B97" s="78"/>
      <c r="C97" s="78" t="s">
        <v>331</v>
      </c>
      <c r="D97" s="58"/>
      <c r="E97" s="10"/>
      <c r="F97" s="59">
        <f>Source!AO36</f>
        <v>8.08</v>
      </c>
      <c r="G97" s="60" t="str">
        <f>Source!DG36</f>
        <v/>
      </c>
      <c r="H97" s="61">
        <f>ROUND(Source!AF36*Source!I36, 2)</f>
        <v>96.96</v>
      </c>
      <c r="I97" s="60"/>
      <c r="J97" s="60">
        <f>IF(Source!BA36&lt;&gt; 0, Source!BA36, 1)</f>
        <v>30.29</v>
      </c>
      <c r="K97" s="61">
        <f>Source!S36</f>
        <v>2936.92</v>
      </c>
      <c r="L97" s="62"/>
      <c r="R97">
        <f>H97</f>
        <v>96.96</v>
      </c>
    </row>
    <row r="98" spans="1:26" ht="14.4">
      <c r="A98" s="38"/>
      <c r="B98" s="78"/>
      <c r="C98" s="78" t="s">
        <v>118</v>
      </c>
      <c r="D98" s="58"/>
      <c r="E98" s="10"/>
      <c r="F98" s="59">
        <f>Source!AM36</f>
        <v>0.12</v>
      </c>
      <c r="G98" s="60" t="str">
        <f>Source!DE36</f>
        <v/>
      </c>
      <c r="H98" s="61">
        <f>ROUND(Source!AD36*Source!I36, 2)</f>
        <v>1.44</v>
      </c>
      <c r="I98" s="60"/>
      <c r="J98" s="60">
        <f>IF(Source!BB36&lt;&gt; 0, Source!BB36, 1)</f>
        <v>3.67</v>
      </c>
      <c r="K98" s="61">
        <f>Source!Q36</f>
        <v>5.28</v>
      </c>
      <c r="L98" s="62"/>
    </row>
    <row r="99" spans="1:26" ht="14.4">
      <c r="A99" s="38"/>
      <c r="B99" s="78"/>
      <c r="C99" s="78" t="s">
        <v>332</v>
      </c>
      <c r="D99" s="58"/>
      <c r="E99" s="10"/>
      <c r="F99" s="59">
        <f>Source!AL36</f>
        <v>1.28</v>
      </c>
      <c r="G99" s="60" t="str">
        <f>Source!DD36</f>
        <v/>
      </c>
      <c r="H99" s="61">
        <f>ROUND(Source!AC36*Source!I36, 2)</f>
        <v>15.36</v>
      </c>
      <c r="I99" s="60"/>
      <c r="J99" s="60">
        <f>IF(Source!BC36&lt;&gt; 0, Source!BC36, 1)</f>
        <v>8.02</v>
      </c>
      <c r="K99" s="61">
        <f>Source!P36</f>
        <v>123.19</v>
      </c>
      <c r="L99" s="62"/>
    </row>
    <row r="100" spans="1:26" ht="14.4">
      <c r="A100" s="38"/>
      <c r="B100" s="78"/>
      <c r="C100" s="78" t="s">
        <v>333</v>
      </c>
      <c r="D100" s="58" t="s">
        <v>334</v>
      </c>
      <c r="E100" s="10">
        <f>Source!BZ36</f>
        <v>80</v>
      </c>
      <c r="F100" s="81"/>
      <c r="G100" s="60"/>
      <c r="H100" s="61">
        <f>SUM(S96:S103)</f>
        <v>77.569999999999993</v>
      </c>
      <c r="I100" s="63"/>
      <c r="J100" s="56">
        <f>Source!AT36</f>
        <v>80</v>
      </c>
      <c r="K100" s="61">
        <f>SUM(T96:T103)</f>
        <v>2349.54</v>
      </c>
      <c r="L100" s="62"/>
    </row>
    <row r="101" spans="1:26" ht="14.4">
      <c r="A101" s="38"/>
      <c r="B101" s="78"/>
      <c r="C101" s="78" t="s">
        <v>335</v>
      </c>
      <c r="D101" s="58" t="s">
        <v>334</v>
      </c>
      <c r="E101" s="10">
        <f>Source!CA36</f>
        <v>60</v>
      </c>
      <c r="F101" s="81"/>
      <c r="G101" s="60"/>
      <c r="H101" s="61">
        <f>SUM(U96:U103)</f>
        <v>58.18</v>
      </c>
      <c r="I101" s="63"/>
      <c r="J101" s="56">
        <f>Source!AU36</f>
        <v>60</v>
      </c>
      <c r="K101" s="61">
        <f>SUM(V96:V103)</f>
        <v>1762.15</v>
      </c>
      <c r="L101" s="62"/>
    </row>
    <row r="102" spans="1:26" ht="14.4">
      <c r="A102" s="38"/>
      <c r="B102" s="78"/>
      <c r="C102" s="78" t="s">
        <v>336</v>
      </c>
      <c r="D102" s="58" t="s">
        <v>337</v>
      </c>
      <c r="E102" s="10">
        <f>Source!AQ36</f>
        <v>0.84</v>
      </c>
      <c r="F102" s="59"/>
      <c r="G102" s="60" t="str">
        <f>Source!DI36</f>
        <v/>
      </c>
      <c r="H102" s="61"/>
      <c r="I102" s="60"/>
      <c r="J102" s="60"/>
      <c r="K102" s="61"/>
      <c r="L102" s="64">
        <f>Source!U36</f>
        <v>10.08</v>
      </c>
    </row>
    <row r="103" spans="1:26" ht="41.4">
      <c r="A103" s="79" t="str">
        <f>Source!E37</f>
        <v>12,1</v>
      </c>
      <c r="B103" s="80" t="str">
        <f>Source!F37</f>
        <v>цена постовщика</v>
      </c>
      <c r="C103" s="80" t="str">
        <f>Source!G37</f>
        <v>Орлан Д Извещатель охранный оптико-электронный</v>
      </c>
      <c r="D103" s="65" t="str">
        <f>Source!H37</f>
        <v/>
      </c>
      <c r="E103" s="66">
        <f>Source!I37</f>
        <v>12</v>
      </c>
      <c r="F103" s="67">
        <f>Source!AL37+Source!AM37+Source!AO37</f>
        <v>1047.5999999999999</v>
      </c>
      <c r="G103" s="68" t="s">
        <v>3</v>
      </c>
      <c r="H103" s="69">
        <f>ROUND(Source!AC37*Source!I37, 2)+ROUND(Source!AD37*Source!I37, 2)+ROUND(Source!AF37*Source!I37, 2)</f>
        <v>12571.2</v>
      </c>
      <c r="I103" s="70"/>
      <c r="J103" s="70">
        <f>IF(Source!BC37&lt;&gt; 0, Source!BC37, 1)</f>
        <v>1</v>
      </c>
      <c r="K103" s="69">
        <f>Source!O37</f>
        <v>12571.2</v>
      </c>
      <c r="L103" s="71"/>
      <c r="S103">
        <f>ROUND((Source!FX37/100)*((ROUND(Source!AF37*Source!I37, 2)+ROUND(Source!AE37*Source!I37, 2))), 2)</f>
        <v>0</v>
      </c>
      <c r="T103">
        <f>Source!X37</f>
        <v>0</v>
      </c>
      <c r="U103">
        <f>ROUND((Source!FY37/100)*((ROUND(Source!AF37*Source!I37, 2)+ROUND(Source!AE37*Source!I37, 2))), 2)</f>
        <v>0</v>
      </c>
      <c r="V103">
        <f>Source!Y37</f>
        <v>0</v>
      </c>
      <c r="W103">
        <f>IF(Source!BI37&lt;=1,H103, 0)</f>
        <v>0</v>
      </c>
      <c r="X103">
        <f>IF(Source!BI37=2,H103, 0)</f>
        <v>12571.2</v>
      </c>
      <c r="Y103">
        <f>IF(Source!BI37=3,H103, 0)</f>
        <v>0</v>
      </c>
      <c r="Z103">
        <f>IF(Source!BI37=4,H103, 0)</f>
        <v>0</v>
      </c>
    </row>
    <row r="104" spans="1:26" ht="13.8">
      <c r="G104" s="72">
        <f>H97+H98+H99+H100+H101+SUM(H103:H103)</f>
        <v>12820.710000000001</v>
      </c>
      <c r="H104" s="72"/>
      <c r="J104" s="72">
        <f>K97+K98+K99+K100+K101+SUM(K103:K103)</f>
        <v>19748.28</v>
      </c>
      <c r="K104" s="72"/>
      <c r="L104" s="73">
        <f>Source!U36</f>
        <v>10.08</v>
      </c>
      <c r="O104" s="47">
        <f>G104</f>
        <v>12820.710000000001</v>
      </c>
      <c r="P104" s="47">
        <f>J104</f>
        <v>19748.28</v>
      </c>
      <c r="Q104" s="47">
        <f>L104</f>
        <v>10.08</v>
      </c>
      <c r="W104">
        <f>IF(Source!BI36&lt;=1,H97+H98+H99+H100+H101, 0)</f>
        <v>0</v>
      </c>
      <c r="X104">
        <f>IF(Source!BI36=2,H97+H98+H99+H100+H101, 0)</f>
        <v>249.51</v>
      </c>
      <c r="Y104">
        <f>IF(Source!BI36=3,H97+H98+H99+H100+H101, 0)</f>
        <v>0</v>
      </c>
      <c r="Z104">
        <f>IF(Source!BI36=4,H97+H98+H99+H100+H101, 0)</f>
        <v>0</v>
      </c>
    </row>
    <row r="105" spans="1:26" ht="27.6">
      <c r="A105" s="38" t="str">
        <f>Source!E38</f>
        <v>13</v>
      </c>
      <c r="B105" s="78" t="str">
        <f>Source!F38</f>
        <v>м08-02-398-1</v>
      </c>
      <c r="C105" s="78" t="str">
        <f>Source!G38</f>
        <v>Провод в лотках, сечением до 6 мм2</v>
      </c>
      <c r="D105" s="58" t="str">
        <f>Source!H38</f>
        <v>100 м</v>
      </c>
      <c r="E105" s="10">
        <f>Source!I38</f>
        <v>1.5</v>
      </c>
      <c r="F105" s="59">
        <f>Source!AL38+Source!AM38+Source!AO38</f>
        <v>24.42</v>
      </c>
      <c r="G105" s="60"/>
      <c r="H105" s="61"/>
      <c r="I105" s="60" t="str">
        <f>Source!BO38</f>
        <v>м08-02-398-1</v>
      </c>
      <c r="J105" s="60"/>
      <c r="K105" s="61"/>
      <c r="L105" s="62"/>
      <c r="S105">
        <f>ROUND((Source!FX38/100)*((ROUND(Source!AF38*Source!I38, 2)+ROUND(Source!AE38*Source!I38, 2))), 2)</f>
        <v>13.99</v>
      </c>
      <c r="T105">
        <f>Source!X38</f>
        <v>423.86</v>
      </c>
      <c r="U105">
        <f>ROUND((Source!FY38/100)*((ROUND(Source!AF38*Source!I38, 2)+ROUND(Source!AE38*Source!I38, 2))), 2)</f>
        <v>9.57</v>
      </c>
      <c r="V105">
        <f>Source!Y38</f>
        <v>290.01</v>
      </c>
    </row>
    <row r="106" spans="1:26">
      <c r="C106" s="49" t="str">
        <f>"Объем: "&amp;Source!I38&amp;"=150/"&amp;"100"</f>
        <v>Объем: 1,5=150/100</v>
      </c>
    </row>
    <row r="107" spans="1:26" ht="14.4">
      <c r="A107" s="38"/>
      <c r="B107" s="78"/>
      <c r="C107" s="78" t="s">
        <v>331</v>
      </c>
      <c r="D107" s="58"/>
      <c r="E107" s="10"/>
      <c r="F107" s="59">
        <f>Source!AO38</f>
        <v>9.68</v>
      </c>
      <c r="G107" s="60" t="str">
        <f>Source!DG38</f>
        <v/>
      </c>
      <c r="H107" s="61">
        <f>ROUND(Source!AF38*Source!I38, 2)</f>
        <v>14.52</v>
      </c>
      <c r="I107" s="60"/>
      <c r="J107" s="60">
        <f>IF(Source!BA38&lt;&gt; 0, Source!BA38, 1)</f>
        <v>30.29</v>
      </c>
      <c r="K107" s="61">
        <f>Source!S38</f>
        <v>439.81</v>
      </c>
      <c r="L107" s="62"/>
      <c r="R107">
        <f>H107</f>
        <v>14.52</v>
      </c>
    </row>
    <row r="108" spans="1:26" ht="14.4">
      <c r="A108" s="38"/>
      <c r="B108" s="78"/>
      <c r="C108" s="78" t="s">
        <v>118</v>
      </c>
      <c r="D108" s="58"/>
      <c r="E108" s="10"/>
      <c r="F108" s="59">
        <f>Source!AM38</f>
        <v>2.2200000000000002</v>
      </c>
      <c r="G108" s="60" t="str">
        <f>Source!DE38</f>
        <v/>
      </c>
      <c r="H108" s="61">
        <f>ROUND(Source!AD38*Source!I38, 2)</f>
        <v>3.33</v>
      </c>
      <c r="I108" s="60"/>
      <c r="J108" s="60">
        <f>IF(Source!BB38&lt;&gt; 0, Source!BB38, 1)</f>
        <v>8.77</v>
      </c>
      <c r="K108" s="61">
        <f>Source!Q38</f>
        <v>29.2</v>
      </c>
      <c r="L108" s="62"/>
    </row>
    <row r="109" spans="1:26" ht="14.4">
      <c r="A109" s="38"/>
      <c r="B109" s="78"/>
      <c r="C109" s="78" t="s">
        <v>338</v>
      </c>
      <c r="D109" s="58"/>
      <c r="E109" s="10"/>
      <c r="F109" s="59">
        <f>Source!AN38</f>
        <v>0.14000000000000001</v>
      </c>
      <c r="G109" s="60" t="str">
        <f>Source!DF38</f>
        <v/>
      </c>
      <c r="H109" s="75">
        <f>ROUND(Source!AE38*Source!I38, 2)</f>
        <v>0.21</v>
      </c>
      <c r="I109" s="60"/>
      <c r="J109" s="60">
        <f>IF(Source!BS38&lt;&gt; 0, Source!BS38, 1)</f>
        <v>30.29</v>
      </c>
      <c r="K109" s="75">
        <f>Source!R38</f>
        <v>6.36</v>
      </c>
      <c r="L109" s="62"/>
      <c r="R109">
        <f>H109</f>
        <v>0.21</v>
      </c>
    </row>
    <row r="110" spans="1:26" ht="14.4">
      <c r="A110" s="38"/>
      <c r="B110" s="78"/>
      <c r="C110" s="78" t="s">
        <v>332</v>
      </c>
      <c r="D110" s="58"/>
      <c r="E110" s="10"/>
      <c r="F110" s="59">
        <f>Source!AL38</f>
        <v>12.52</v>
      </c>
      <c r="G110" s="60" t="str">
        <f>Source!DD38</f>
        <v/>
      </c>
      <c r="H110" s="61">
        <f>ROUND(Source!AC38*Source!I38, 2)</f>
        <v>18.78</v>
      </c>
      <c r="I110" s="60"/>
      <c r="J110" s="60">
        <f>IF(Source!BC38&lt;&gt; 0, Source!BC38, 1)</f>
        <v>4.26</v>
      </c>
      <c r="K110" s="61">
        <f>Source!P38</f>
        <v>80</v>
      </c>
      <c r="L110" s="62"/>
    </row>
    <row r="111" spans="1:26" ht="14.4">
      <c r="A111" s="38"/>
      <c r="B111" s="78"/>
      <c r="C111" s="78" t="s">
        <v>333</v>
      </c>
      <c r="D111" s="58" t="s">
        <v>334</v>
      </c>
      <c r="E111" s="10">
        <f>Source!BZ38</f>
        <v>95</v>
      </c>
      <c r="F111" s="81"/>
      <c r="G111" s="60"/>
      <c r="H111" s="61">
        <f>SUM(S105:S113)</f>
        <v>13.99</v>
      </c>
      <c r="I111" s="63"/>
      <c r="J111" s="56">
        <f>Source!AT38</f>
        <v>95</v>
      </c>
      <c r="K111" s="61">
        <f>SUM(T105:T113)</f>
        <v>423.86</v>
      </c>
      <c r="L111" s="62"/>
    </row>
    <row r="112" spans="1:26" ht="14.4">
      <c r="A112" s="38"/>
      <c r="B112" s="78"/>
      <c r="C112" s="78" t="s">
        <v>335</v>
      </c>
      <c r="D112" s="58" t="s">
        <v>334</v>
      </c>
      <c r="E112" s="10">
        <f>Source!CA38</f>
        <v>65</v>
      </c>
      <c r="F112" s="81"/>
      <c r="G112" s="60"/>
      <c r="H112" s="61">
        <f>SUM(U105:U113)</f>
        <v>9.57</v>
      </c>
      <c r="I112" s="63"/>
      <c r="J112" s="56">
        <f>Source!AU38</f>
        <v>65</v>
      </c>
      <c r="K112" s="61">
        <f>SUM(V105:V113)</f>
        <v>290.01</v>
      </c>
      <c r="L112" s="62"/>
    </row>
    <row r="113" spans="1:26" ht="14.4">
      <c r="A113" s="79"/>
      <c r="B113" s="80"/>
      <c r="C113" s="80" t="s">
        <v>336</v>
      </c>
      <c r="D113" s="65" t="s">
        <v>337</v>
      </c>
      <c r="E113" s="66">
        <f>Source!AQ38</f>
        <v>1.03</v>
      </c>
      <c r="F113" s="67"/>
      <c r="G113" s="70" t="str">
        <f>Source!DI38</f>
        <v/>
      </c>
      <c r="H113" s="69"/>
      <c r="I113" s="70"/>
      <c r="J113" s="70"/>
      <c r="K113" s="69"/>
      <c r="L113" s="76">
        <f>Source!U38</f>
        <v>1.5449999999999999</v>
      </c>
    </row>
    <row r="114" spans="1:26" ht="13.8">
      <c r="G114" s="72">
        <f>H107+H108+H110+H111+H112</f>
        <v>60.190000000000005</v>
      </c>
      <c r="H114" s="72"/>
      <c r="J114" s="72">
        <f>K107+K108+K110+K111+K112</f>
        <v>1262.8800000000001</v>
      </c>
      <c r="K114" s="72"/>
      <c r="L114" s="73">
        <f>Source!U38</f>
        <v>1.5449999999999999</v>
      </c>
      <c r="O114" s="47">
        <f>G114</f>
        <v>60.190000000000005</v>
      </c>
      <c r="P114" s="47">
        <f>J114</f>
        <v>1262.8800000000001</v>
      </c>
      <c r="Q114" s="47">
        <f>L114</f>
        <v>1.5449999999999999</v>
      </c>
      <c r="W114">
        <f>IF(Source!BI38&lt;=1,H107+H108+H110+H111+H112, 0)</f>
        <v>0</v>
      </c>
      <c r="X114">
        <f>IF(Source!BI38=2,H107+H108+H110+H111+H112, 0)</f>
        <v>60.190000000000005</v>
      </c>
      <c r="Y114">
        <f>IF(Source!BI38=3,H107+H108+H110+H111+H112, 0)</f>
        <v>0</v>
      </c>
      <c r="Z114">
        <f>IF(Source!BI38=4,H107+H108+H110+H111+H112, 0)</f>
        <v>0</v>
      </c>
    </row>
    <row r="115" spans="1:26" ht="27.6">
      <c r="A115" s="79" t="str">
        <f>Source!E39</f>
        <v>23</v>
      </c>
      <c r="B115" s="80" t="str">
        <f>Source!F39</f>
        <v>цена поставщик</v>
      </c>
      <c r="C115" s="80" t="str">
        <f>Source!G39</f>
        <v>КСПВ 6х0,5 (базисная стоимость 13,00=13)</v>
      </c>
      <c r="D115" s="65" t="str">
        <f>Source!H39</f>
        <v>м</v>
      </c>
      <c r="E115" s="66">
        <f>Source!I39</f>
        <v>100</v>
      </c>
      <c r="F115" s="67">
        <f>Source!AL39</f>
        <v>13</v>
      </c>
      <c r="G115" s="70" t="str">
        <f>Source!DD39</f>
        <v/>
      </c>
      <c r="H115" s="69">
        <f>ROUND(Source!AC39*Source!I39, 2)</f>
        <v>1300</v>
      </c>
      <c r="I115" s="70" t="str">
        <f>Source!BO39</f>
        <v/>
      </c>
      <c r="J115" s="70">
        <f>IF(Source!BC39&lt;&gt; 0, Source!BC39, 1)</f>
        <v>1</v>
      </c>
      <c r="K115" s="69">
        <f>Source!P39</f>
        <v>1300</v>
      </c>
      <c r="L115" s="71"/>
      <c r="S115">
        <f>ROUND((Source!FX39/100)*((ROUND(Source!AF39*Source!I39, 2)+ROUND(Source!AE39*Source!I39, 2))), 2)</f>
        <v>0</v>
      </c>
      <c r="T115">
        <f>Source!X39</f>
        <v>0</v>
      </c>
      <c r="U115">
        <f>ROUND((Source!FY39/100)*((ROUND(Source!AF39*Source!I39, 2)+ROUND(Source!AE39*Source!I39, 2))), 2)</f>
        <v>0</v>
      </c>
      <c r="V115">
        <f>Source!Y39</f>
        <v>0</v>
      </c>
    </row>
    <row r="116" spans="1:26" ht="13.8">
      <c r="G116" s="72">
        <f>H115</f>
        <v>1300</v>
      </c>
      <c r="H116" s="72"/>
      <c r="J116" s="72">
        <f>K115</f>
        <v>1300</v>
      </c>
      <c r="K116" s="72"/>
      <c r="L116" s="73">
        <f>Source!U39</f>
        <v>0</v>
      </c>
      <c r="O116" s="47">
        <f>G116</f>
        <v>1300</v>
      </c>
      <c r="P116" s="47">
        <f>J116</f>
        <v>1300</v>
      </c>
      <c r="Q116" s="47">
        <f>L116</f>
        <v>0</v>
      </c>
      <c r="W116">
        <f>IF(Source!BI39&lt;=1,H115, 0)</f>
        <v>1300</v>
      </c>
      <c r="X116">
        <f>IF(Source!BI39=2,H115, 0)</f>
        <v>0</v>
      </c>
      <c r="Y116">
        <f>IF(Source!BI39=3,H115, 0)</f>
        <v>0</v>
      </c>
      <c r="Z116">
        <f>IF(Source!BI39=4,H115, 0)</f>
        <v>0</v>
      </c>
    </row>
    <row r="117" spans="1:26" ht="41.4">
      <c r="A117" s="38" t="str">
        <f>Source!E40</f>
        <v>24</v>
      </c>
      <c r="B117" s="78" t="str">
        <f>Source!F40</f>
        <v>502-0904</v>
      </c>
      <c r="C117" s="78" t="str">
        <f>Source!G40</f>
        <v>Шнуры на напряжение до 380 В с параллельными жилами, с изоляцией и оболочкой из ПВХ, марки ШВВП 2х0,75</v>
      </c>
      <c r="D117" s="58" t="str">
        <f>Source!H40</f>
        <v>1000 м</v>
      </c>
      <c r="E117" s="10">
        <f>Source!I40</f>
        <v>0.05</v>
      </c>
      <c r="F117" s="59">
        <f>Source!AL40</f>
        <v>2127.33</v>
      </c>
      <c r="G117" s="60" t="str">
        <f>Source!DD40</f>
        <v/>
      </c>
      <c r="H117" s="61">
        <f>ROUND(Source!AC40*Source!I40, 2)</f>
        <v>106.37</v>
      </c>
      <c r="I117" s="60" t="str">
        <f>Source!BO40</f>
        <v>502-0904</v>
      </c>
      <c r="J117" s="60">
        <f>IF(Source!BC40&lt;&gt; 0, Source!BC40, 1)</f>
        <v>4.05</v>
      </c>
      <c r="K117" s="61">
        <f>Source!P40</f>
        <v>430.78</v>
      </c>
      <c r="L117" s="62"/>
      <c r="S117">
        <f>ROUND((Source!FX40/100)*((ROUND(Source!AF40*Source!I40, 2)+ROUND(Source!AE40*Source!I40, 2))), 2)</f>
        <v>0</v>
      </c>
      <c r="T117">
        <f>Source!X40</f>
        <v>0</v>
      </c>
      <c r="U117">
        <f>ROUND((Source!FY40/100)*((ROUND(Source!AF40*Source!I40, 2)+ROUND(Source!AE40*Source!I40, 2))), 2)</f>
        <v>0</v>
      </c>
      <c r="V117">
        <f>Source!Y40</f>
        <v>0</v>
      </c>
    </row>
    <row r="118" spans="1:26">
      <c r="A118" s="50"/>
      <c r="B118" s="50"/>
      <c r="C118" s="51" t="str">
        <f>"Объем: "&amp;Source!I40&amp;"=50/"&amp;"1000"</f>
        <v>Объем: 0,05=50/1000</v>
      </c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26" ht="13.8">
      <c r="G119" s="72">
        <f>H117</f>
        <v>106.37</v>
      </c>
      <c r="H119" s="72"/>
      <c r="J119" s="72">
        <f>K117</f>
        <v>430.78</v>
      </c>
      <c r="K119" s="72"/>
      <c r="L119" s="73">
        <f>Source!U40</f>
        <v>0</v>
      </c>
      <c r="O119" s="47">
        <f>G119</f>
        <v>106.37</v>
      </c>
      <c r="P119" s="47">
        <f>J119</f>
        <v>430.78</v>
      </c>
      <c r="Q119" s="47">
        <f>L119</f>
        <v>0</v>
      </c>
      <c r="W119">
        <f>IF(Source!BI40&lt;=1,H117, 0)</f>
        <v>0</v>
      </c>
      <c r="X119">
        <f>IF(Source!BI40=2,H117, 0)</f>
        <v>106.37</v>
      </c>
      <c r="Y119">
        <f>IF(Source!BI40=3,H117, 0)</f>
        <v>0</v>
      </c>
      <c r="Z119">
        <f>IF(Source!BI40=4,H117, 0)</f>
        <v>0</v>
      </c>
    </row>
    <row r="120" spans="1:26" ht="41.4">
      <c r="A120" s="79" t="str">
        <f>Source!E41</f>
        <v>25</v>
      </c>
      <c r="B120" s="80" t="str">
        <f>Source!F41</f>
        <v>цена поставщика</v>
      </c>
      <c r="C120" s="80" t="str">
        <f>Source!G41</f>
        <v>БИГ 09 контрольный геркон (базисная стоимость 250,00=250)</v>
      </c>
      <c r="D120" s="65" t="str">
        <f>Source!H41</f>
        <v>ШТ</v>
      </c>
      <c r="E120" s="66">
        <f>Source!I41</f>
        <v>1</v>
      </c>
      <c r="F120" s="67">
        <f>Source!AL41</f>
        <v>250</v>
      </c>
      <c r="G120" s="70" t="str">
        <f>Source!DD41</f>
        <v/>
      </c>
      <c r="H120" s="69">
        <f>ROUND(Source!AC41*Source!I41, 2)</f>
        <v>250</v>
      </c>
      <c r="I120" s="70" t="str">
        <f>Source!BO41</f>
        <v/>
      </c>
      <c r="J120" s="70">
        <f>IF(Source!BC41&lt;&gt; 0, Source!BC41, 1)</f>
        <v>1</v>
      </c>
      <c r="K120" s="69">
        <f>Source!P41</f>
        <v>250</v>
      </c>
      <c r="L120" s="71"/>
      <c r="S120">
        <f>ROUND((Source!FX41/100)*((ROUND(Source!AF41*Source!I41, 2)+ROUND(Source!AE41*Source!I41, 2))), 2)</f>
        <v>0</v>
      </c>
      <c r="T120">
        <f>Source!X41</f>
        <v>0</v>
      </c>
      <c r="U120">
        <f>ROUND((Source!FY41/100)*((ROUND(Source!AF41*Source!I41, 2)+ROUND(Source!AE41*Source!I41, 2))), 2)</f>
        <v>0</v>
      </c>
      <c r="V120">
        <f>Source!Y41</f>
        <v>0</v>
      </c>
    </row>
    <row r="121" spans="1:26" ht="13.8">
      <c r="G121" s="72">
        <f>H120</f>
        <v>250</v>
      </c>
      <c r="H121" s="72"/>
      <c r="J121" s="72">
        <f>K120</f>
        <v>250</v>
      </c>
      <c r="K121" s="72"/>
      <c r="L121" s="73">
        <f>Source!U41</f>
        <v>0</v>
      </c>
      <c r="O121" s="47">
        <f>G121</f>
        <v>250</v>
      </c>
      <c r="P121" s="47">
        <f>J121</f>
        <v>250</v>
      </c>
      <c r="Q121" s="47">
        <f>L121</f>
        <v>0</v>
      </c>
      <c r="W121">
        <f>IF(Source!BI41&lt;=1,H120, 0)</f>
        <v>250</v>
      </c>
      <c r="X121">
        <f>IF(Source!BI41=2,H120, 0)</f>
        <v>0</v>
      </c>
      <c r="Y121">
        <f>IF(Source!BI41=3,H120, 0)</f>
        <v>0</v>
      </c>
      <c r="Z121">
        <f>IF(Source!BI41=4,H120, 0)</f>
        <v>0</v>
      </c>
    </row>
    <row r="123" spans="1:26" ht="13.8">
      <c r="A123" s="57" t="str">
        <f>CONCATENATE("Итого по локальной смете: ",IF(Source!G43&lt;&gt;"Новая локальная смета", Source!G43, ""))</f>
        <v xml:space="preserve">Итого по локальной смете: </v>
      </c>
      <c r="B123" s="57"/>
      <c r="C123" s="57"/>
      <c r="D123" s="57"/>
      <c r="E123" s="57"/>
      <c r="F123" s="57"/>
      <c r="G123" s="77">
        <f>SUM(O42:O122)</f>
        <v>39559.590000000004</v>
      </c>
      <c r="H123" s="77"/>
      <c r="I123" s="54"/>
      <c r="J123" s="77">
        <f>SUM(P42:P122)</f>
        <v>80470.37</v>
      </c>
      <c r="K123" s="77"/>
      <c r="L123" s="73">
        <f>SUM(Q42:Q122)</f>
        <v>47.045000000000002</v>
      </c>
    </row>
    <row r="127" spans="1:26" ht="13.8">
      <c r="A127" s="57" t="str">
        <f>CONCATENATE("Итого по смете: ",IF(Source!G73&lt;&gt;"Новый объект", Source!G73, ""))</f>
        <v>Итого по смете: Дрезна  КТС</v>
      </c>
      <c r="B127" s="57"/>
      <c r="C127" s="57"/>
      <c r="D127" s="57"/>
      <c r="E127" s="57"/>
      <c r="F127" s="57"/>
      <c r="G127" s="77">
        <f>SUM(O1:O126)</f>
        <v>39559.590000000004</v>
      </c>
      <c r="H127" s="77"/>
      <c r="I127" s="54"/>
      <c r="J127" s="77">
        <f>SUM(P1:P126)</f>
        <v>80470.37</v>
      </c>
      <c r="K127" s="77"/>
      <c r="L127" s="73">
        <f>SUM(Q1:Q126)</f>
        <v>47.045000000000002</v>
      </c>
    </row>
    <row r="129" spans="1:12" ht="13.8">
      <c r="C129" s="24" t="str">
        <f>Source!H102</f>
        <v>НДС 20%</v>
      </c>
      <c r="D129" s="24"/>
      <c r="E129" s="24"/>
      <c r="F129" s="24"/>
      <c r="G129" s="24"/>
      <c r="H129" s="24"/>
      <c r="I129" s="24"/>
      <c r="J129" s="35">
        <f>IF(Source!F102=0, "", Source!F102)</f>
        <v>16094.07</v>
      </c>
      <c r="K129" s="35"/>
    </row>
    <row r="130" spans="1:12" ht="13.8">
      <c r="C130" s="24" t="str">
        <f>Source!H103</f>
        <v>Всего с ндс 20%</v>
      </c>
      <c r="D130" s="24"/>
      <c r="E130" s="24"/>
      <c r="F130" s="24"/>
      <c r="G130" s="24"/>
      <c r="H130" s="24"/>
      <c r="I130" s="24"/>
      <c r="J130" s="35">
        <f>IF(Source!F103=0, "", Source!F103)</f>
        <v>96564.44</v>
      </c>
      <c r="K130" s="35"/>
    </row>
    <row r="133" spans="1:12" ht="13.8">
      <c r="A133" s="52" t="s">
        <v>339</v>
      </c>
      <c r="B133" s="52"/>
      <c r="C133" s="10" t="s">
        <v>340</v>
      </c>
      <c r="D133" s="48" t="str">
        <f>IF(Source!CP12&lt;&gt;"", Source!CP12," ")</f>
        <v xml:space="preserve"> </v>
      </c>
      <c r="E133" s="48"/>
      <c r="F133" s="48"/>
      <c r="G133" s="48"/>
      <c r="H133" s="48"/>
      <c r="I133" s="11" t="str">
        <f>IF(Source!CO12&lt;&gt;"", Source!CO12," ")</f>
        <v xml:space="preserve"> </v>
      </c>
      <c r="J133" s="10"/>
      <c r="K133" s="11"/>
      <c r="L133" s="11"/>
    </row>
    <row r="134" spans="1:12" ht="13.8">
      <c r="A134" s="11"/>
      <c r="B134" s="11"/>
      <c r="C134" s="10"/>
      <c r="D134" s="53" t="s">
        <v>341</v>
      </c>
      <c r="E134" s="53"/>
      <c r="F134" s="53"/>
      <c r="G134" s="53"/>
      <c r="H134" s="53"/>
      <c r="I134" s="11"/>
      <c r="J134" s="10"/>
      <c r="K134" s="11"/>
      <c r="L134" s="11"/>
    </row>
    <row r="135" spans="1:12" ht="13.8">
      <c r="A135" s="11"/>
      <c r="B135" s="11"/>
      <c r="C135" s="10"/>
      <c r="D135" s="11"/>
      <c r="E135" s="11"/>
      <c r="F135" s="11"/>
      <c r="G135" s="11"/>
      <c r="H135" s="11"/>
      <c r="I135" s="11"/>
      <c r="J135" s="10"/>
      <c r="K135" s="11"/>
      <c r="L135" s="11"/>
    </row>
    <row r="136" spans="1:12" ht="13.8">
      <c r="A136" s="52" t="s">
        <v>339</v>
      </c>
      <c r="B136" s="52"/>
      <c r="C136" s="10" t="s">
        <v>342</v>
      </c>
      <c r="D136" s="48" t="str">
        <f>IF(Source!AC12&lt;&gt;"", Source!AC12," ")</f>
        <v xml:space="preserve"> </v>
      </c>
      <c r="E136" s="48"/>
      <c r="F136" s="48"/>
      <c r="G136" s="48"/>
      <c r="H136" s="48"/>
      <c r="I136" s="11" t="str">
        <f>IF(Source!AB12&lt;&gt;"", Source!AB12," ")</f>
        <v xml:space="preserve"> </v>
      </c>
      <c r="J136" s="10"/>
      <c r="K136" s="11"/>
      <c r="L136" s="11"/>
    </row>
    <row r="137" spans="1:12" ht="13.8">
      <c r="A137" s="11"/>
      <c r="B137" s="11"/>
      <c r="C137" s="11"/>
      <c r="D137" s="53" t="s">
        <v>341</v>
      </c>
      <c r="E137" s="53"/>
      <c r="F137" s="53"/>
      <c r="G137" s="53"/>
      <c r="H137" s="53"/>
      <c r="I137" s="11"/>
      <c r="J137" s="11"/>
      <c r="K137" s="11"/>
      <c r="L137" s="11"/>
    </row>
    <row r="138" spans="1:12" ht="13.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ht="13.8">
      <c r="A139" s="11"/>
      <c r="B139" s="11"/>
      <c r="C139" s="10" t="s">
        <v>343</v>
      </c>
      <c r="D139" s="48" t="str">
        <f>IF(Source!AE12&lt;&gt;"", Source!AE12," ")</f>
        <v xml:space="preserve"> </v>
      </c>
      <c r="E139" s="48"/>
      <c r="F139" s="48"/>
      <c r="G139" s="48"/>
      <c r="H139" s="48"/>
      <c r="I139" s="11" t="str">
        <f>IF(Source!AD12&lt;&gt;"", Source!AD12," ")</f>
        <v xml:space="preserve"> </v>
      </c>
      <c r="J139" s="10"/>
      <c r="K139" s="11"/>
      <c r="L139" s="11"/>
    </row>
    <row r="140" spans="1:12" ht="13.8">
      <c r="A140" s="11"/>
      <c r="B140" s="11"/>
      <c r="C140" s="11"/>
      <c r="D140" s="53" t="s">
        <v>341</v>
      </c>
      <c r="E140" s="53"/>
      <c r="F140" s="53"/>
      <c r="G140" s="53"/>
      <c r="H140" s="53"/>
      <c r="I140" s="11"/>
      <c r="J140" s="11"/>
      <c r="K140" s="11"/>
      <c r="L140" s="11"/>
    </row>
  </sheetData>
  <mergeCells count="93">
    <mergeCell ref="G116:H116"/>
    <mergeCell ref="J51:K51"/>
    <mergeCell ref="G51:H51"/>
    <mergeCell ref="A42:L42"/>
    <mergeCell ref="G127:H127"/>
    <mergeCell ref="J127:K127"/>
    <mergeCell ref="A127:F127"/>
    <mergeCell ref="G123:H123"/>
    <mergeCell ref="J123:K123"/>
    <mergeCell ref="A123:F123"/>
    <mergeCell ref="J121:K121"/>
    <mergeCell ref="J72:K72"/>
    <mergeCell ref="G72:H72"/>
    <mergeCell ref="J63:K63"/>
    <mergeCell ref="G63:H63"/>
    <mergeCell ref="J61:K61"/>
    <mergeCell ref="G61:H61"/>
    <mergeCell ref="J83:K83"/>
    <mergeCell ref="G83:H83"/>
    <mergeCell ref="J81:K81"/>
    <mergeCell ref="G81:H81"/>
    <mergeCell ref="J74:K74"/>
    <mergeCell ref="G74:H74"/>
    <mergeCell ref="D137:H137"/>
    <mergeCell ref="D140:H140"/>
    <mergeCell ref="J114:K114"/>
    <mergeCell ref="G114:H114"/>
    <mergeCell ref="J104:K104"/>
    <mergeCell ref="G104:H104"/>
    <mergeCell ref="G121:H121"/>
    <mergeCell ref="J119:K119"/>
    <mergeCell ref="G119:H119"/>
    <mergeCell ref="J116:K116"/>
    <mergeCell ref="A38:L38"/>
    <mergeCell ref="C129:I129"/>
    <mergeCell ref="J129:K129"/>
    <mergeCell ref="C130:I130"/>
    <mergeCell ref="J130:K130"/>
    <mergeCell ref="D134:H134"/>
    <mergeCell ref="J95:K95"/>
    <mergeCell ref="G95:H95"/>
    <mergeCell ref="J93:K93"/>
    <mergeCell ref="G93:H93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40"/>
  <sheetViews>
    <sheetView workbookViewId="0">
      <selection activeCell="A136" sqref="A136:AN136"/>
    </sheetView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134</v>
      </c>
      <c r="C12" s="1">
        <v>0</v>
      </c>
      <c r="D12" s="1">
        <f>ROW(A73)</f>
        <v>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B73</f>
        <v>134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Дрезна  КТС</v>
      </c>
      <c r="H18" s="2"/>
      <c r="I18" s="2"/>
      <c r="J18" s="2"/>
      <c r="K18" s="2"/>
      <c r="L18" s="2"/>
      <c r="M18" s="2"/>
      <c r="N18" s="2"/>
      <c r="O18" s="2">
        <f t="shared" ref="O18:AT18" si="1">O73</f>
        <v>60040.18</v>
      </c>
      <c r="P18" s="2">
        <f t="shared" si="1"/>
        <v>45868.67</v>
      </c>
      <c r="Q18" s="2">
        <f t="shared" si="1"/>
        <v>389.56</v>
      </c>
      <c r="R18" s="2">
        <f t="shared" si="1"/>
        <v>26.96</v>
      </c>
      <c r="S18" s="2">
        <f t="shared" si="1"/>
        <v>13781.95</v>
      </c>
      <c r="T18" s="2">
        <f t="shared" si="1"/>
        <v>0</v>
      </c>
      <c r="U18" s="2">
        <f t="shared" si="1"/>
        <v>47.045000000000002</v>
      </c>
      <c r="V18" s="2">
        <f t="shared" si="1"/>
        <v>6.5000000000000002E-2</v>
      </c>
      <c r="W18" s="2">
        <f t="shared" si="1"/>
        <v>29.73</v>
      </c>
      <c r="X18" s="2">
        <f t="shared" si="1"/>
        <v>11870.41</v>
      </c>
      <c r="Y18" s="2">
        <f t="shared" si="1"/>
        <v>8559.7800000000007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80470.37</v>
      </c>
      <c r="AS18" s="2">
        <f t="shared" si="1"/>
        <v>1550</v>
      </c>
      <c r="AT18" s="2">
        <f t="shared" si="1"/>
        <v>78920.37</v>
      </c>
      <c r="AU18" s="2">
        <f t="shared" ref="AU18:BZ18" si="2">AU73</f>
        <v>0</v>
      </c>
      <c r="AV18" s="2">
        <f t="shared" si="2"/>
        <v>45868.67</v>
      </c>
      <c r="AW18" s="2">
        <f t="shared" si="2"/>
        <v>45868.67</v>
      </c>
      <c r="AX18" s="2">
        <f t="shared" si="2"/>
        <v>0</v>
      </c>
      <c r="AY18" s="2">
        <f t="shared" si="2"/>
        <v>45868.67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ROW(A43)</f>
        <v>43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O43</f>
        <v>60040.18</v>
      </c>
      <c r="P22" s="2">
        <f t="shared" si="8"/>
        <v>45868.67</v>
      </c>
      <c r="Q22" s="2">
        <f t="shared" si="8"/>
        <v>389.56</v>
      </c>
      <c r="R22" s="2">
        <f t="shared" si="8"/>
        <v>26.96</v>
      </c>
      <c r="S22" s="2">
        <f t="shared" si="8"/>
        <v>13781.95</v>
      </c>
      <c r="T22" s="2">
        <f t="shared" si="8"/>
        <v>0</v>
      </c>
      <c r="U22" s="2">
        <f t="shared" si="8"/>
        <v>47.045000000000002</v>
      </c>
      <c r="V22" s="2">
        <f t="shared" si="8"/>
        <v>6.5000000000000002E-2</v>
      </c>
      <c r="W22" s="2">
        <f t="shared" si="8"/>
        <v>29.73</v>
      </c>
      <c r="X22" s="2">
        <f t="shared" si="8"/>
        <v>11870.41</v>
      </c>
      <c r="Y22" s="2">
        <f t="shared" si="8"/>
        <v>8559.7800000000007</v>
      </c>
      <c r="Z22" s="2">
        <f t="shared" si="8"/>
        <v>0</v>
      </c>
      <c r="AA22" s="2">
        <f t="shared" si="8"/>
        <v>0</v>
      </c>
      <c r="AB22" s="2">
        <f t="shared" si="8"/>
        <v>60040.18</v>
      </c>
      <c r="AC22" s="2">
        <f t="shared" si="8"/>
        <v>45868.67</v>
      </c>
      <c r="AD22" s="2">
        <f t="shared" si="8"/>
        <v>389.56</v>
      </c>
      <c r="AE22" s="2">
        <f t="shared" si="8"/>
        <v>26.96</v>
      </c>
      <c r="AF22" s="2">
        <f t="shared" si="8"/>
        <v>13781.95</v>
      </c>
      <c r="AG22" s="2">
        <f t="shared" si="8"/>
        <v>0</v>
      </c>
      <c r="AH22" s="2">
        <f t="shared" si="8"/>
        <v>47.045000000000002</v>
      </c>
      <c r="AI22" s="2">
        <f t="shared" si="8"/>
        <v>6.5000000000000002E-2</v>
      </c>
      <c r="AJ22" s="2">
        <f t="shared" si="8"/>
        <v>29.73</v>
      </c>
      <c r="AK22" s="2">
        <f t="shared" si="8"/>
        <v>11870.41</v>
      </c>
      <c r="AL22" s="2">
        <f t="shared" si="8"/>
        <v>8559.7800000000007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80470.37</v>
      </c>
      <c r="AS22" s="2">
        <f t="shared" si="8"/>
        <v>1550</v>
      </c>
      <c r="AT22" s="2">
        <f t="shared" si="8"/>
        <v>78920.37</v>
      </c>
      <c r="AU22" s="2">
        <f t="shared" ref="AU22:BZ22" si="9">AU43</f>
        <v>0</v>
      </c>
      <c r="AV22" s="2">
        <f t="shared" si="9"/>
        <v>45868.67</v>
      </c>
      <c r="AW22" s="2">
        <f t="shared" si="9"/>
        <v>45868.67</v>
      </c>
      <c r="AX22" s="2">
        <f t="shared" si="9"/>
        <v>0</v>
      </c>
      <c r="AY22" s="2">
        <f t="shared" si="9"/>
        <v>45868.67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CA43</f>
        <v>80470.37</v>
      </c>
      <c r="CB22" s="2">
        <f t="shared" si="10"/>
        <v>1550</v>
      </c>
      <c r="CC22" s="2">
        <f t="shared" si="10"/>
        <v>78920.37</v>
      </c>
      <c r="CD22" s="2">
        <f t="shared" si="10"/>
        <v>0</v>
      </c>
      <c r="CE22" s="2">
        <f t="shared" si="10"/>
        <v>45868.67</v>
      </c>
      <c r="CF22" s="2">
        <f t="shared" si="10"/>
        <v>45868.67</v>
      </c>
      <c r="CG22" s="2">
        <f t="shared" si="10"/>
        <v>0</v>
      </c>
      <c r="CH22" s="2">
        <f t="shared" si="10"/>
        <v>45868.67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ROW(SmtRes!A7)</f>
        <v>7</v>
      </c>
      <c r="D24">
        <f>ROW(EtalonRes!A6)</f>
        <v>6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41" si="14">ROUND(CP24,2)</f>
        <v>2286.33</v>
      </c>
      <c r="P24">
        <f t="shared" ref="P24:P41" si="15">ROUND(CQ24*I24,2)</f>
        <v>91.27</v>
      </c>
      <c r="Q24">
        <f t="shared" ref="Q24:Q41" si="16">ROUND(CR24*I24,2)</f>
        <v>1.1599999999999999</v>
      </c>
      <c r="R24">
        <f t="shared" ref="R24:R41" si="17">ROUND(CS24*I24,2)</f>
        <v>0</v>
      </c>
      <c r="S24">
        <f t="shared" ref="S24:S41" si="18">ROUND(CT24*I24,2)</f>
        <v>2193.9</v>
      </c>
      <c r="T24">
        <f t="shared" ref="T24:T41" si="19">ROUND(CU24*I24,2)</f>
        <v>0</v>
      </c>
      <c r="U24">
        <f t="shared" ref="U24:U41" si="20">CV24*I24</f>
        <v>7.2</v>
      </c>
      <c r="V24">
        <f t="shared" ref="V24:V41" si="21">CW24*I24</f>
        <v>0</v>
      </c>
      <c r="W24">
        <f t="shared" ref="W24:W41" si="22">ROUND(CX24*I24,2)</f>
        <v>0</v>
      </c>
      <c r="X24">
        <f t="shared" ref="X24:X41" si="23">ROUND(CY24,2)</f>
        <v>1755.12</v>
      </c>
      <c r="Y24">
        <f t="shared" ref="Y24:Y41" si="24">ROUND(CZ24,2)</f>
        <v>1316.34</v>
      </c>
      <c r="AA24">
        <v>34945658</v>
      </c>
      <c r="AB24">
        <f t="shared" ref="AB24:AB41" si="25">ROUND((AC24+AD24+AF24),6)</f>
        <v>81.27</v>
      </c>
      <c r="AC24">
        <f t="shared" ref="AC24:AC41" si="26">ROUND((ES24),6)</f>
        <v>8.5299999999999994</v>
      </c>
      <c r="AD24">
        <f t="shared" ref="AD24:AD41" si="27">ROUND((((ET24)-(EU24))+AE24),6)</f>
        <v>0.31</v>
      </c>
      <c r="AE24">
        <f t="shared" ref="AE24:AE41" si="28">ROUND((EU24),6)</f>
        <v>0</v>
      </c>
      <c r="AF24">
        <f t="shared" ref="AF24:AF41" si="29">ROUND((EV24),6)</f>
        <v>72.430000000000007</v>
      </c>
      <c r="AG24">
        <f t="shared" ref="AG24:AG41" si="30">ROUND((AP24),6)</f>
        <v>0</v>
      </c>
      <c r="AH24">
        <f t="shared" ref="AH24:AH41" si="31">(EW24)</f>
        <v>7.2</v>
      </c>
      <c r="AI24">
        <f t="shared" ref="AI24:AI41" si="32">(EX24)</f>
        <v>0</v>
      </c>
      <c r="AJ24">
        <f t="shared" ref="AJ24:AJ41" si="33">(AS24)</f>
        <v>0</v>
      </c>
      <c r="AK24">
        <v>81.27</v>
      </c>
      <c r="AL24">
        <v>8.5299999999999994</v>
      </c>
      <c r="AM24">
        <v>0.31</v>
      </c>
      <c r="AN24">
        <v>0</v>
      </c>
      <c r="AO24">
        <v>72.430000000000007</v>
      </c>
      <c r="AP24">
        <v>0</v>
      </c>
      <c r="AQ24">
        <v>7.2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3.74</v>
      </c>
      <c r="BC24">
        <v>10.7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1" si="34">(P24+Q24+S24)</f>
        <v>2286.33</v>
      </c>
      <c r="CQ24">
        <f t="shared" ref="CQ24:CQ41" si="35">AC24*BC24</f>
        <v>91.270999999999987</v>
      </c>
      <c r="CR24">
        <f t="shared" ref="CR24:CR41" si="36">AD24*BB24</f>
        <v>1.1594</v>
      </c>
      <c r="CS24">
        <f t="shared" ref="CS24:CS41" si="37">AE24*BS24</f>
        <v>0</v>
      </c>
      <c r="CT24">
        <f t="shared" ref="CT24:CT41" si="38">AF24*BA24</f>
        <v>2193.9047</v>
      </c>
      <c r="CU24">
        <f t="shared" ref="CU24:CU41" si="39">AG24</f>
        <v>0</v>
      </c>
      <c r="CV24">
        <f t="shared" ref="CV24:CV41" si="40">AH24</f>
        <v>7.2</v>
      </c>
      <c r="CW24">
        <f t="shared" ref="CW24:CW41" si="41">AI24</f>
        <v>0</v>
      </c>
      <c r="CX24">
        <f t="shared" ref="CX24:CX41" si="42">AJ24</f>
        <v>0</v>
      </c>
      <c r="CY24">
        <f t="shared" ref="CY24:CY41" si="43">(((S24+R24)*AT24)/100)</f>
        <v>1755.12</v>
      </c>
      <c r="CZ24">
        <f t="shared" ref="CZ24:CZ41" si="44">(((S24+R24)*AU24)/100)</f>
        <v>1316.34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81.27</v>
      </c>
      <c r="ES24">
        <v>8.5299999999999994</v>
      </c>
      <c r="ET24">
        <v>0.31</v>
      </c>
      <c r="EU24">
        <v>0</v>
      </c>
      <c r="EV24">
        <v>72.430000000000007</v>
      </c>
      <c r="EW24">
        <v>7.2</v>
      </c>
      <c r="EX24">
        <v>0</v>
      </c>
      <c r="EY24">
        <v>0</v>
      </c>
      <c r="FQ24">
        <v>0</v>
      </c>
      <c r="FR24">
        <f t="shared" ref="FR24:FR41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-283746013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1" si="46">ROUND(IF(AND(BH24=3,BI24=3,FS24&lt;&gt;0),P24,0),2)</f>
        <v>0</v>
      </c>
      <c r="GM24">
        <f t="shared" ref="GM24:GM41" si="47">ROUND(O24+X24+Y24,2)+GX24</f>
        <v>5357.79</v>
      </c>
      <c r="GN24">
        <f t="shared" ref="GN24:GN41" si="48">IF(OR(BI24=0,BI24=1),ROUND(O24+X24+Y24,2),0)</f>
        <v>0</v>
      </c>
      <c r="GO24">
        <f t="shared" ref="GO24:GO41" si="49">IF(BI24=2,ROUND(O24+X24+Y24,2),0)</f>
        <v>5357.79</v>
      </c>
      <c r="GP24">
        <f t="shared" ref="GP24:GP41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1" si="51">ROUND((GT24),6)</f>
        <v>0</v>
      </c>
      <c r="GW24">
        <v>1</v>
      </c>
      <c r="GX24">
        <f t="shared" ref="GX24:GX41" si="52">ROUND(HC24*I24,2)</f>
        <v>0</v>
      </c>
      <c r="HA24">
        <v>0</v>
      </c>
      <c r="HB24">
        <v>0</v>
      </c>
      <c r="HC24">
        <f t="shared" ref="HC24:HC41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7</v>
      </c>
      <c r="E25" t="s">
        <v>21</v>
      </c>
      <c r="F25" t="s">
        <v>22</v>
      </c>
      <c r="G25" t="s">
        <v>23</v>
      </c>
      <c r="H25" t="s">
        <v>24</v>
      </c>
      <c r="I25">
        <f>I24*J25</f>
        <v>1</v>
      </c>
      <c r="J25">
        <v>1</v>
      </c>
      <c r="O25">
        <f t="shared" si="14"/>
        <v>14116.67</v>
      </c>
      <c r="P25">
        <f t="shared" si="15"/>
        <v>14116.67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34945658</v>
      </c>
      <c r="AB25">
        <f t="shared" si="25"/>
        <v>14116.67</v>
      </c>
      <c r="AC25">
        <f t="shared" si="26"/>
        <v>14116.67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14116.67</v>
      </c>
      <c r="AL25">
        <v>14116.67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14116.67</v>
      </c>
      <c r="CQ25">
        <f t="shared" si="35"/>
        <v>14116.67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24</v>
      </c>
      <c r="DW25" t="s">
        <v>25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14116.67</v>
      </c>
      <c r="ES25">
        <v>14116.67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26</v>
      </c>
      <c r="GD25">
        <v>1</v>
      </c>
      <c r="GF25">
        <v>1813266902</v>
      </c>
      <c r="GG25">
        <v>2</v>
      </c>
      <c r="GH25">
        <v>0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14116.67</v>
      </c>
      <c r="GN25">
        <f t="shared" si="48"/>
        <v>0</v>
      </c>
      <c r="GO25">
        <f t="shared" si="49"/>
        <v>14116.67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ROW(SmtRes!A16)</f>
        <v>16</v>
      </c>
      <c r="D26">
        <f>ROW(EtalonRes!A13)</f>
        <v>13</v>
      </c>
      <c r="E26" t="s">
        <v>27</v>
      </c>
      <c r="F26" t="s">
        <v>28</v>
      </c>
      <c r="G26" t="s">
        <v>29</v>
      </c>
      <c r="H26" t="s">
        <v>16</v>
      </c>
      <c r="I26">
        <v>2</v>
      </c>
      <c r="J26">
        <v>0</v>
      </c>
      <c r="O26">
        <f t="shared" si="14"/>
        <v>786.63</v>
      </c>
      <c r="P26">
        <f t="shared" si="15"/>
        <v>42.64</v>
      </c>
      <c r="Q26">
        <f t="shared" si="16"/>
        <v>1.88</v>
      </c>
      <c r="R26">
        <f t="shared" si="17"/>
        <v>0</v>
      </c>
      <c r="S26">
        <f t="shared" si="18"/>
        <v>742.11</v>
      </c>
      <c r="T26">
        <f t="shared" si="19"/>
        <v>0</v>
      </c>
      <c r="U26">
        <f t="shared" si="20"/>
        <v>2.4</v>
      </c>
      <c r="V26">
        <f t="shared" si="21"/>
        <v>0</v>
      </c>
      <c r="W26">
        <f t="shared" si="22"/>
        <v>0</v>
      </c>
      <c r="X26">
        <f t="shared" si="23"/>
        <v>593.69000000000005</v>
      </c>
      <c r="Y26">
        <f t="shared" si="24"/>
        <v>445.27</v>
      </c>
      <c r="AA26">
        <v>34945658</v>
      </c>
      <c r="AB26">
        <f t="shared" si="25"/>
        <v>15.79</v>
      </c>
      <c r="AC26">
        <f t="shared" si="26"/>
        <v>3.29</v>
      </c>
      <c r="AD26">
        <f t="shared" si="27"/>
        <v>0.25</v>
      </c>
      <c r="AE26">
        <f t="shared" si="28"/>
        <v>0</v>
      </c>
      <c r="AF26">
        <f t="shared" si="29"/>
        <v>12.25</v>
      </c>
      <c r="AG26">
        <f t="shared" si="30"/>
        <v>0</v>
      </c>
      <c r="AH26">
        <f t="shared" si="31"/>
        <v>1.2</v>
      </c>
      <c r="AI26">
        <f t="shared" si="32"/>
        <v>0</v>
      </c>
      <c r="AJ26">
        <f t="shared" si="33"/>
        <v>0</v>
      </c>
      <c r="AK26">
        <v>15.79</v>
      </c>
      <c r="AL26">
        <v>3.29</v>
      </c>
      <c r="AM26">
        <v>0.25</v>
      </c>
      <c r="AN26">
        <v>0</v>
      </c>
      <c r="AO26">
        <v>12.25</v>
      </c>
      <c r="AP26">
        <v>0</v>
      </c>
      <c r="AQ26">
        <v>1.2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3.76</v>
      </c>
      <c r="BC26">
        <v>6.48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30</v>
      </c>
      <c r="BM26">
        <v>110011</v>
      </c>
      <c r="BN26">
        <v>0</v>
      </c>
      <c r="BO26" t="s">
        <v>28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786.63</v>
      </c>
      <c r="CQ26">
        <f t="shared" si="35"/>
        <v>21.319200000000002</v>
      </c>
      <c r="CR26">
        <f t="shared" si="36"/>
        <v>0.94</v>
      </c>
      <c r="CS26">
        <f t="shared" si="37"/>
        <v>0</v>
      </c>
      <c r="CT26">
        <f t="shared" si="38"/>
        <v>371.05250000000001</v>
      </c>
      <c r="CU26">
        <f t="shared" si="39"/>
        <v>0</v>
      </c>
      <c r="CV26">
        <f t="shared" si="40"/>
        <v>1.2</v>
      </c>
      <c r="CW26">
        <f t="shared" si="41"/>
        <v>0</v>
      </c>
      <c r="CX26">
        <f t="shared" si="42"/>
        <v>0</v>
      </c>
      <c r="CY26">
        <f t="shared" si="43"/>
        <v>593.68799999999999</v>
      </c>
      <c r="CZ26">
        <f t="shared" si="44"/>
        <v>445.26599999999996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15.79</v>
      </c>
      <c r="ES26">
        <v>3.29</v>
      </c>
      <c r="ET26">
        <v>0.25</v>
      </c>
      <c r="EU26">
        <v>0</v>
      </c>
      <c r="EV26">
        <v>12.25</v>
      </c>
      <c r="EW26">
        <v>1.2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1903793266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1825.59</v>
      </c>
      <c r="GN26">
        <f t="shared" si="48"/>
        <v>0</v>
      </c>
      <c r="GO26">
        <f t="shared" si="49"/>
        <v>1825.59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18</v>
      </c>
      <c r="B27">
        <v>1</v>
      </c>
      <c r="C27">
        <v>15</v>
      </c>
      <c r="E27" t="s">
        <v>31</v>
      </c>
      <c r="F27" t="s">
        <v>22</v>
      </c>
      <c r="G27" t="s">
        <v>32</v>
      </c>
      <c r="H27" t="s">
        <v>3</v>
      </c>
      <c r="I27">
        <f>I26*J27</f>
        <v>2</v>
      </c>
      <c r="J27">
        <v>1</v>
      </c>
      <c r="O27">
        <f t="shared" si="14"/>
        <v>7644.66</v>
      </c>
      <c r="P27">
        <f t="shared" si="15"/>
        <v>7644.66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34945658</v>
      </c>
      <c r="AB27">
        <f t="shared" si="25"/>
        <v>3822.33</v>
      </c>
      <c r="AC27">
        <f t="shared" si="26"/>
        <v>3822.33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3822.33</v>
      </c>
      <c r="AL27">
        <v>3822.33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2</v>
      </c>
      <c r="BJ27" t="s">
        <v>3</v>
      </c>
      <c r="BM27">
        <v>110011</v>
      </c>
      <c r="BN27">
        <v>0</v>
      </c>
      <c r="BO27" t="s">
        <v>3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7644.66</v>
      </c>
      <c r="CQ27">
        <f t="shared" si="35"/>
        <v>3822.33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35526009</v>
      </c>
      <c r="EF27">
        <v>3</v>
      </c>
      <c r="EG27" t="s">
        <v>18</v>
      </c>
      <c r="EH27">
        <v>0</v>
      </c>
      <c r="EI27" t="s">
        <v>3</v>
      </c>
      <c r="EJ27">
        <v>2</v>
      </c>
      <c r="EK27">
        <v>110011</v>
      </c>
      <c r="EL27" t="s">
        <v>19</v>
      </c>
      <c r="EM27" t="s">
        <v>20</v>
      </c>
      <c r="EO27" t="s">
        <v>3</v>
      </c>
      <c r="EQ27">
        <v>0</v>
      </c>
      <c r="ER27">
        <v>3822.33</v>
      </c>
      <c r="ES27">
        <v>3822.33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60</v>
      </c>
      <c r="GA27" t="s">
        <v>26</v>
      </c>
      <c r="GD27">
        <v>1</v>
      </c>
      <c r="GF27">
        <v>1690513152</v>
      </c>
      <c r="GG27">
        <v>2</v>
      </c>
      <c r="GH27">
        <v>0</v>
      </c>
      <c r="GI27">
        <v>-2</v>
      </c>
      <c r="GJ27">
        <v>0</v>
      </c>
      <c r="GK27">
        <v>0</v>
      </c>
      <c r="GL27">
        <f t="shared" si="46"/>
        <v>0</v>
      </c>
      <c r="GM27">
        <f t="shared" si="47"/>
        <v>7644.66</v>
      </c>
      <c r="GN27">
        <f t="shared" si="48"/>
        <v>0</v>
      </c>
      <c r="GO27">
        <f t="shared" si="49"/>
        <v>7644.66</v>
      </c>
      <c r="GP27">
        <f t="shared" si="50"/>
        <v>0</v>
      </c>
      <c r="GR27">
        <v>0</v>
      </c>
      <c r="GS27">
        <v>4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18</v>
      </c>
      <c r="B28">
        <v>1</v>
      </c>
      <c r="C28">
        <v>16</v>
      </c>
      <c r="E28" t="s">
        <v>33</v>
      </c>
      <c r="F28" t="s">
        <v>22</v>
      </c>
      <c r="G28" t="s">
        <v>34</v>
      </c>
      <c r="H28" t="s">
        <v>3</v>
      </c>
      <c r="I28">
        <f>I26*J28</f>
        <v>2</v>
      </c>
      <c r="J28">
        <v>1</v>
      </c>
      <c r="O28">
        <f t="shared" si="14"/>
        <v>765.34</v>
      </c>
      <c r="P28">
        <f t="shared" si="15"/>
        <v>765.34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34945658</v>
      </c>
      <c r="AB28">
        <f t="shared" si="25"/>
        <v>382.67</v>
      </c>
      <c r="AC28">
        <f t="shared" si="26"/>
        <v>382.67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382.67</v>
      </c>
      <c r="AL28">
        <v>382.67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110011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765.34</v>
      </c>
      <c r="CQ28">
        <f t="shared" si="35"/>
        <v>382.67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35526009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110011</v>
      </c>
      <c r="EL28" t="s">
        <v>19</v>
      </c>
      <c r="EM28" t="s">
        <v>20</v>
      </c>
      <c r="EO28" t="s">
        <v>3</v>
      </c>
      <c r="EQ28">
        <v>0</v>
      </c>
      <c r="ER28">
        <v>382.67</v>
      </c>
      <c r="ES28">
        <v>382.67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45"/>
        <v>0</v>
      </c>
      <c r="FS28">
        <v>0</v>
      </c>
      <c r="FX28">
        <v>80</v>
      </c>
      <c r="FY28">
        <v>60</v>
      </c>
      <c r="GA28" t="s">
        <v>26</v>
      </c>
      <c r="GD28">
        <v>1</v>
      </c>
      <c r="GF28">
        <v>1751312504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si="46"/>
        <v>0</v>
      </c>
      <c r="GM28">
        <f t="shared" si="47"/>
        <v>765.34</v>
      </c>
      <c r="GN28">
        <f t="shared" si="48"/>
        <v>0</v>
      </c>
      <c r="GO28">
        <f t="shared" si="49"/>
        <v>765.34</v>
      </c>
      <c r="GP28">
        <f t="shared" si="50"/>
        <v>0</v>
      </c>
      <c r="GR28">
        <v>0</v>
      </c>
      <c r="GS28">
        <v>4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E29" t="s">
        <v>35</v>
      </c>
      <c r="F29" t="s">
        <v>36</v>
      </c>
      <c r="G29" t="s">
        <v>37</v>
      </c>
      <c r="H29" t="s">
        <v>38</v>
      </c>
      <c r="I29">
        <v>2</v>
      </c>
      <c r="J29">
        <v>0</v>
      </c>
      <c r="O29">
        <f t="shared" si="14"/>
        <v>5839.85</v>
      </c>
      <c r="P29">
        <f t="shared" si="15"/>
        <v>5839.85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17.82</v>
      </c>
      <c r="X29">
        <f t="shared" si="23"/>
        <v>0</v>
      </c>
      <c r="Y29">
        <f t="shared" si="24"/>
        <v>0</v>
      </c>
      <c r="AA29">
        <v>34945658</v>
      </c>
      <c r="AB29">
        <f t="shared" si="25"/>
        <v>463.48</v>
      </c>
      <c r="AC29">
        <f t="shared" si="26"/>
        <v>463.48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8.91</v>
      </c>
      <c r="AK29">
        <v>463.48</v>
      </c>
      <c r="AL29">
        <v>463.48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8.91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6.3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2</v>
      </c>
      <c r="BJ29" t="s">
        <v>39</v>
      </c>
      <c r="BM29">
        <v>500002</v>
      </c>
      <c r="BN29">
        <v>0</v>
      </c>
      <c r="BO29" t="s">
        <v>36</v>
      </c>
      <c r="BP29">
        <v>1</v>
      </c>
      <c r="BQ29">
        <v>12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5839.85</v>
      </c>
      <c r="CQ29">
        <f t="shared" si="35"/>
        <v>2919.924</v>
      </c>
      <c r="CR29">
        <f t="shared" si="36"/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8.91</v>
      </c>
      <c r="CY29">
        <f t="shared" si="43"/>
        <v>0</v>
      </c>
      <c r="CZ29">
        <f t="shared" si="44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38</v>
      </c>
      <c r="DW29" t="s">
        <v>38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35526013</v>
      </c>
      <c r="EF29">
        <v>12</v>
      </c>
      <c r="EG29" t="s">
        <v>40</v>
      </c>
      <c r="EH29">
        <v>0</v>
      </c>
      <c r="EI29" t="s">
        <v>3</v>
      </c>
      <c r="EJ29">
        <v>2</v>
      </c>
      <c r="EK29">
        <v>500002</v>
      </c>
      <c r="EL29" t="s">
        <v>41</v>
      </c>
      <c r="EM29" t="s">
        <v>42</v>
      </c>
      <c r="EO29" t="s">
        <v>3</v>
      </c>
      <c r="EQ29">
        <v>0</v>
      </c>
      <c r="ER29">
        <v>463.48</v>
      </c>
      <c r="ES29">
        <v>463.48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FQ29">
        <v>0</v>
      </c>
      <c r="FR29">
        <f t="shared" si="45"/>
        <v>0</v>
      </c>
      <c r="FS29">
        <v>0</v>
      </c>
      <c r="FX29">
        <v>0</v>
      </c>
      <c r="FY29">
        <v>0</v>
      </c>
      <c r="GA29" t="s">
        <v>3</v>
      </c>
      <c r="GD29">
        <v>1</v>
      </c>
      <c r="GF29">
        <v>-1581388636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5839.85</v>
      </c>
      <c r="GN29">
        <f t="shared" si="48"/>
        <v>0</v>
      </c>
      <c r="GO29">
        <f t="shared" si="49"/>
        <v>5839.85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ROW(SmtRes!A22)</f>
        <v>22</v>
      </c>
      <c r="D30">
        <f>ROW(EtalonRes!A19)</f>
        <v>19</v>
      </c>
      <c r="E30" t="s">
        <v>43</v>
      </c>
      <c r="F30" t="s">
        <v>44</v>
      </c>
      <c r="G30" t="s">
        <v>45</v>
      </c>
      <c r="H30" t="s">
        <v>16</v>
      </c>
      <c r="I30">
        <v>1</v>
      </c>
      <c r="J30">
        <v>0</v>
      </c>
      <c r="O30">
        <f t="shared" si="14"/>
        <v>418.41</v>
      </c>
      <c r="P30">
        <f t="shared" si="15"/>
        <v>11.37</v>
      </c>
      <c r="Q30">
        <f t="shared" si="16"/>
        <v>77.790000000000006</v>
      </c>
      <c r="R30">
        <f t="shared" si="17"/>
        <v>16.36</v>
      </c>
      <c r="S30">
        <f t="shared" si="18"/>
        <v>329.25</v>
      </c>
      <c r="T30">
        <f t="shared" si="19"/>
        <v>0</v>
      </c>
      <c r="U30">
        <f t="shared" si="20"/>
        <v>1.1299999999999999</v>
      </c>
      <c r="V30">
        <f t="shared" si="21"/>
        <v>0.04</v>
      </c>
      <c r="W30">
        <f t="shared" si="22"/>
        <v>0</v>
      </c>
      <c r="X30">
        <f t="shared" si="23"/>
        <v>328.33</v>
      </c>
      <c r="Y30">
        <f t="shared" si="24"/>
        <v>224.65</v>
      </c>
      <c r="AA30">
        <v>34945658</v>
      </c>
      <c r="AB30">
        <f t="shared" si="25"/>
        <v>20.5</v>
      </c>
      <c r="AC30">
        <f t="shared" si="26"/>
        <v>0.76</v>
      </c>
      <c r="AD30">
        <f t="shared" si="27"/>
        <v>8.8699999999999992</v>
      </c>
      <c r="AE30">
        <f t="shared" si="28"/>
        <v>0.54</v>
      </c>
      <c r="AF30">
        <f t="shared" si="29"/>
        <v>10.87</v>
      </c>
      <c r="AG30">
        <f t="shared" si="30"/>
        <v>0</v>
      </c>
      <c r="AH30">
        <f t="shared" si="31"/>
        <v>1.1299999999999999</v>
      </c>
      <c r="AI30">
        <f t="shared" si="32"/>
        <v>0.04</v>
      </c>
      <c r="AJ30">
        <f t="shared" si="33"/>
        <v>0</v>
      </c>
      <c r="AK30">
        <v>20.5</v>
      </c>
      <c r="AL30">
        <v>0.76</v>
      </c>
      <c r="AM30">
        <v>8.8699999999999992</v>
      </c>
      <c r="AN30">
        <v>0.54</v>
      </c>
      <c r="AO30">
        <v>10.87</v>
      </c>
      <c r="AP30">
        <v>0</v>
      </c>
      <c r="AQ30">
        <v>1.1299999999999999</v>
      </c>
      <c r="AR30">
        <v>0.04</v>
      </c>
      <c r="AS30">
        <v>0</v>
      </c>
      <c r="AT30">
        <v>95</v>
      </c>
      <c r="AU30">
        <v>65</v>
      </c>
      <c r="AV30">
        <v>1</v>
      </c>
      <c r="AW30">
        <v>1</v>
      </c>
      <c r="AZ30">
        <v>1</v>
      </c>
      <c r="BA30">
        <v>30.29</v>
      </c>
      <c r="BB30">
        <v>8.77</v>
      </c>
      <c r="BC30">
        <v>14.96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46</v>
      </c>
      <c r="BM30">
        <v>108001</v>
      </c>
      <c r="BN30">
        <v>0</v>
      </c>
      <c r="BO30" t="s">
        <v>44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95</v>
      </c>
      <c r="CA30">
        <v>65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418.41</v>
      </c>
      <c r="CQ30">
        <f t="shared" si="35"/>
        <v>11.3696</v>
      </c>
      <c r="CR30">
        <f t="shared" si="36"/>
        <v>77.789899999999989</v>
      </c>
      <c r="CS30">
        <f t="shared" si="37"/>
        <v>16.3566</v>
      </c>
      <c r="CT30">
        <f t="shared" si="38"/>
        <v>329.25229999999999</v>
      </c>
      <c r="CU30">
        <f t="shared" si="39"/>
        <v>0</v>
      </c>
      <c r="CV30">
        <f t="shared" si="40"/>
        <v>1.1299999999999999</v>
      </c>
      <c r="CW30">
        <f t="shared" si="41"/>
        <v>0.04</v>
      </c>
      <c r="CX30">
        <f t="shared" si="42"/>
        <v>0</v>
      </c>
      <c r="CY30">
        <f t="shared" si="43"/>
        <v>328.32950000000005</v>
      </c>
      <c r="CZ30">
        <f t="shared" si="44"/>
        <v>224.6465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35525962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108001</v>
      </c>
      <c r="EL30" t="s">
        <v>47</v>
      </c>
      <c r="EM30" t="s">
        <v>48</v>
      </c>
      <c r="EO30" t="s">
        <v>3</v>
      </c>
      <c r="EQ30">
        <v>0</v>
      </c>
      <c r="ER30">
        <v>20.5</v>
      </c>
      <c r="ES30">
        <v>0.76</v>
      </c>
      <c r="ET30">
        <v>8.8699999999999992</v>
      </c>
      <c r="EU30">
        <v>0.54</v>
      </c>
      <c r="EV30">
        <v>10.87</v>
      </c>
      <c r="EW30">
        <v>1.1299999999999999</v>
      </c>
      <c r="EX30">
        <v>0.04</v>
      </c>
      <c r="EY30">
        <v>0</v>
      </c>
      <c r="FQ30">
        <v>0</v>
      </c>
      <c r="FR30">
        <f t="shared" si="45"/>
        <v>0</v>
      </c>
      <c r="FS30">
        <v>0</v>
      </c>
      <c r="FX30">
        <v>95</v>
      </c>
      <c r="FY30">
        <v>65</v>
      </c>
      <c r="GA30" t="s">
        <v>3</v>
      </c>
      <c r="GD30">
        <v>1</v>
      </c>
      <c r="GF30">
        <v>-1528623764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971.39</v>
      </c>
      <c r="GN30">
        <f t="shared" si="48"/>
        <v>0</v>
      </c>
      <c r="GO30">
        <f t="shared" si="49"/>
        <v>971.39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50</v>
      </c>
      <c r="G31" t="s">
        <v>51</v>
      </c>
      <c r="H31" t="s">
        <v>38</v>
      </c>
      <c r="I31">
        <v>1</v>
      </c>
      <c r="J31">
        <v>0</v>
      </c>
      <c r="O31">
        <f t="shared" si="14"/>
        <v>213</v>
      </c>
      <c r="P31">
        <f t="shared" si="15"/>
        <v>213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0.88</v>
      </c>
      <c r="X31">
        <f t="shared" si="23"/>
        <v>0</v>
      </c>
      <c r="Y31">
        <f t="shared" si="24"/>
        <v>0</v>
      </c>
      <c r="AA31">
        <v>34945658</v>
      </c>
      <c r="AB31">
        <f t="shared" si="25"/>
        <v>45.61</v>
      </c>
      <c r="AC31">
        <f t="shared" si="26"/>
        <v>45.61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0.88</v>
      </c>
      <c r="AK31">
        <v>45.61</v>
      </c>
      <c r="AL31">
        <v>45.61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0.88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4.67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52</v>
      </c>
      <c r="BM31">
        <v>500002</v>
      </c>
      <c r="BN31">
        <v>0</v>
      </c>
      <c r="BO31" t="s">
        <v>50</v>
      </c>
      <c r="BP31">
        <v>1</v>
      </c>
      <c r="BQ31">
        <v>12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213</v>
      </c>
      <c r="CQ31">
        <f t="shared" si="35"/>
        <v>212.99869999999999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0.88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38</v>
      </c>
      <c r="DW31" t="s">
        <v>38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35526013</v>
      </c>
      <c r="EF31">
        <v>12</v>
      </c>
      <c r="EG31" t="s">
        <v>40</v>
      </c>
      <c r="EH31">
        <v>0</v>
      </c>
      <c r="EI31" t="s">
        <v>3</v>
      </c>
      <c r="EJ31">
        <v>2</v>
      </c>
      <c r="EK31">
        <v>500002</v>
      </c>
      <c r="EL31" t="s">
        <v>41</v>
      </c>
      <c r="EM31" t="s">
        <v>42</v>
      </c>
      <c r="EO31" t="s">
        <v>3</v>
      </c>
      <c r="EQ31">
        <v>0</v>
      </c>
      <c r="ER31">
        <v>45.61</v>
      </c>
      <c r="ES31">
        <v>45.61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-193151120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213</v>
      </c>
      <c r="GN31">
        <f t="shared" si="48"/>
        <v>0</v>
      </c>
      <c r="GO31">
        <f t="shared" si="49"/>
        <v>213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ROW(SmtRes!A29)</f>
        <v>29</v>
      </c>
      <c r="D32">
        <f>ROW(EtalonRes!A26)</f>
        <v>26</v>
      </c>
      <c r="E32" t="s">
        <v>53</v>
      </c>
      <c r="F32" t="s">
        <v>54</v>
      </c>
      <c r="G32" t="s">
        <v>55</v>
      </c>
      <c r="H32" t="s">
        <v>16</v>
      </c>
      <c r="I32">
        <v>10</v>
      </c>
      <c r="J32">
        <v>0</v>
      </c>
      <c r="O32">
        <f t="shared" si="14"/>
        <v>2627.91</v>
      </c>
      <c r="P32">
        <f t="shared" si="15"/>
        <v>180.48</v>
      </c>
      <c r="Q32">
        <f t="shared" si="16"/>
        <v>0</v>
      </c>
      <c r="R32">
        <f t="shared" si="17"/>
        <v>0</v>
      </c>
      <c r="S32">
        <f t="shared" si="18"/>
        <v>2447.4299999999998</v>
      </c>
      <c r="T32">
        <f t="shared" si="19"/>
        <v>0</v>
      </c>
      <c r="U32">
        <f t="shared" si="20"/>
        <v>8.4</v>
      </c>
      <c r="V32">
        <f t="shared" si="21"/>
        <v>0</v>
      </c>
      <c r="W32">
        <f t="shared" si="22"/>
        <v>0</v>
      </c>
      <c r="X32">
        <f t="shared" si="23"/>
        <v>1957.94</v>
      </c>
      <c r="Y32">
        <f t="shared" si="24"/>
        <v>1468.46</v>
      </c>
      <c r="AA32">
        <v>34945658</v>
      </c>
      <c r="AB32">
        <f t="shared" si="25"/>
        <v>9.9600000000000009</v>
      </c>
      <c r="AC32">
        <f t="shared" si="26"/>
        <v>1.88</v>
      </c>
      <c r="AD32">
        <f t="shared" si="27"/>
        <v>0</v>
      </c>
      <c r="AE32">
        <f t="shared" si="28"/>
        <v>0</v>
      </c>
      <c r="AF32">
        <f t="shared" si="29"/>
        <v>8.08</v>
      </c>
      <c r="AG32">
        <f t="shared" si="30"/>
        <v>0</v>
      </c>
      <c r="AH32">
        <f t="shared" si="31"/>
        <v>0.84</v>
      </c>
      <c r="AI32">
        <f t="shared" si="32"/>
        <v>0</v>
      </c>
      <c r="AJ32">
        <f t="shared" si="33"/>
        <v>0</v>
      </c>
      <c r="AK32">
        <v>9.9600000000000009</v>
      </c>
      <c r="AL32">
        <v>1.88</v>
      </c>
      <c r="AM32">
        <v>0</v>
      </c>
      <c r="AN32">
        <v>0</v>
      </c>
      <c r="AO32">
        <v>8.08</v>
      </c>
      <c r="AP32">
        <v>0</v>
      </c>
      <c r="AQ32">
        <v>0.84</v>
      </c>
      <c r="AR32">
        <v>0</v>
      </c>
      <c r="AS32">
        <v>0</v>
      </c>
      <c r="AT32">
        <v>80</v>
      </c>
      <c r="AU32">
        <v>60</v>
      </c>
      <c r="AV32">
        <v>1</v>
      </c>
      <c r="AW32">
        <v>1</v>
      </c>
      <c r="AZ32">
        <v>1</v>
      </c>
      <c r="BA32">
        <v>30.29</v>
      </c>
      <c r="BB32">
        <v>1</v>
      </c>
      <c r="BC32">
        <v>9.6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56</v>
      </c>
      <c r="BM32">
        <v>110011</v>
      </c>
      <c r="BN32">
        <v>0</v>
      </c>
      <c r="BO32" t="s">
        <v>54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2627.91</v>
      </c>
      <c r="CQ32">
        <f t="shared" si="35"/>
        <v>18.047999999999998</v>
      </c>
      <c r="CR32">
        <f t="shared" si="36"/>
        <v>0</v>
      </c>
      <c r="CS32">
        <f t="shared" si="37"/>
        <v>0</v>
      </c>
      <c r="CT32">
        <f t="shared" si="38"/>
        <v>244.7432</v>
      </c>
      <c r="CU32">
        <f t="shared" si="39"/>
        <v>0</v>
      </c>
      <c r="CV32">
        <f t="shared" si="40"/>
        <v>0.84</v>
      </c>
      <c r="CW32">
        <f t="shared" si="41"/>
        <v>0</v>
      </c>
      <c r="CX32">
        <f t="shared" si="42"/>
        <v>0</v>
      </c>
      <c r="CY32">
        <f t="shared" si="43"/>
        <v>1957.944</v>
      </c>
      <c r="CZ32">
        <f t="shared" si="44"/>
        <v>1468.4579999999999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16</v>
      </c>
      <c r="DW32" t="s">
        <v>16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35526009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110011</v>
      </c>
      <c r="EL32" t="s">
        <v>19</v>
      </c>
      <c r="EM32" t="s">
        <v>20</v>
      </c>
      <c r="EO32" t="s">
        <v>3</v>
      </c>
      <c r="EQ32">
        <v>0</v>
      </c>
      <c r="ER32">
        <v>9.9600000000000009</v>
      </c>
      <c r="ES32">
        <v>1.88</v>
      </c>
      <c r="ET32">
        <v>0</v>
      </c>
      <c r="EU32">
        <v>0</v>
      </c>
      <c r="EV32">
        <v>8.08</v>
      </c>
      <c r="EW32">
        <v>0.84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80</v>
      </c>
      <c r="FY32">
        <v>60</v>
      </c>
      <c r="GA32" t="s">
        <v>3</v>
      </c>
      <c r="GD32">
        <v>1</v>
      </c>
      <c r="GF32">
        <v>-857099500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6054.31</v>
      </c>
      <c r="GN32">
        <f t="shared" si="48"/>
        <v>0</v>
      </c>
      <c r="GO32">
        <f t="shared" si="49"/>
        <v>6054.31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57</v>
      </c>
      <c r="F33" t="s">
        <v>58</v>
      </c>
      <c r="G33" t="s">
        <v>59</v>
      </c>
      <c r="H33" t="s">
        <v>38</v>
      </c>
      <c r="I33">
        <v>10</v>
      </c>
      <c r="J33">
        <v>0</v>
      </c>
      <c r="O33">
        <f t="shared" si="14"/>
        <v>1370.29</v>
      </c>
      <c r="P33">
        <f t="shared" si="15"/>
        <v>1370.29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8</v>
      </c>
      <c r="X33">
        <f t="shared" si="23"/>
        <v>0</v>
      </c>
      <c r="Y33">
        <f t="shared" si="24"/>
        <v>0</v>
      </c>
      <c r="AA33">
        <v>34945658</v>
      </c>
      <c r="AB33">
        <f t="shared" si="25"/>
        <v>41.65</v>
      </c>
      <c r="AC33">
        <f t="shared" si="26"/>
        <v>41.65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0.8</v>
      </c>
      <c r="AK33">
        <v>41.65</v>
      </c>
      <c r="AL33">
        <v>41.65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0.8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3.29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60</v>
      </c>
      <c r="BM33">
        <v>500002</v>
      </c>
      <c r="BN33">
        <v>0</v>
      </c>
      <c r="BO33" t="s">
        <v>58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1370.29</v>
      </c>
      <c r="CQ33">
        <f t="shared" si="35"/>
        <v>137.02850000000001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0.8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38</v>
      </c>
      <c r="DW33" t="s">
        <v>38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40</v>
      </c>
      <c r="EH33">
        <v>0</v>
      </c>
      <c r="EI33" t="s">
        <v>3</v>
      </c>
      <c r="EJ33">
        <v>2</v>
      </c>
      <c r="EK33">
        <v>500002</v>
      </c>
      <c r="EL33" t="s">
        <v>41</v>
      </c>
      <c r="EM33" t="s">
        <v>42</v>
      </c>
      <c r="EO33" t="s">
        <v>3</v>
      </c>
      <c r="EQ33">
        <v>0</v>
      </c>
      <c r="ER33">
        <v>41.65</v>
      </c>
      <c r="ES33">
        <v>41.65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1155383976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1370.29</v>
      </c>
      <c r="GN33">
        <f t="shared" si="48"/>
        <v>0</v>
      </c>
      <c r="GO33">
        <f t="shared" si="49"/>
        <v>1370.29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ROW(SmtRes!A37)</f>
        <v>37</v>
      </c>
      <c r="D34">
        <f>ROW(EtalonRes!A34)</f>
        <v>34</v>
      </c>
      <c r="E34" t="s">
        <v>61</v>
      </c>
      <c r="F34" t="s">
        <v>62</v>
      </c>
      <c r="G34" t="s">
        <v>63</v>
      </c>
      <c r="H34" t="s">
        <v>64</v>
      </c>
      <c r="I34">
        <f>ROUND(100/100,9)</f>
        <v>1</v>
      </c>
      <c r="J34">
        <v>0</v>
      </c>
      <c r="O34">
        <f t="shared" si="14"/>
        <v>5193.66</v>
      </c>
      <c r="P34">
        <f t="shared" si="15"/>
        <v>226.88</v>
      </c>
      <c r="Q34">
        <f t="shared" si="16"/>
        <v>274.25</v>
      </c>
      <c r="R34">
        <f t="shared" si="17"/>
        <v>4.24</v>
      </c>
      <c r="S34">
        <f t="shared" si="18"/>
        <v>4692.53</v>
      </c>
      <c r="T34">
        <f t="shared" si="19"/>
        <v>0</v>
      </c>
      <c r="U34">
        <f t="shared" si="20"/>
        <v>16.29</v>
      </c>
      <c r="V34">
        <f t="shared" si="21"/>
        <v>0.01</v>
      </c>
      <c r="W34">
        <f t="shared" si="22"/>
        <v>0</v>
      </c>
      <c r="X34">
        <f t="shared" si="23"/>
        <v>4461.93</v>
      </c>
      <c r="Y34">
        <f t="shared" si="24"/>
        <v>3052.9</v>
      </c>
      <c r="AA34">
        <v>34945658</v>
      </c>
      <c r="AB34">
        <f t="shared" si="25"/>
        <v>237.45</v>
      </c>
      <c r="AC34">
        <f t="shared" si="26"/>
        <v>51.33</v>
      </c>
      <c r="AD34">
        <f t="shared" si="27"/>
        <v>31.2</v>
      </c>
      <c r="AE34">
        <f t="shared" si="28"/>
        <v>0.14000000000000001</v>
      </c>
      <c r="AF34">
        <f t="shared" si="29"/>
        <v>154.91999999999999</v>
      </c>
      <c r="AG34">
        <f t="shared" si="30"/>
        <v>0</v>
      </c>
      <c r="AH34">
        <f t="shared" si="31"/>
        <v>16.29</v>
      </c>
      <c r="AI34">
        <f t="shared" si="32"/>
        <v>0.01</v>
      </c>
      <c r="AJ34">
        <f t="shared" si="33"/>
        <v>0</v>
      </c>
      <c r="AK34">
        <v>237.45</v>
      </c>
      <c r="AL34">
        <v>51.33</v>
      </c>
      <c r="AM34">
        <v>31.2</v>
      </c>
      <c r="AN34">
        <v>0.14000000000000001</v>
      </c>
      <c r="AO34">
        <v>154.91999999999999</v>
      </c>
      <c r="AP34">
        <v>0</v>
      </c>
      <c r="AQ34">
        <v>16.29</v>
      </c>
      <c r="AR34">
        <v>0.01</v>
      </c>
      <c r="AS34">
        <v>0</v>
      </c>
      <c r="AT34">
        <v>95</v>
      </c>
      <c r="AU34">
        <v>65</v>
      </c>
      <c r="AV34">
        <v>1</v>
      </c>
      <c r="AW34">
        <v>1</v>
      </c>
      <c r="AZ34">
        <v>1</v>
      </c>
      <c r="BA34">
        <v>30.29</v>
      </c>
      <c r="BB34">
        <v>8.7899999999999991</v>
      </c>
      <c r="BC34">
        <v>4.42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30.29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5193.66</v>
      </c>
      <c r="CQ34">
        <f t="shared" si="35"/>
        <v>226.87859999999998</v>
      </c>
      <c r="CR34">
        <f t="shared" si="36"/>
        <v>274.24799999999999</v>
      </c>
      <c r="CS34">
        <f t="shared" si="37"/>
        <v>4.2406000000000006</v>
      </c>
      <c r="CT34">
        <f t="shared" si="38"/>
        <v>4692.5267999999996</v>
      </c>
      <c r="CU34">
        <f t="shared" si="39"/>
        <v>0</v>
      </c>
      <c r="CV34">
        <f t="shared" si="40"/>
        <v>16.29</v>
      </c>
      <c r="CW34">
        <f t="shared" si="41"/>
        <v>0.01</v>
      </c>
      <c r="CX34">
        <f t="shared" si="42"/>
        <v>0</v>
      </c>
      <c r="CY34">
        <f t="shared" si="43"/>
        <v>4461.9314999999997</v>
      </c>
      <c r="CZ34">
        <f t="shared" si="44"/>
        <v>3052.9004999999997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64</v>
      </c>
      <c r="DW34" t="s">
        <v>64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35525962</v>
      </c>
      <c r="EF34">
        <v>3</v>
      </c>
      <c r="EG34" t="s">
        <v>18</v>
      </c>
      <c r="EH34">
        <v>0</v>
      </c>
      <c r="EI34" t="s">
        <v>3</v>
      </c>
      <c r="EJ34">
        <v>2</v>
      </c>
      <c r="EK34">
        <v>108001</v>
      </c>
      <c r="EL34" t="s">
        <v>47</v>
      </c>
      <c r="EM34" t="s">
        <v>48</v>
      </c>
      <c r="EO34" t="s">
        <v>3</v>
      </c>
      <c r="EQ34">
        <v>0</v>
      </c>
      <c r="ER34">
        <v>237.45</v>
      </c>
      <c r="ES34">
        <v>51.33</v>
      </c>
      <c r="ET34">
        <v>31.2</v>
      </c>
      <c r="EU34">
        <v>0.14000000000000001</v>
      </c>
      <c r="EV34">
        <v>154.91999999999999</v>
      </c>
      <c r="EW34">
        <v>16.29</v>
      </c>
      <c r="EX34">
        <v>0.01</v>
      </c>
      <c r="EY34">
        <v>0</v>
      </c>
      <c r="FQ34">
        <v>0</v>
      </c>
      <c r="FR34">
        <f t="shared" si="45"/>
        <v>0</v>
      </c>
      <c r="FS34">
        <v>0</v>
      </c>
      <c r="FX34">
        <v>95</v>
      </c>
      <c r="FY34">
        <v>65</v>
      </c>
      <c r="GA34" t="s">
        <v>3</v>
      </c>
      <c r="GD34">
        <v>1</v>
      </c>
      <c r="GF34">
        <v>-1230240878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12708.49</v>
      </c>
      <c r="GN34">
        <f t="shared" si="48"/>
        <v>0</v>
      </c>
      <c r="GO34">
        <f t="shared" si="49"/>
        <v>12708.49</v>
      </c>
      <c r="GP34">
        <f t="shared" si="50"/>
        <v>0</v>
      </c>
      <c r="GR34">
        <v>0</v>
      </c>
      <c r="GS34">
        <v>3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66</v>
      </c>
      <c r="F35" t="s">
        <v>67</v>
      </c>
      <c r="G35" t="s">
        <v>68</v>
      </c>
      <c r="H35" t="s">
        <v>69</v>
      </c>
      <c r="I35">
        <v>100</v>
      </c>
      <c r="J35">
        <v>0</v>
      </c>
      <c r="O35">
        <f t="shared" si="14"/>
        <v>611.04999999999995</v>
      </c>
      <c r="P35">
        <f t="shared" si="15"/>
        <v>611.04999999999995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</v>
      </c>
      <c r="X35">
        <f t="shared" si="23"/>
        <v>0</v>
      </c>
      <c r="Y35">
        <f t="shared" si="24"/>
        <v>0</v>
      </c>
      <c r="AA35">
        <v>34945658</v>
      </c>
      <c r="AB35">
        <f t="shared" si="25"/>
        <v>1.21</v>
      </c>
      <c r="AC35">
        <f t="shared" si="26"/>
        <v>1.21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0.02</v>
      </c>
      <c r="AK35">
        <v>1.21</v>
      </c>
      <c r="AL35">
        <v>1.21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0.02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70</v>
      </c>
      <c r="BM35">
        <v>500002</v>
      </c>
      <c r="BN35">
        <v>0</v>
      </c>
      <c r="BO35" t="s">
        <v>67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611.04999999999995</v>
      </c>
      <c r="CQ35">
        <f t="shared" si="35"/>
        <v>6.1105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0.02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69</v>
      </c>
      <c r="DW35" t="s">
        <v>69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40</v>
      </c>
      <c r="EH35">
        <v>0</v>
      </c>
      <c r="EI35" t="s">
        <v>3</v>
      </c>
      <c r="EJ35">
        <v>2</v>
      </c>
      <c r="EK35">
        <v>500002</v>
      </c>
      <c r="EL35" t="s">
        <v>41</v>
      </c>
      <c r="EM35" t="s">
        <v>42</v>
      </c>
      <c r="EO35" t="s">
        <v>3</v>
      </c>
      <c r="EQ35">
        <v>0</v>
      </c>
      <c r="ER35">
        <v>1.21</v>
      </c>
      <c r="ES35">
        <v>1.21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1444914593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611.04999999999995</v>
      </c>
      <c r="GN35">
        <f t="shared" si="48"/>
        <v>0</v>
      </c>
      <c r="GO35">
        <f t="shared" si="49"/>
        <v>611.04999999999995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ROW(SmtRes!A46)</f>
        <v>46</v>
      </c>
      <c r="D36">
        <f>ROW(EtalonRes!A42)</f>
        <v>42</v>
      </c>
      <c r="E36" t="s">
        <v>71</v>
      </c>
      <c r="F36" t="s">
        <v>72</v>
      </c>
      <c r="G36" t="s">
        <v>73</v>
      </c>
      <c r="H36" t="s">
        <v>16</v>
      </c>
      <c r="I36">
        <v>12</v>
      </c>
      <c r="J36">
        <v>0</v>
      </c>
      <c r="O36">
        <f t="shared" si="14"/>
        <v>3065.39</v>
      </c>
      <c r="P36">
        <f t="shared" si="15"/>
        <v>123.19</v>
      </c>
      <c r="Q36">
        <f t="shared" si="16"/>
        <v>5.28</v>
      </c>
      <c r="R36">
        <f t="shared" si="17"/>
        <v>0</v>
      </c>
      <c r="S36">
        <f t="shared" si="18"/>
        <v>2936.92</v>
      </c>
      <c r="T36">
        <f t="shared" si="19"/>
        <v>0</v>
      </c>
      <c r="U36">
        <f t="shared" si="20"/>
        <v>10.08</v>
      </c>
      <c r="V36">
        <f t="shared" si="21"/>
        <v>0</v>
      </c>
      <c r="W36">
        <f t="shared" si="22"/>
        <v>0</v>
      </c>
      <c r="X36">
        <f t="shared" si="23"/>
        <v>2349.54</v>
      </c>
      <c r="Y36">
        <f t="shared" si="24"/>
        <v>1762.15</v>
      </c>
      <c r="AA36">
        <v>34945658</v>
      </c>
      <c r="AB36">
        <f t="shared" si="25"/>
        <v>9.48</v>
      </c>
      <c r="AC36">
        <f t="shared" si="26"/>
        <v>1.28</v>
      </c>
      <c r="AD36">
        <f t="shared" si="27"/>
        <v>0.12</v>
      </c>
      <c r="AE36">
        <f t="shared" si="28"/>
        <v>0</v>
      </c>
      <c r="AF36">
        <f t="shared" si="29"/>
        <v>8.08</v>
      </c>
      <c r="AG36">
        <f t="shared" si="30"/>
        <v>0</v>
      </c>
      <c r="AH36">
        <f t="shared" si="31"/>
        <v>0.84</v>
      </c>
      <c r="AI36">
        <f t="shared" si="32"/>
        <v>0</v>
      </c>
      <c r="AJ36">
        <f t="shared" si="33"/>
        <v>0</v>
      </c>
      <c r="AK36">
        <v>9.48</v>
      </c>
      <c r="AL36">
        <v>1.28</v>
      </c>
      <c r="AM36">
        <v>0.12</v>
      </c>
      <c r="AN36">
        <v>0</v>
      </c>
      <c r="AO36">
        <v>8.08</v>
      </c>
      <c r="AP36">
        <v>0</v>
      </c>
      <c r="AQ36">
        <v>0.84</v>
      </c>
      <c r="AR36">
        <v>0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30.29</v>
      </c>
      <c r="BB36">
        <v>3.67</v>
      </c>
      <c r="BC36">
        <v>8.02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110011</v>
      </c>
      <c r="BN36">
        <v>0</v>
      </c>
      <c r="BO36" t="s">
        <v>72</v>
      </c>
      <c r="BP36">
        <v>1</v>
      </c>
      <c r="BQ36">
        <v>3</v>
      </c>
      <c r="BR36">
        <v>0</v>
      </c>
      <c r="BS36">
        <v>30.29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3065.39</v>
      </c>
      <c r="CQ36">
        <f t="shared" si="35"/>
        <v>10.265599999999999</v>
      </c>
      <c r="CR36">
        <f t="shared" si="36"/>
        <v>0.44039999999999996</v>
      </c>
      <c r="CS36">
        <f t="shared" si="37"/>
        <v>0</v>
      </c>
      <c r="CT36">
        <f t="shared" si="38"/>
        <v>244.7432</v>
      </c>
      <c r="CU36">
        <f t="shared" si="39"/>
        <v>0</v>
      </c>
      <c r="CV36">
        <f t="shared" si="40"/>
        <v>0.84</v>
      </c>
      <c r="CW36">
        <f t="shared" si="41"/>
        <v>0</v>
      </c>
      <c r="CX36">
        <f t="shared" si="42"/>
        <v>0</v>
      </c>
      <c r="CY36">
        <f t="shared" si="43"/>
        <v>2349.5360000000001</v>
      </c>
      <c r="CZ36">
        <f t="shared" si="44"/>
        <v>1762.152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16</v>
      </c>
      <c r="DW36" t="s">
        <v>16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35526009</v>
      </c>
      <c r="EF36">
        <v>3</v>
      </c>
      <c r="EG36" t="s">
        <v>18</v>
      </c>
      <c r="EH36">
        <v>0</v>
      </c>
      <c r="EI36" t="s">
        <v>3</v>
      </c>
      <c r="EJ36">
        <v>2</v>
      </c>
      <c r="EK36">
        <v>110011</v>
      </c>
      <c r="EL36" t="s">
        <v>19</v>
      </c>
      <c r="EM36" t="s">
        <v>20</v>
      </c>
      <c r="EO36" t="s">
        <v>3</v>
      </c>
      <c r="EQ36">
        <v>0</v>
      </c>
      <c r="ER36">
        <v>9.48</v>
      </c>
      <c r="ES36">
        <v>1.28</v>
      </c>
      <c r="ET36">
        <v>0.12</v>
      </c>
      <c r="EU36">
        <v>0</v>
      </c>
      <c r="EV36">
        <v>8.08</v>
      </c>
      <c r="EW36">
        <v>0.84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1540632375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7177.08</v>
      </c>
      <c r="GN36">
        <f t="shared" si="48"/>
        <v>0</v>
      </c>
      <c r="GO36">
        <f t="shared" si="49"/>
        <v>7177.08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46</v>
      </c>
      <c r="E37" t="s">
        <v>75</v>
      </c>
      <c r="F37" t="s">
        <v>22</v>
      </c>
      <c r="G37" t="s">
        <v>76</v>
      </c>
      <c r="H37" t="s">
        <v>3</v>
      </c>
      <c r="I37">
        <f>I36*J37</f>
        <v>12</v>
      </c>
      <c r="J37">
        <v>1</v>
      </c>
      <c r="O37">
        <f t="shared" si="14"/>
        <v>12571.2</v>
      </c>
      <c r="P37">
        <f t="shared" si="15"/>
        <v>12571.2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34945658</v>
      </c>
      <c r="AB37">
        <f t="shared" si="25"/>
        <v>1047.5999999999999</v>
      </c>
      <c r="AC37">
        <f t="shared" si="26"/>
        <v>1047.5999999999999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1047.5999999999999</v>
      </c>
      <c r="AL37">
        <v>1047.5999999999999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110011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12571.2</v>
      </c>
      <c r="CQ37">
        <f t="shared" si="35"/>
        <v>1047.5999999999999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35526009</v>
      </c>
      <c r="EF37">
        <v>3</v>
      </c>
      <c r="EG37" t="s">
        <v>18</v>
      </c>
      <c r="EH37">
        <v>0</v>
      </c>
      <c r="EI37" t="s">
        <v>3</v>
      </c>
      <c r="EJ37">
        <v>2</v>
      </c>
      <c r="EK37">
        <v>110011</v>
      </c>
      <c r="EL37" t="s">
        <v>19</v>
      </c>
      <c r="EM37" t="s">
        <v>20</v>
      </c>
      <c r="EO37" t="s">
        <v>3</v>
      </c>
      <c r="EQ37">
        <v>0</v>
      </c>
      <c r="ER37">
        <v>1047.5999999999999</v>
      </c>
      <c r="ES37">
        <v>1047.5999999999999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80</v>
      </c>
      <c r="FY37">
        <v>60</v>
      </c>
      <c r="GA37" t="s">
        <v>26</v>
      </c>
      <c r="GD37">
        <v>1</v>
      </c>
      <c r="GF37">
        <v>183745787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46"/>
        <v>0</v>
      </c>
      <c r="GM37">
        <f t="shared" si="47"/>
        <v>12571.2</v>
      </c>
      <c r="GN37">
        <f t="shared" si="48"/>
        <v>0</v>
      </c>
      <c r="GO37">
        <f t="shared" si="49"/>
        <v>12571.2</v>
      </c>
      <c r="GP37">
        <f t="shared" si="50"/>
        <v>0</v>
      </c>
      <c r="GR37">
        <v>0</v>
      </c>
      <c r="GS37">
        <v>4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ROW(SmtRes!A54)</f>
        <v>54</v>
      </c>
      <c r="D38">
        <f>ROW(EtalonRes!A50)</f>
        <v>50</v>
      </c>
      <c r="E38" t="s">
        <v>77</v>
      </c>
      <c r="F38" t="s">
        <v>78</v>
      </c>
      <c r="G38" t="s">
        <v>79</v>
      </c>
      <c r="H38" t="s">
        <v>64</v>
      </c>
      <c r="I38">
        <f>ROUND(150/100,9)</f>
        <v>1.5</v>
      </c>
      <c r="J38">
        <v>0</v>
      </c>
      <c r="O38">
        <f t="shared" si="14"/>
        <v>549.01</v>
      </c>
      <c r="P38">
        <f t="shared" si="15"/>
        <v>80</v>
      </c>
      <c r="Q38">
        <f t="shared" si="16"/>
        <v>29.2</v>
      </c>
      <c r="R38">
        <f t="shared" si="17"/>
        <v>6.36</v>
      </c>
      <c r="S38">
        <f t="shared" si="18"/>
        <v>439.81</v>
      </c>
      <c r="T38">
        <f t="shared" si="19"/>
        <v>0</v>
      </c>
      <c r="U38">
        <f t="shared" si="20"/>
        <v>1.5449999999999999</v>
      </c>
      <c r="V38">
        <f t="shared" si="21"/>
        <v>1.4999999999999999E-2</v>
      </c>
      <c r="W38">
        <f t="shared" si="22"/>
        <v>0</v>
      </c>
      <c r="X38">
        <f t="shared" si="23"/>
        <v>423.86</v>
      </c>
      <c r="Y38">
        <f t="shared" si="24"/>
        <v>290.01</v>
      </c>
      <c r="AA38">
        <v>34945658</v>
      </c>
      <c r="AB38">
        <f t="shared" si="25"/>
        <v>24.42</v>
      </c>
      <c r="AC38">
        <f t="shared" si="26"/>
        <v>12.52</v>
      </c>
      <c r="AD38">
        <f t="shared" si="27"/>
        <v>2.2200000000000002</v>
      </c>
      <c r="AE38">
        <f t="shared" si="28"/>
        <v>0.14000000000000001</v>
      </c>
      <c r="AF38">
        <f t="shared" si="29"/>
        <v>9.68</v>
      </c>
      <c r="AG38">
        <f t="shared" si="30"/>
        <v>0</v>
      </c>
      <c r="AH38">
        <f t="shared" si="31"/>
        <v>1.03</v>
      </c>
      <c r="AI38">
        <f t="shared" si="32"/>
        <v>0.01</v>
      </c>
      <c r="AJ38">
        <f t="shared" si="33"/>
        <v>0</v>
      </c>
      <c r="AK38">
        <v>24.42</v>
      </c>
      <c r="AL38">
        <v>12.52</v>
      </c>
      <c r="AM38">
        <v>2.2200000000000002</v>
      </c>
      <c r="AN38">
        <v>0.14000000000000001</v>
      </c>
      <c r="AO38">
        <v>9.68</v>
      </c>
      <c r="AP38">
        <v>0</v>
      </c>
      <c r="AQ38">
        <v>1.03</v>
      </c>
      <c r="AR38">
        <v>0.01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30.29</v>
      </c>
      <c r="BB38">
        <v>8.77</v>
      </c>
      <c r="BC38">
        <v>4.26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80</v>
      </c>
      <c r="BM38">
        <v>108001</v>
      </c>
      <c r="BN38">
        <v>0</v>
      </c>
      <c r="BO38" t="s">
        <v>78</v>
      </c>
      <c r="BP38">
        <v>1</v>
      </c>
      <c r="BQ38">
        <v>3</v>
      </c>
      <c r="BR38">
        <v>0</v>
      </c>
      <c r="BS38">
        <v>30.29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549.01</v>
      </c>
      <c r="CQ38">
        <f t="shared" si="35"/>
        <v>53.335199999999993</v>
      </c>
      <c r="CR38">
        <f t="shared" si="36"/>
        <v>19.4694</v>
      </c>
      <c r="CS38">
        <f t="shared" si="37"/>
        <v>4.2406000000000006</v>
      </c>
      <c r="CT38">
        <f t="shared" si="38"/>
        <v>293.2072</v>
      </c>
      <c r="CU38">
        <f t="shared" si="39"/>
        <v>0</v>
      </c>
      <c r="CV38">
        <f t="shared" si="40"/>
        <v>1.03</v>
      </c>
      <c r="CW38">
        <f t="shared" si="41"/>
        <v>0.01</v>
      </c>
      <c r="CX38">
        <f t="shared" si="42"/>
        <v>0</v>
      </c>
      <c r="CY38">
        <f t="shared" si="43"/>
        <v>423.86150000000004</v>
      </c>
      <c r="CZ38">
        <f t="shared" si="44"/>
        <v>290.01049999999998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64</v>
      </c>
      <c r="DW38" t="s">
        <v>64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35525962</v>
      </c>
      <c r="EF38">
        <v>3</v>
      </c>
      <c r="EG38" t="s">
        <v>18</v>
      </c>
      <c r="EH38">
        <v>0</v>
      </c>
      <c r="EI38" t="s">
        <v>3</v>
      </c>
      <c r="EJ38">
        <v>2</v>
      </c>
      <c r="EK38">
        <v>108001</v>
      </c>
      <c r="EL38" t="s">
        <v>47</v>
      </c>
      <c r="EM38" t="s">
        <v>48</v>
      </c>
      <c r="EO38" t="s">
        <v>3</v>
      </c>
      <c r="EQ38">
        <v>0</v>
      </c>
      <c r="ER38">
        <v>24.42</v>
      </c>
      <c r="ES38">
        <v>12.52</v>
      </c>
      <c r="ET38">
        <v>2.2200000000000002</v>
      </c>
      <c r="EU38">
        <v>0.14000000000000001</v>
      </c>
      <c r="EV38">
        <v>9.68</v>
      </c>
      <c r="EW38">
        <v>1.03</v>
      </c>
      <c r="EX38">
        <v>0.01</v>
      </c>
      <c r="EY38">
        <v>0</v>
      </c>
      <c r="FQ38">
        <v>0</v>
      </c>
      <c r="FR38">
        <f t="shared" si="45"/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-1617070152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1262.8800000000001</v>
      </c>
      <c r="GN38">
        <f t="shared" si="48"/>
        <v>0</v>
      </c>
      <c r="GO38">
        <f t="shared" si="49"/>
        <v>1262.8800000000001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E39" t="s">
        <v>81</v>
      </c>
      <c r="F39" t="s">
        <v>82</v>
      </c>
      <c r="G39" t="s">
        <v>83</v>
      </c>
      <c r="H39" t="s">
        <v>69</v>
      </c>
      <c r="I39">
        <v>100</v>
      </c>
      <c r="J39">
        <v>0</v>
      </c>
      <c r="O39">
        <f t="shared" si="14"/>
        <v>1300</v>
      </c>
      <c r="P39">
        <f t="shared" si="15"/>
        <v>1300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34945658</v>
      </c>
      <c r="AB39">
        <f t="shared" si="25"/>
        <v>13</v>
      </c>
      <c r="AC39">
        <f t="shared" si="26"/>
        <v>13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13</v>
      </c>
      <c r="AL39">
        <v>13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1100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1300</v>
      </c>
      <c r="CQ39">
        <f t="shared" si="35"/>
        <v>13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69</v>
      </c>
      <c r="DW39" t="s">
        <v>69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35526259</v>
      </c>
      <c r="EF39">
        <v>8</v>
      </c>
      <c r="EG39" t="s">
        <v>84</v>
      </c>
      <c r="EH39">
        <v>0</v>
      </c>
      <c r="EI39" t="s">
        <v>3</v>
      </c>
      <c r="EJ39">
        <v>1</v>
      </c>
      <c r="EK39">
        <v>1100</v>
      </c>
      <c r="EL39" t="s">
        <v>85</v>
      </c>
      <c r="EM39" t="s">
        <v>86</v>
      </c>
      <c r="EO39" t="s">
        <v>3</v>
      </c>
      <c r="EQ39">
        <v>0</v>
      </c>
      <c r="ER39">
        <v>13</v>
      </c>
      <c r="ES39">
        <v>13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26</v>
      </c>
      <c r="GD39">
        <v>1</v>
      </c>
      <c r="GF39">
        <v>262594803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46"/>
        <v>0</v>
      </c>
      <c r="GM39">
        <f t="shared" si="47"/>
        <v>1300</v>
      </c>
      <c r="GN39">
        <f t="shared" si="48"/>
        <v>1300</v>
      </c>
      <c r="GO39">
        <f t="shared" si="49"/>
        <v>0</v>
      </c>
      <c r="GP39">
        <f t="shared" si="50"/>
        <v>0</v>
      </c>
      <c r="GR39">
        <v>0</v>
      </c>
      <c r="GS39">
        <v>4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87</v>
      </c>
      <c r="F40" t="s">
        <v>88</v>
      </c>
      <c r="G40" t="s">
        <v>89</v>
      </c>
      <c r="H40" t="s">
        <v>90</v>
      </c>
      <c r="I40">
        <f>ROUND(50/1000,9)</f>
        <v>0.05</v>
      </c>
      <c r="J40">
        <v>0</v>
      </c>
      <c r="O40">
        <f t="shared" si="14"/>
        <v>430.78</v>
      </c>
      <c r="P40">
        <f t="shared" si="15"/>
        <v>430.78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1.03</v>
      </c>
      <c r="X40">
        <f t="shared" si="23"/>
        <v>0</v>
      </c>
      <c r="Y40">
        <f t="shared" si="24"/>
        <v>0</v>
      </c>
      <c r="AA40">
        <v>34945658</v>
      </c>
      <c r="AB40">
        <f t="shared" si="25"/>
        <v>2127.33</v>
      </c>
      <c r="AC40">
        <f t="shared" si="26"/>
        <v>2127.33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20.65</v>
      </c>
      <c r="AK40">
        <v>2127.33</v>
      </c>
      <c r="AL40">
        <v>2127.33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20.65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4.05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91</v>
      </c>
      <c r="BM40">
        <v>500002</v>
      </c>
      <c r="BN40">
        <v>0</v>
      </c>
      <c r="BO40" t="s">
        <v>88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430.78</v>
      </c>
      <c r="CQ40">
        <f t="shared" si="35"/>
        <v>8615.6864999999998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20.65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90</v>
      </c>
      <c r="DW40" t="s">
        <v>92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35526013</v>
      </c>
      <c r="EF40">
        <v>12</v>
      </c>
      <c r="EG40" t="s">
        <v>40</v>
      </c>
      <c r="EH40">
        <v>0</v>
      </c>
      <c r="EI40" t="s">
        <v>3</v>
      </c>
      <c r="EJ40">
        <v>2</v>
      </c>
      <c r="EK40">
        <v>500002</v>
      </c>
      <c r="EL40" t="s">
        <v>41</v>
      </c>
      <c r="EM40" t="s">
        <v>42</v>
      </c>
      <c r="EO40" t="s">
        <v>3</v>
      </c>
      <c r="EQ40">
        <v>0</v>
      </c>
      <c r="ER40">
        <v>2127.33</v>
      </c>
      <c r="ES40">
        <v>2127.33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10904088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430.78</v>
      </c>
      <c r="GN40">
        <f t="shared" si="48"/>
        <v>0</v>
      </c>
      <c r="GO40">
        <f t="shared" si="49"/>
        <v>430.78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E41" t="s">
        <v>93</v>
      </c>
      <c r="F41" t="s">
        <v>94</v>
      </c>
      <c r="G41" t="s">
        <v>95</v>
      </c>
      <c r="H41" t="s">
        <v>96</v>
      </c>
      <c r="I41">
        <v>1</v>
      </c>
      <c r="J41">
        <v>0</v>
      </c>
      <c r="O41">
        <f t="shared" si="14"/>
        <v>250</v>
      </c>
      <c r="P41">
        <f t="shared" si="15"/>
        <v>250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34945658</v>
      </c>
      <c r="AB41">
        <f t="shared" si="25"/>
        <v>250</v>
      </c>
      <c r="AC41">
        <f t="shared" si="26"/>
        <v>250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250</v>
      </c>
      <c r="AL41">
        <v>250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250</v>
      </c>
      <c r="CQ41">
        <f t="shared" si="35"/>
        <v>250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96</v>
      </c>
      <c r="DW41" t="s">
        <v>96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35526259</v>
      </c>
      <c r="EF41">
        <v>8</v>
      </c>
      <c r="EG41" t="s">
        <v>84</v>
      </c>
      <c r="EH41">
        <v>0</v>
      </c>
      <c r="EI41" t="s">
        <v>3</v>
      </c>
      <c r="EJ41">
        <v>1</v>
      </c>
      <c r="EK41">
        <v>1100</v>
      </c>
      <c r="EL41" t="s">
        <v>85</v>
      </c>
      <c r="EM41" t="s">
        <v>86</v>
      </c>
      <c r="EO41" t="s">
        <v>3</v>
      </c>
      <c r="EQ41">
        <v>0</v>
      </c>
      <c r="ER41">
        <v>250</v>
      </c>
      <c r="ES41">
        <v>250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26</v>
      </c>
      <c r="GD41">
        <v>1</v>
      </c>
      <c r="GF41">
        <v>405337802</v>
      </c>
      <c r="GG41">
        <v>2</v>
      </c>
      <c r="GH41">
        <v>0</v>
      </c>
      <c r="GI41">
        <v>-2</v>
      </c>
      <c r="GJ41">
        <v>0</v>
      </c>
      <c r="GK41">
        <v>0</v>
      </c>
      <c r="GL41">
        <f t="shared" si="46"/>
        <v>0</v>
      </c>
      <c r="GM41">
        <f t="shared" si="47"/>
        <v>250</v>
      </c>
      <c r="GN41">
        <f t="shared" si="48"/>
        <v>250</v>
      </c>
      <c r="GO41">
        <f t="shared" si="49"/>
        <v>0</v>
      </c>
      <c r="GP41">
        <f t="shared" si="50"/>
        <v>0</v>
      </c>
      <c r="GR41">
        <v>0</v>
      </c>
      <c r="GS41">
        <v>4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IK41">
        <v>0</v>
      </c>
    </row>
    <row r="43" spans="1:245">
      <c r="A43" s="2">
        <v>51</v>
      </c>
      <c r="B43" s="2">
        <f>B20</f>
        <v>1</v>
      </c>
      <c r="C43" s="2">
        <f>A20</f>
        <v>3</v>
      </c>
      <c r="D43" s="2">
        <f>ROW(A20)</f>
        <v>20</v>
      </c>
      <c r="E43" s="2"/>
      <c r="F43" s="2" t="str">
        <f>IF(F20&lt;&gt;"",F20,"")</f>
        <v>Новая локальная смета</v>
      </c>
      <c r="G43" s="2" t="str">
        <f>IF(G20&lt;&gt;"",G20,"")</f>
        <v>Новая локальная смета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4">ROUND(AB43,2)</f>
        <v>60040.18</v>
      </c>
      <c r="P43" s="2">
        <f t="shared" si="54"/>
        <v>45868.67</v>
      </c>
      <c r="Q43" s="2">
        <f t="shared" si="54"/>
        <v>389.56</v>
      </c>
      <c r="R43" s="2">
        <f t="shared" si="54"/>
        <v>26.96</v>
      </c>
      <c r="S43" s="2">
        <f t="shared" si="54"/>
        <v>13781.95</v>
      </c>
      <c r="T43" s="2">
        <f t="shared" si="54"/>
        <v>0</v>
      </c>
      <c r="U43" s="2">
        <f>AH43</f>
        <v>47.045000000000002</v>
      </c>
      <c r="V43" s="2">
        <f>AI43</f>
        <v>6.5000000000000002E-2</v>
      </c>
      <c r="W43" s="2">
        <f>ROUND(AJ43,2)</f>
        <v>29.73</v>
      </c>
      <c r="X43" s="2">
        <f>ROUND(AK43,2)</f>
        <v>11870.41</v>
      </c>
      <c r="Y43" s="2">
        <f>ROUND(AL43,2)</f>
        <v>8559.7800000000007</v>
      </c>
      <c r="Z43" s="2"/>
      <c r="AA43" s="2"/>
      <c r="AB43" s="2">
        <f>ROUND(SUMIF(AA24:AA41,"=34945658",O24:O41),2)</f>
        <v>60040.18</v>
      </c>
      <c r="AC43" s="2">
        <f>ROUND(SUMIF(AA24:AA41,"=34945658",P24:P41),2)</f>
        <v>45868.67</v>
      </c>
      <c r="AD43" s="2">
        <f>ROUND(SUMIF(AA24:AA41,"=34945658",Q24:Q41),2)</f>
        <v>389.56</v>
      </c>
      <c r="AE43" s="2">
        <f>ROUND(SUMIF(AA24:AA41,"=34945658",R24:R41),2)</f>
        <v>26.96</v>
      </c>
      <c r="AF43" s="2">
        <f>ROUND(SUMIF(AA24:AA41,"=34945658",S24:S41),2)</f>
        <v>13781.95</v>
      </c>
      <c r="AG43" s="2">
        <f>ROUND(SUMIF(AA24:AA41,"=34945658",T24:T41),2)</f>
        <v>0</v>
      </c>
      <c r="AH43" s="2">
        <f>SUMIF(AA24:AA41,"=34945658",U24:U41)</f>
        <v>47.045000000000002</v>
      </c>
      <c r="AI43" s="2">
        <f>SUMIF(AA24:AA41,"=34945658",V24:V41)</f>
        <v>6.5000000000000002E-2</v>
      </c>
      <c r="AJ43" s="2">
        <f>ROUND(SUMIF(AA24:AA41,"=34945658",W24:W41),2)</f>
        <v>29.73</v>
      </c>
      <c r="AK43" s="2">
        <f>ROUND(SUMIF(AA24:AA41,"=34945658",X24:X41),2)</f>
        <v>11870.41</v>
      </c>
      <c r="AL43" s="2">
        <f>ROUND(SUMIF(AA24:AA41,"=34945658",Y24:Y41),2)</f>
        <v>8559.7800000000007</v>
      </c>
      <c r="AM43" s="2"/>
      <c r="AN43" s="2"/>
      <c r="AO43" s="2">
        <f t="shared" ref="AO43:BD43" si="55">ROUND(BX43,2)</f>
        <v>0</v>
      </c>
      <c r="AP43" s="2">
        <f t="shared" si="55"/>
        <v>0</v>
      </c>
      <c r="AQ43" s="2">
        <f t="shared" si="55"/>
        <v>0</v>
      </c>
      <c r="AR43" s="2">
        <f t="shared" si="55"/>
        <v>80470.37</v>
      </c>
      <c r="AS43" s="2">
        <f t="shared" si="55"/>
        <v>1550</v>
      </c>
      <c r="AT43" s="2">
        <f t="shared" si="55"/>
        <v>78920.37</v>
      </c>
      <c r="AU43" s="2">
        <f t="shared" si="55"/>
        <v>0</v>
      </c>
      <c r="AV43" s="2">
        <f t="shared" si="55"/>
        <v>45868.67</v>
      </c>
      <c r="AW43" s="2">
        <f t="shared" si="55"/>
        <v>45868.67</v>
      </c>
      <c r="AX43" s="2">
        <f t="shared" si="55"/>
        <v>0</v>
      </c>
      <c r="AY43" s="2">
        <f t="shared" si="55"/>
        <v>45868.67</v>
      </c>
      <c r="AZ43" s="2">
        <f t="shared" si="55"/>
        <v>0</v>
      </c>
      <c r="BA43" s="2">
        <f t="shared" si="55"/>
        <v>0</v>
      </c>
      <c r="BB43" s="2">
        <f t="shared" si="55"/>
        <v>0</v>
      </c>
      <c r="BC43" s="2">
        <f t="shared" si="55"/>
        <v>0</v>
      </c>
      <c r="BD43" s="2">
        <f t="shared" si="55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ROUND(SUMIF(AA24:AA41,"=34945658",FQ24:FQ41),2)</f>
        <v>0</v>
      </c>
      <c r="BY43" s="2">
        <f>ROUND(SUMIF(AA24:AA41,"=34945658",FR24:FR41),2)</f>
        <v>0</v>
      </c>
      <c r="BZ43" s="2">
        <f>ROUND(SUMIF(AA24:AA41,"=34945658",GL24:GL41),2)</f>
        <v>0</v>
      </c>
      <c r="CA43" s="2">
        <f>ROUND(SUMIF(AA24:AA41,"=34945658",GM24:GM41),2)</f>
        <v>80470.37</v>
      </c>
      <c r="CB43" s="2">
        <f>ROUND(SUMIF(AA24:AA41,"=34945658",GN24:GN41),2)</f>
        <v>1550</v>
      </c>
      <c r="CC43" s="2">
        <f>ROUND(SUMIF(AA24:AA41,"=34945658",GO24:GO41),2)</f>
        <v>78920.37</v>
      </c>
      <c r="CD43" s="2">
        <f>ROUND(SUMIF(AA24:AA41,"=34945658",GP24:GP41),2)</f>
        <v>0</v>
      </c>
      <c r="CE43" s="2">
        <f>AC43-BX43</f>
        <v>45868.67</v>
      </c>
      <c r="CF43" s="2">
        <f>AC43-BY43</f>
        <v>45868.67</v>
      </c>
      <c r="CG43" s="2">
        <f>BX43-BZ43</f>
        <v>0</v>
      </c>
      <c r="CH43" s="2">
        <f>AC43-BX43-BY43+BZ43</f>
        <v>45868.67</v>
      </c>
      <c r="CI43" s="2">
        <f>BY43-BZ43</f>
        <v>0</v>
      </c>
      <c r="CJ43" s="2">
        <f>ROUND(SUMIF(AA24:AA41,"=34945658",GX24:GX41),2)</f>
        <v>0</v>
      </c>
      <c r="CK43" s="2">
        <f>ROUND(SUMIF(AA24:AA41,"=34945658",GY24:GY41),2)</f>
        <v>0</v>
      </c>
      <c r="CL43" s="2">
        <f>ROUND(SUMIF(AA24:AA41,"=34945658",GZ24:GZ41),2)</f>
        <v>0</v>
      </c>
      <c r="CM43" s="2">
        <f>ROUND(SUMIF(AA24:AA41,"=34945658",HD24:HD41),2)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60040.18</v>
      </c>
      <c r="G45" s="4" t="s">
        <v>97</v>
      </c>
      <c r="H45" s="4" t="s">
        <v>98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45868.67</v>
      </c>
      <c r="G46" s="4" t="s">
        <v>99</v>
      </c>
      <c r="H46" s="4" t="s">
        <v>100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101</v>
      </c>
      <c r="H47" s="4" t="s">
        <v>102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45868.67</v>
      </c>
      <c r="G48" s="4" t="s">
        <v>103</v>
      </c>
      <c r="H48" s="4" t="s">
        <v>104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45868.67</v>
      </c>
      <c r="G49" s="4" t="s">
        <v>105</v>
      </c>
      <c r="H49" s="4" t="s">
        <v>106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107</v>
      </c>
      <c r="H50" s="4" t="s">
        <v>108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45868.67</v>
      </c>
      <c r="G51" s="4" t="s">
        <v>109</v>
      </c>
      <c r="H51" s="4" t="s">
        <v>110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111</v>
      </c>
      <c r="H52" s="4" t="s">
        <v>112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113</v>
      </c>
      <c r="H53" s="4" t="s">
        <v>114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115</v>
      </c>
      <c r="H54" s="4" t="s">
        <v>116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389.56</v>
      </c>
      <c r="G55" s="4" t="s">
        <v>117</v>
      </c>
      <c r="H55" s="4" t="s">
        <v>118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119</v>
      </c>
      <c r="H56" s="4" t="s">
        <v>120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26.96</v>
      </c>
      <c r="G57" s="4" t="s">
        <v>121</v>
      </c>
      <c r="H57" s="4" t="s">
        <v>122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13781.95</v>
      </c>
      <c r="G58" s="4" t="s">
        <v>123</v>
      </c>
      <c r="H58" s="4" t="s">
        <v>124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125</v>
      </c>
      <c r="H59" s="4" t="s">
        <v>126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1550</v>
      </c>
      <c r="G60" s="4" t="s">
        <v>127</v>
      </c>
      <c r="H60" s="4" t="s">
        <v>128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78920.37</v>
      </c>
      <c r="G61" s="4" t="s">
        <v>129</v>
      </c>
      <c r="H61" s="4" t="s">
        <v>130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131</v>
      </c>
      <c r="H62" s="4" t="s">
        <v>132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133</v>
      </c>
      <c r="H63" s="4" t="s">
        <v>134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135</v>
      </c>
      <c r="H64" s="4" t="s">
        <v>136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47.045000000000002</v>
      </c>
      <c r="G65" s="4" t="s">
        <v>137</v>
      </c>
      <c r="H65" s="4" t="s">
        <v>138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6.5000000000000002E-2</v>
      </c>
      <c r="G66" s="4" t="s">
        <v>139</v>
      </c>
      <c r="H66" s="4" t="s">
        <v>140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29.73</v>
      </c>
      <c r="G67" s="4" t="s">
        <v>141</v>
      </c>
      <c r="H67" s="4" t="s">
        <v>142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143</v>
      </c>
      <c r="H68" s="4" t="s">
        <v>144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11870.41</v>
      </c>
      <c r="G69" s="4" t="s">
        <v>145</v>
      </c>
      <c r="H69" s="4" t="s">
        <v>146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8559.7800000000007</v>
      </c>
      <c r="G70" s="4" t="s">
        <v>147</v>
      </c>
      <c r="H70" s="4" t="s">
        <v>148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80470.37</v>
      </c>
      <c r="G71" s="4" t="s">
        <v>149</v>
      </c>
      <c r="H71" s="4" t="s">
        <v>150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B12</f>
        <v>134</v>
      </c>
      <c r="C73" s="2">
        <f>A12</f>
        <v>1</v>
      </c>
      <c r="D73" s="2">
        <f>ROW(A12)</f>
        <v>12</v>
      </c>
      <c r="E73" s="2"/>
      <c r="F73" s="2" t="str">
        <f>IF(F12&lt;&gt;"",F12,"")</f>
        <v>Новый объект</v>
      </c>
      <c r="G73" s="2" t="str">
        <f>IF(G12&lt;&gt;"",G12,"")</f>
        <v>Дрезна  КТС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56">ROUND(O43,2)</f>
        <v>60040.18</v>
      </c>
      <c r="P73" s="2">
        <f t="shared" si="56"/>
        <v>45868.67</v>
      </c>
      <c r="Q73" s="2">
        <f t="shared" si="56"/>
        <v>389.56</v>
      </c>
      <c r="R73" s="2">
        <f t="shared" si="56"/>
        <v>26.96</v>
      </c>
      <c r="S73" s="2">
        <f t="shared" si="56"/>
        <v>13781.95</v>
      </c>
      <c r="T73" s="2">
        <f t="shared" si="56"/>
        <v>0</v>
      </c>
      <c r="U73" s="2">
        <f>U43</f>
        <v>47.045000000000002</v>
      </c>
      <c r="V73" s="2">
        <f>V43</f>
        <v>6.5000000000000002E-2</v>
      </c>
      <c r="W73" s="2">
        <f>ROUND(W43,2)</f>
        <v>29.73</v>
      </c>
      <c r="X73" s="2">
        <f>ROUND(X43,2)</f>
        <v>11870.41</v>
      </c>
      <c r="Y73" s="2">
        <f>ROUND(Y43,2)</f>
        <v>8559.7800000000007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f t="shared" ref="AO73:BD73" si="57">ROUND(AO43,2)</f>
        <v>0</v>
      </c>
      <c r="AP73" s="2">
        <f t="shared" si="57"/>
        <v>0</v>
      </c>
      <c r="AQ73" s="2">
        <f t="shared" si="57"/>
        <v>0</v>
      </c>
      <c r="AR73" s="2">
        <f t="shared" si="57"/>
        <v>80470.37</v>
      </c>
      <c r="AS73" s="2">
        <f t="shared" si="57"/>
        <v>1550</v>
      </c>
      <c r="AT73" s="2">
        <f t="shared" si="57"/>
        <v>78920.37</v>
      </c>
      <c r="AU73" s="2">
        <f t="shared" si="57"/>
        <v>0</v>
      </c>
      <c r="AV73" s="2">
        <f t="shared" si="57"/>
        <v>45868.67</v>
      </c>
      <c r="AW73" s="2">
        <f t="shared" si="57"/>
        <v>45868.67</v>
      </c>
      <c r="AX73" s="2">
        <f t="shared" si="57"/>
        <v>0</v>
      </c>
      <c r="AY73" s="2">
        <f t="shared" si="57"/>
        <v>45868.67</v>
      </c>
      <c r="AZ73" s="2">
        <f t="shared" si="57"/>
        <v>0</v>
      </c>
      <c r="BA73" s="2">
        <f t="shared" si="57"/>
        <v>0</v>
      </c>
      <c r="BB73" s="2">
        <f t="shared" si="57"/>
        <v>0</v>
      </c>
      <c r="BC73" s="2">
        <f t="shared" si="57"/>
        <v>0</v>
      </c>
      <c r="BD73" s="2">
        <f t="shared" si="57"/>
        <v>0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60040.18</v>
      </c>
      <c r="G75" s="4" t="s">
        <v>97</v>
      </c>
      <c r="H75" s="4" t="s">
        <v>98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45868.67</v>
      </c>
      <c r="G76" s="4" t="s">
        <v>99</v>
      </c>
      <c r="H76" s="4" t="s">
        <v>100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101</v>
      </c>
      <c r="H77" s="4" t="s">
        <v>102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45868.67</v>
      </c>
      <c r="G78" s="4" t="s">
        <v>103</v>
      </c>
      <c r="H78" s="4" t="s">
        <v>104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45868.67</v>
      </c>
      <c r="G79" s="4" t="s">
        <v>105</v>
      </c>
      <c r="H79" s="4" t="s">
        <v>106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107</v>
      </c>
      <c r="H80" s="4" t="s">
        <v>108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45868.67</v>
      </c>
      <c r="G81" s="4" t="s">
        <v>109</v>
      </c>
      <c r="H81" s="4" t="s">
        <v>110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111</v>
      </c>
      <c r="H82" s="4" t="s">
        <v>112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113</v>
      </c>
      <c r="H83" s="4" t="s">
        <v>114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115</v>
      </c>
      <c r="H84" s="4" t="s">
        <v>116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389.56</v>
      </c>
      <c r="G85" s="4" t="s">
        <v>117</v>
      </c>
      <c r="H85" s="4" t="s">
        <v>118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119</v>
      </c>
      <c r="H86" s="4" t="s">
        <v>120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26.96</v>
      </c>
      <c r="G87" s="4" t="s">
        <v>121</v>
      </c>
      <c r="H87" s="4" t="s">
        <v>122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13781.95</v>
      </c>
      <c r="G88" s="4" t="s">
        <v>123</v>
      </c>
      <c r="H88" s="4" t="s">
        <v>124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125</v>
      </c>
      <c r="H89" s="4" t="s">
        <v>126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1550</v>
      </c>
      <c r="G90" s="4" t="s">
        <v>127</v>
      </c>
      <c r="H90" s="4" t="s">
        <v>128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78920.37</v>
      </c>
      <c r="G91" s="4" t="s">
        <v>129</v>
      </c>
      <c r="H91" s="4" t="s">
        <v>130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131</v>
      </c>
      <c r="H92" s="4" t="s">
        <v>132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133</v>
      </c>
      <c r="H93" s="4" t="s">
        <v>134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135</v>
      </c>
      <c r="H94" s="4" t="s">
        <v>136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47.045000000000002</v>
      </c>
      <c r="G95" s="4" t="s">
        <v>137</v>
      </c>
      <c r="H95" s="4" t="s">
        <v>138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6.5000000000000002E-2</v>
      </c>
      <c r="G96" s="4" t="s">
        <v>139</v>
      </c>
      <c r="H96" s="4" t="s">
        <v>140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29.73</v>
      </c>
      <c r="G97" s="4" t="s">
        <v>141</v>
      </c>
      <c r="H97" s="4" t="s">
        <v>142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0</v>
      </c>
      <c r="G98" s="4" t="s">
        <v>143</v>
      </c>
      <c r="H98" s="4" t="s">
        <v>144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11870.41</v>
      </c>
      <c r="G99" s="4" t="s">
        <v>145</v>
      </c>
      <c r="H99" s="4" t="s">
        <v>146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8559.7800000000007</v>
      </c>
      <c r="G100" s="4" t="s">
        <v>147</v>
      </c>
      <c r="H100" s="4" t="s">
        <v>148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80470.37</v>
      </c>
      <c r="G101" s="4" t="s">
        <v>149</v>
      </c>
      <c r="H101" s="4" t="s">
        <v>150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ROUND(F101*0.2,O102)</f>
        <v>16094.07</v>
      </c>
      <c r="G102" s="4" t="s">
        <v>151</v>
      </c>
      <c r="H102" s="4" t="s">
        <v>152</v>
      </c>
      <c r="I102" s="4"/>
      <c r="J102" s="4"/>
      <c r="K102" s="4">
        <v>212</v>
      </c>
      <c r="L102" s="4">
        <v>28</v>
      </c>
      <c r="M102" s="4">
        <v>0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1</v>
      </c>
      <c r="C103" s="4">
        <v>0</v>
      </c>
      <c r="D103" s="4">
        <v>2</v>
      </c>
      <c r="E103" s="4">
        <v>213</v>
      </c>
      <c r="F103" s="4">
        <f>ROUND(F101+F102,O103)</f>
        <v>96564.44</v>
      </c>
      <c r="G103" s="4" t="s">
        <v>153</v>
      </c>
      <c r="H103" s="4" t="s">
        <v>153</v>
      </c>
      <c r="I103" s="4"/>
      <c r="J103" s="4"/>
      <c r="K103" s="4">
        <v>212</v>
      </c>
      <c r="L103" s="4">
        <v>29</v>
      </c>
      <c r="M103" s="4">
        <v>0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6" spans="1:23">
      <c r="A106">
        <v>70</v>
      </c>
      <c r="B106">
        <v>1</v>
      </c>
      <c r="D106">
        <v>1</v>
      </c>
      <c r="E106" t="s">
        <v>154</v>
      </c>
      <c r="F106" t="s">
        <v>155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2</v>
      </c>
      <c r="E107" t="s">
        <v>156</v>
      </c>
      <c r="F107" t="s">
        <v>157</v>
      </c>
      <c r="G107">
        <v>1</v>
      </c>
      <c r="H107">
        <v>0</v>
      </c>
      <c r="I107" t="s">
        <v>3</v>
      </c>
      <c r="J107">
        <v>1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3</v>
      </c>
      <c r="E108" t="s">
        <v>158</v>
      </c>
      <c r="F108" t="s">
        <v>159</v>
      </c>
      <c r="G108">
        <v>0</v>
      </c>
      <c r="H108">
        <v>0</v>
      </c>
      <c r="I108" t="s">
        <v>3</v>
      </c>
      <c r="J108">
        <v>1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4</v>
      </c>
      <c r="E109" t="s">
        <v>160</v>
      </c>
      <c r="F109" t="s">
        <v>161</v>
      </c>
      <c r="G109">
        <v>0</v>
      </c>
      <c r="H109">
        <v>0</v>
      </c>
      <c r="I109" t="s">
        <v>162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5</v>
      </c>
      <c r="E110" t="s">
        <v>163</v>
      </c>
      <c r="F110" t="s">
        <v>164</v>
      </c>
      <c r="G110">
        <v>0</v>
      </c>
      <c r="H110">
        <v>0</v>
      </c>
      <c r="I110" t="s">
        <v>165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6</v>
      </c>
      <c r="E111" t="s">
        <v>166</v>
      </c>
      <c r="F111" t="s">
        <v>167</v>
      </c>
      <c r="G111">
        <v>0</v>
      </c>
      <c r="H111">
        <v>0</v>
      </c>
      <c r="I111" t="s">
        <v>168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7</v>
      </c>
      <c r="E112" t="s">
        <v>169</v>
      </c>
      <c r="F112" t="s">
        <v>170</v>
      </c>
      <c r="G112">
        <v>1</v>
      </c>
      <c r="H112">
        <v>0</v>
      </c>
      <c r="I112" t="s">
        <v>3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8</v>
      </c>
      <c r="E113" t="s">
        <v>171</v>
      </c>
      <c r="F113" t="s">
        <v>172</v>
      </c>
      <c r="G113">
        <v>0</v>
      </c>
      <c r="H113">
        <v>0</v>
      </c>
      <c r="I113" t="s">
        <v>173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9</v>
      </c>
      <c r="E114" t="s">
        <v>174</v>
      </c>
      <c r="F114" t="s">
        <v>175</v>
      </c>
      <c r="G114">
        <v>0</v>
      </c>
      <c r="H114">
        <v>0</v>
      </c>
      <c r="I114" t="s">
        <v>176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10</v>
      </c>
      <c r="E115" t="s">
        <v>177</v>
      </c>
      <c r="F115" t="s">
        <v>178</v>
      </c>
      <c r="G115">
        <v>0</v>
      </c>
      <c r="H115">
        <v>0</v>
      </c>
      <c r="I115" t="s">
        <v>179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11</v>
      </c>
      <c r="E116" t="s">
        <v>180</v>
      </c>
      <c r="F116" t="s">
        <v>181</v>
      </c>
      <c r="G116">
        <v>0</v>
      </c>
      <c r="H116">
        <v>0</v>
      </c>
      <c r="I116" t="s">
        <v>182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12</v>
      </c>
      <c r="E117" t="s">
        <v>183</v>
      </c>
      <c r="F117" t="s">
        <v>184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1</v>
      </c>
      <c r="E118" t="s">
        <v>185</v>
      </c>
      <c r="F118" t="s">
        <v>186</v>
      </c>
      <c r="G118">
        <v>0.9</v>
      </c>
      <c r="H118">
        <v>1</v>
      </c>
      <c r="I118" t="s">
        <v>187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2</v>
      </c>
      <c r="E119" t="s">
        <v>188</v>
      </c>
      <c r="F119" t="s">
        <v>189</v>
      </c>
      <c r="G119">
        <v>0.85</v>
      </c>
      <c r="H119">
        <v>1</v>
      </c>
      <c r="I119" t="s">
        <v>190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3</v>
      </c>
      <c r="E120" t="s">
        <v>191</v>
      </c>
      <c r="F120" t="s">
        <v>192</v>
      </c>
      <c r="G120">
        <v>1</v>
      </c>
      <c r="H120">
        <v>0.85</v>
      </c>
      <c r="I120" t="s">
        <v>193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4</v>
      </c>
      <c r="E121" t="s">
        <v>194</v>
      </c>
      <c r="F121" t="s">
        <v>195</v>
      </c>
      <c r="G121">
        <v>1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5</v>
      </c>
      <c r="E122" t="s">
        <v>196</v>
      </c>
      <c r="F122" t="s">
        <v>197</v>
      </c>
      <c r="G122">
        <v>1</v>
      </c>
      <c r="H122">
        <v>0.8</v>
      </c>
      <c r="I122" t="s">
        <v>198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6</v>
      </c>
      <c r="E123" t="s">
        <v>199</v>
      </c>
      <c r="F123" t="s">
        <v>200</v>
      </c>
      <c r="G123">
        <v>0.85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7</v>
      </c>
      <c r="E124" t="s">
        <v>201</v>
      </c>
      <c r="F124" t="s">
        <v>202</v>
      </c>
      <c r="G124">
        <v>0.8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8</v>
      </c>
      <c r="E125" t="s">
        <v>203</v>
      </c>
      <c r="F125" t="s">
        <v>204</v>
      </c>
      <c r="G125">
        <v>0.7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9</v>
      </c>
      <c r="E126" t="s">
        <v>205</v>
      </c>
      <c r="F126" t="s">
        <v>206</v>
      </c>
      <c r="G126">
        <v>0.9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14">
      <c r="A127">
        <v>70</v>
      </c>
      <c r="B127">
        <v>1</v>
      </c>
      <c r="D127">
        <v>10</v>
      </c>
      <c r="E127" t="s">
        <v>207</v>
      </c>
      <c r="F127" t="s">
        <v>208</v>
      </c>
      <c r="G127">
        <v>0.6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14">
      <c r="A128">
        <v>70</v>
      </c>
      <c r="B128">
        <v>1</v>
      </c>
      <c r="D128">
        <v>11</v>
      </c>
      <c r="E128" t="s">
        <v>209</v>
      </c>
      <c r="F128" t="s">
        <v>210</v>
      </c>
      <c r="G128">
        <v>1.2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40">
      <c r="A129">
        <v>70</v>
      </c>
      <c r="B129">
        <v>1</v>
      </c>
      <c r="D129">
        <v>12</v>
      </c>
      <c r="E129" t="s">
        <v>211</v>
      </c>
      <c r="F129" t="s">
        <v>212</v>
      </c>
      <c r="G129">
        <v>0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40">
      <c r="A130">
        <v>70</v>
      </c>
      <c r="B130">
        <v>1</v>
      </c>
      <c r="D130">
        <v>13</v>
      </c>
      <c r="E130" t="s">
        <v>213</v>
      </c>
      <c r="F130" t="s">
        <v>214</v>
      </c>
      <c r="G130">
        <v>1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2" spans="1:40">
      <c r="A132">
        <v>-1</v>
      </c>
    </row>
    <row r="134" spans="1:40">
      <c r="A134" s="3">
        <v>75</v>
      </c>
      <c r="B134" s="3" t="s">
        <v>215</v>
      </c>
      <c r="C134" s="3">
        <v>2020</v>
      </c>
      <c r="D134" s="3">
        <v>0</v>
      </c>
      <c r="E134" s="3">
        <v>3</v>
      </c>
      <c r="F134" s="3"/>
      <c r="G134" s="3">
        <v>0</v>
      </c>
      <c r="H134" s="3">
        <v>1</v>
      </c>
      <c r="I134" s="3">
        <v>0</v>
      </c>
      <c r="J134" s="3">
        <v>3</v>
      </c>
      <c r="K134" s="3">
        <v>0</v>
      </c>
      <c r="L134" s="3">
        <v>0</v>
      </c>
      <c r="M134" s="3">
        <v>0</v>
      </c>
      <c r="N134" s="3">
        <v>34945658</v>
      </c>
      <c r="O134" s="3">
        <v>1</v>
      </c>
    </row>
    <row r="135" spans="1:40">
      <c r="A135" s="5">
        <v>1</v>
      </c>
      <c r="B135" s="5" t="s">
        <v>216</v>
      </c>
      <c r="C135" s="5" t="s">
        <v>217</v>
      </c>
      <c r="D135" s="5">
        <v>2020</v>
      </c>
      <c r="E135" s="5">
        <v>2</v>
      </c>
      <c r="F135" s="5">
        <v>1</v>
      </c>
      <c r="G135" s="5">
        <v>1</v>
      </c>
      <c r="H135" s="5">
        <v>0</v>
      </c>
      <c r="I135" s="5">
        <v>2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 t="s">
        <v>3</v>
      </c>
      <c r="S135" s="5" t="s">
        <v>3</v>
      </c>
      <c r="T135" s="5" t="s">
        <v>3</v>
      </c>
      <c r="U135" s="5" t="s">
        <v>3</v>
      </c>
      <c r="V135" s="5" t="s">
        <v>3</v>
      </c>
      <c r="W135" s="5" t="s">
        <v>3</v>
      </c>
      <c r="X135" s="5" t="s">
        <v>3</v>
      </c>
      <c r="Y135" s="5" t="s">
        <v>3</v>
      </c>
      <c r="Z135" s="5" t="s">
        <v>3</v>
      </c>
      <c r="AA135" s="5" t="s">
        <v>3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>
        <v>34945659</v>
      </c>
    </row>
    <row r="136" spans="1:40">
      <c r="A136" s="5">
        <v>2</v>
      </c>
      <c r="B136" s="5" t="s">
        <v>218</v>
      </c>
      <c r="C136" s="5" t="s">
        <v>219</v>
      </c>
      <c r="D136" s="5">
        <v>0</v>
      </c>
      <c r="E136" s="5">
        <v>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>
        <v>34945660</v>
      </c>
    </row>
    <row r="140" spans="1:40">
      <c r="A140">
        <v>65</v>
      </c>
      <c r="C140">
        <v>1</v>
      </c>
      <c r="D140">
        <v>0</v>
      </c>
      <c r="E14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220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34945658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(Source!F60)/1000</f>
        <v>1.55</v>
      </c>
      <c r="F16" s="7">
        <f>(Source!F61)/1000</f>
        <v>78.920369999999991</v>
      </c>
      <c r="G16" s="7">
        <f>(Source!F52)/1000</f>
        <v>0</v>
      </c>
      <c r="H16" s="7">
        <f>(Source!F62)/1000+(Source!F63)/1000</f>
        <v>0</v>
      </c>
      <c r="I16" s="7">
        <f>E16+F16+G16+H16</f>
        <v>80.470369999999988</v>
      </c>
      <c r="J16" s="7">
        <f>(Source!F58)/1000</f>
        <v>13.78195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60040.18</v>
      </c>
      <c r="AU16" s="7">
        <v>45868.67</v>
      </c>
      <c r="AV16" s="7">
        <v>0</v>
      </c>
      <c r="AW16" s="7">
        <v>0</v>
      </c>
      <c r="AX16" s="7">
        <v>0</v>
      </c>
      <c r="AY16" s="7">
        <v>389.56</v>
      </c>
      <c r="AZ16" s="7">
        <v>26.96</v>
      </c>
      <c r="BA16" s="7">
        <v>13781.95</v>
      </c>
      <c r="BB16" s="7">
        <v>1550</v>
      </c>
      <c r="BC16" s="7">
        <v>78920.37</v>
      </c>
      <c r="BD16" s="7">
        <v>0</v>
      </c>
      <c r="BE16" s="7">
        <v>0</v>
      </c>
      <c r="BF16" s="7">
        <v>47.045000000000002</v>
      </c>
      <c r="BG16" s="7">
        <v>6.5000000000000002E-2</v>
      </c>
      <c r="BH16" s="7">
        <v>29.73</v>
      </c>
      <c r="BI16" s="7">
        <v>11870.41</v>
      </c>
      <c r="BJ16" s="7">
        <v>8559.7800000000007</v>
      </c>
      <c r="BK16" s="7">
        <v>80470.37</v>
      </c>
    </row>
    <row r="18" spans="1:19">
      <c r="A18">
        <v>51</v>
      </c>
      <c r="E18" s="8">
        <f>SUMIF(A16:A17,3,E16:E17)</f>
        <v>1.55</v>
      </c>
      <c r="F18" s="8">
        <f>SUMIF(A16:A17,3,F16:F17)</f>
        <v>78.920369999999991</v>
      </c>
      <c r="G18" s="8">
        <f>SUMIF(A16:A17,3,G16:G17)</f>
        <v>0</v>
      </c>
      <c r="H18" s="8">
        <f>SUMIF(A16:A17,3,H16:H17)</f>
        <v>0</v>
      </c>
      <c r="I18" s="8">
        <f>SUMIF(A16:A17,3,I16:I17)</f>
        <v>80.470369999999988</v>
      </c>
      <c r="J18" s="8">
        <f>SUMIF(A16:A17,3,J16:J17)</f>
        <v>13.78195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60040.18</v>
      </c>
      <c r="G20" s="4" t="s">
        <v>97</v>
      </c>
      <c r="H20" s="4" t="s">
        <v>98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45868.67</v>
      </c>
      <c r="G21" s="4" t="s">
        <v>99</v>
      </c>
      <c r="H21" s="4" t="s">
        <v>100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101</v>
      </c>
      <c r="H22" s="4" t="s">
        <v>102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45868.67</v>
      </c>
      <c r="G23" s="4" t="s">
        <v>103</v>
      </c>
      <c r="H23" s="4" t="s">
        <v>104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45868.67</v>
      </c>
      <c r="G24" s="4" t="s">
        <v>105</v>
      </c>
      <c r="H24" s="4" t="s">
        <v>106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107</v>
      </c>
      <c r="H25" s="4" t="s">
        <v>108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45868.67</v>
      </c>
      <c r="G26" s="4" t="s">
        <v>109</v>
      </c>
      <c r="H26" s="4" t="s">
        <v>110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111</v>
      </c>
      <c r="H27" s="4" t="s">
        <v>112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113</v>
      </c>
      <c r="H28" s="4" t="s">
        <v>114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115</v>
      </c>
      <c r="H29" s="4" t="s">
        <v>116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389.56</v>
      </c>
      <c r="G30" s="4" t="s">
        <v>117</v>
      </c>
      <c r="H30" s="4" t="s">
        <v>118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119</v>
      </c>
      <c r="H31" s="4" t="s">
        <v>120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26.96</v>
      </c>
      <c r="G32" s="4" t="s">
        <v>121</v>
      </c>
      <c r="H32" s="4" t="s">
        <v>122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13781.95</v>
      </c>
      <c r="G33" s="4" t="s">
        <v>123</v>
      </c>
      <c r="H33" s="4" t="s">
        <v>124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125</v>
      </c>
      <c r="H34" s="4" t="s">
        <v>126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1550</v>
      </c>
      <c r="G35" s="4" t="s">
        <v>127</v>
      </c>
      <c r="H35" s="4" t="s">
        <v>128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78920.37</v>
      </c>
      <c r="G36" s="4" t="s">
        <v>129</v>
      </c>
      <c r="H36" s="4" t="s">
        <v>130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131</v>
      </c>
      <c r="H37" s="4" t="s">
        <v>132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133</v>
      </c>
      <c r="H38" s="4" t="s">
        <v>134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135</v>
      </c>
      <c r="H39" s="4" t="s">
        <v>136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47.045000000000002</v>
      </c>
      <c r="G40" s="4" t="s">
        <v>137</v>
      </c>
      <c r="H40" s="4" t="s">
        <v>138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6.5000000000000002E-2</v>
      </c>
      <c r="G41" s="4" t="s">
        <v>139</v>
      </c>
      <c r="H41" s="4" t="s">
        <v>140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29.73</v>
      </c>
      <c r="G42" s="4" t="s">
        <v>141</v>
      </c>
      <c r="H42" s="4" t="s">
        <v>142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143</v>
      </c>
      <c r="H43" s="4" t="s">
        <v>144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11870.41</v>
      </c>
      <c r="G44" s="4" t="s">
        <v>145</v>
      </c>
      <c r="H44" s="4" t="s">
        <v>146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8559.7800000000007</v>
      </c>
      <c r="G45" s="4" t="s">
        <v>147</v>
      </c>
      <c r="H45" s="4" t="s">
        <v>148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80470.37</v>
      </c>
      <c r="G46" s="4" t="s">
        <v>149</v>
      </c>
      <c r="H46" s="4" t="s">
        <v>150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16094.07</v>
      </c>
      <c r="G47" s="4" t="s">
        <v>151</v>
      </c>
      <c r="H47" s="4" t="s">
        <v>152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96564.44</v>
      </c>
      <c r="G48" s="4" t="s">
        <v>153</v>
      </c>
      <c r="H48" s="4" t="s">
        <v>153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215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34945658</v>
      </c>
      <c r="O53" s="3">
        <v>1</v>
      </c>
    </row>
    <row r="54" spans="1:40">
      <c r="A54" s="5">
        <v>1</v>
      </c>
      <c r="B54" s="5" t="s">
        <v>216</v>
      </c>
      <c r="C54" s="5" t="s">
        <v>217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34945659</v>
      </c>
    </row>
    <row r="55" spans="1:40">
      <c r="A55" s="5">
        <v>2</v>
      </c>
      <c r="B55" s="5" t="s">
        <v>218</v>
      </c>
      <c r="C55" s="5" t="s">
        <v>219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34945660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54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ROW(Source!A24)</f>
        <v>24</v>
      </c>
      <c r="B1">
        <v>34945658</v>
      </c>
      <c r="C1">
        <v>34945723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W1">
        <v>0</v>
      </c>
      <c r="X1">
        <v>698827664</v>
      </c>
      <c r="Y1">
        <v>7.2</v>
      </c>
      <c r="AA1">
        <v>0</v>
      </c>
      <c r="AB1">
        <v>0</v>
      </c>
      <c r="AC1">
        <v>0</v>
      </c>
      <c r="AD1">
        <v>277.08999999999997</v>
      </c>
      <c r="AE1">
        <v>0</v>
      </c>
      <c r="AF1">
        <v>0</v>
      </c>
      <c r="AG1">
        <v>0</v>
      </c>
      <c r="AH1">
        <v>277.08999999999997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7.2</v>
      </c>
      <c r="AU1" t="s">
        <v>3</v>
      </c>
      <c r="AV1">
        <v>1</v>
      </c>
      <c r="AW1">
        <v>2</v>
      </c>
      <c r="AX1">
        <v>34945731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7.2</v>
      </c>
      <c r="CY1">
        <f>AD1</f>
        <v>277.08999999999997</v>
      </c>
      <c r="CZ1">
        <f>AH1</f>
        <v>277.08999999999997</v>
      </c>
      <c r="DA1">
        <f>AL1</f>
        <v>1</v>
      </c>
      <c r="DB1">
        <f t="shared" ref="DB1:DB32" si="0">ROUND(ROUND(AT1*CZ1,2),6)</f>
        <v>1995.05</v>
      </c>
      <c r="DC1">
        <f t="shared" ref="DC1:DC32" si="1">ROUND(ROUND(AT1*AG1,2),6)</f>
        <v>0</v>
      </c>
    </row>
    <row r="2" spans="1:107">
      <c r="A2">
        <f>ROW(Source!A24)</f>
        <v>24</v>
      </c>
      <c r="B2">
        <v>34945658</v>
      </c>
      <c r="C2">
        <v>34945723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W2">
        <v>0</v>
      </c>
      <c r="X2">
        <v>-239831557</v>
      </c>
      <c r="Y2">
        <v>0.16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0.16</v>
      </c>
      <c r="AU2" t="s">
        <v>3</v>
      </c>
      <c r="AV2">
        <v>0</v>
      </c>
      <c r="AW2">
        <v>2</v>
      </c>
      <c r="AX2">
        <v>34945732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0.31</v>
      </c>
      <c r="DC2">
        <f t="shared" si="1"/>
        <v>0</v>
      </c>
    </row>
    <row r="3" spans="1:107">
      <c r="A3">
        <f>ROW(Source!A24)</f>
        <v>24</v>
      </c>
      <c r="B3">
        <v>34945658</v>
      </c>
      <c r="C3">
        <v>34945723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W3">
        <v>0</v>
      </c>
      <c r="X3">
        <v>1784212875</v>
      </c>
      <c r="Y3">
        <v>5.5999999999999999E-3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5.5999999999999999E-3</v>
      </c>
      <c r="AU3" t="s">
        <v>3</v>
      </c>
      <c r="AV3">
        <v>0</v>
      </c>
      <c r="AW3">
        <v>2</v>
      </c>
      <c r="AX3">
        <v>34945733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5.5999999999999999E-3</v>
      </c>
      <c r="CY3">
        <f>AA3</f>
        <v>204.57</v>
      </c>
      <c r="CZ3">
        <f>AE3</f>
        <v>12.62</v>
      </c>
      <c r="DA3">
        <f>AI3</f>
        <v>16.21</v>
      </c>
      <c r="DB3">
        <f t="shared" si="0"/>
        <v>7.0000000000000007E-2</v>
      </c>
      <c r="DC3">
        <f t="shared" si="1"/>
        <v>0</v>
      </c>
    </row>
    <row r="4" spans="1:107">
      <c r="A4">
        <f>ROW(Source!A24)</f>
        <v>24</v>
      </c>
      <c r="B4">
        <v>34945658</v>
      </c>
      <c r="C4">
        <v>34945723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W4">
        <v>0</v>
      </c>
      <c r="X4">
        <v>-1291205266</v>
      </c>
      <c r="Y4">
        <v>0.4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34945734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0.4</v>
      </c>
      <c r="CY4">
        <f>AA4</f>
        <v>28.72</v>
      </c>
      <c r="CZ4">
        <f>AE4</f>
        <v>8.3000000000000007</v>
      </c>
      <c r="DA4">
        <f>AI4</f>
        <v>3.46</v>
      </c>
      <c r="DB4">
        <f t="shared" si="0"/>
        <v>3.32</v>
      </c>
      <c r="DC4">
        <f t="shared" si="1"/>
        <v>0</v>
      </c>
    </row>
    <row r="5" spans="1:107">
      <c r="A5">
        <f>ROW(Source!A24)</f>
        <v>24</v>
      </c>
      <c r="B5">
        <v>34945658</v>
      </c>
      <c r="C5">
        <v>34945723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W5">
        <v>0</v>
      </c>
      <c r="X5">
        <v>567682832</v>
      </c>
      <c r="Y5">
        <v>5.6000000000000001E-2</v>
      </c>
      <c r="AA5">
        <v>621.05999999999995</v>
      </c>
      <c r="AB5">
        <v>0</v>
      </c>
      <c r="AC5">
        <v>0</v>
      </c>
      <c r="AD5">
        <v>0</v>
      </c>
      <c r="AE5">
        <v>65.930000000000007</v>
      </c>
      <c r="AF5">
        <v>0</v>
      </c>
      <c r="AG5">
        <v>0</v>
      </c>
      <c r="AH5">
        <v>0</v>
      </c>
      <c r="AI5">
        <v>9.42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5.6000000000000001E-2</v>
      </c>
      <c r="AU5" t="s">
        <v>3</v>
      </c>
      <c r="AV5">
        <v>0</v>
      </c>
      <c r="AW5">
        <v>2</v>
      </c>
      <c r="AX5">
        <v>34945735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5.6000000000000001E-2</v>
      </c>
      <c r="CY5">
        <f>AA5</f>
        <v>621.05999999999995</v>
      </c>
      <c r="CZ5">
        <f>AE5</f>
        <v>65.930000000000007</v>
      </c>
      <c r="DA5">
        <f>AI5</f>
        <v>9.42</v>
      </c>
      <c r="DB5">
        <f t="shared" si="0"/>
        <v>3.69</v>
      </c>
      <c r="DC5">
        <f t="shared" si="1"/>
        <v>0</v>
      </c>
    </row>
    <row r="6" spans="1:107">
      <c r="A6">
        <f>ROW(Source!A24)</f>
        <v>24</v>
      </c>
      <c r="B6">
        <v>34945658</v>
      </c>
      <c r="C6">
        <v>34945723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W6">
        <v>0</v>
      </c>
      <c r="X6">
        <v>-915781824</v>
      </c>
      <c r="Y6">
        <v>1.45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1.45</v>
      </c>
      <c r="AU6" t="s">
        <v>3</v>
      </c>
      <c r="AV6">
        <v>0</v>
      </c>
      <c r="AW6">
        <v>2</v>
      </c>
      <c r="AX6">
        <v>34945736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1.45</v>
      </c>
      <c r="CY6">
        <f>AA6</f>
        <v>1</v>
      </c>
      <c r="CZ6">
        <f>AE6</f>
        <v>1</v>
      </c>
      <c r="DA6">
        <f>AI6</f>
        <v>1</v>
      </c>
      <c r="DB6">
        <f t="shared" si="0"/>
        <v>1.45</v>
      </c>
      <c r="DC6">
        <f t="shared" si="1"/>
        <v>0</v>
      </c>
    </row>
    <row r="7" spans="1:107">
      <c r="A7">
        <f>ROW(Source!A24)</f>
        <v>24</v>
      </c>
      <c r="B7">
        <v>34945658</v>
      </c>
      <c r="C7">
        <v>34945723</v>
      </c>
      <c r="D7">
        <v>0</v>
      </c>
      <c r="E7">
        <v>0</v>
      </c>
      <c r="F7">
        <v>1</v>
      </c>
      <c r="G7">
        <v>1</v>
      </c>
      <c r="H7">
        <v>3</v>
      </c>
      <c r="I7" t="s">
        <v>22</v>
      </c>
      <c r="J7" t="s">
        <v>3</v>
      </c>
      <c r="K7" t="s">
        <v>23</v>
      </c>
      <c r="L7">
        <v>20310329</v>
      </c>
      <c r="N7">
        <v>1010</v>
      </c>
      <c r="O7" t="s">
        <v>24</v>
      </c>
      <c r="P7" t="s">
        <v>25</v>
      </c>
      <c r="Q7">
        <v>1</v>
      </c>
      <c r="W7">
        <v>0</v>
      </c>
      <c r="X7">
        <v>1813266902</v>
      </c>
      <c r="Y7">
        <v>1</v>
      </c>
      <c r="AA7">
        <v>14116.67</v>
      </c>
      <c r="AB7">
        <v>0</v>
      </c>
      <c r="AC7">
        <v>0</v>
      </c>
      <c r="AD7">
        <v>0</v>
      </c>
      <c r="AE7">
        <v>14116.67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</v>
      </c>
      <c r="CY7">
        <f>AA7</f>
        <v>14116.67</v>
      </c>
      <c r="CZ7">
        <f>AE7</f>
        <v>14116.67</v>
      </c>
      <c r="DA7">
        <f>AI7</f>
        <v>1</v>
      </c>
      <c r="DB7">
        <f t="shared" si="0"/>
        <v>14116.67</v>
      </c>
      <c r="DC7">
        <f t="shared" si="1"/>
        <v>0</v>
      </c>
    </row>
    <row r="8" spans="1:107">
      <c r="A8">
        <f>ROW(Source!A26)</f>
        <v>26</v>
      </c>
      <c r="B8">
        <v>34945658</v>
      </c>
      <c r="C8">
        <v>34945738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243</v>
      </c>
      <c r="J8" t="s">
        <v>3</v>
      </c>
      <c r="K8" t="s">
        <v>244</v>
      </c>
      <c r="L8">
        <v>1369</v>
      </c>
      <c r="N8">
        <v>1013</v>
      </c>
      <c r="O8" t="s">
        <v>223</v>
      </c>
      <c r="P8" t="s">
        <v>223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281.22000000000003</v>
      </c>
      <c r="AE8">
        <v>0</v>
      </c>
      <c r="AF8">
        <v>0</v>
      </c>
      <c r="AG8">
        <v>0</v>
      </c>
      <c r="AH8">
        <v>281.22000000000003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34945748</v>
      </c>
      <c r="AY8">
        <v>1</v>
      </c>
      <c r="AZ8">
        <v>0</v>
      </c>
      <c r="BA8">
        <v>7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Y8*Source!I26</f>
        <v>2.4</v>
      </c>
      <c r="CY8">
        <f>AD8</f>
        <v>281.22000000000003</v>
      </c>
      <c r="CZ8">
        <f>AH8</f>
        <v>281.22000000000003</v>
      </c>
      <c r="DA8">
        <f>AL8</f>
        <v>1</v>
      </c>
      <c r="DB8">
        <f t="shared" si="0"/>
        <v>337.46</v>
      </c>
      <c r="DC8">
        <f t="shared" si="1"/>
        <v>0</v>
      </c>
    </row>
    <row r="9" spans="1:107">
      <c r="A9">
        <f>ROW(Source!A26)</f>
        <v>26</v>
      </c>
      <c r="B9">
        <v>34945658</v>
      </c>
      <c r="C9">
        <v>34945738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224</v>
      </c>
      <c r="J9" t="s">
        <v>225</v>
      </c>
      <c r="K9" t="s">
        <v>226</v>
      </c>
      <c r="L9">
        <v>1368</v>
      </c>
      <c r="N9">
        <v>1011</v>
      </c>
      <c r="O9" t="s">
        <v>227</v>
      </c>
      <c r="P9" t="s">
        <v>227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34945749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0.26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ROW(Source!A26)</f>
        <v>26</v>
      </c>
      <c r="B10">
        <v>34945658</v>
      </c>
      <c r="C10">
        <v>34945738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228</v>
      </c>
      <c r="J10" t="s">
        <v>229</v>
      </c>
      <c r="K10" t="s">
        <v>230</v>
      </c>
      <c r="L10">
        <v>1346</v>
      </c>
      <c r="N10">
        <v>1009</v>
      </c>
      <c r="O10" t="s">
        <v>231</v>
      </c>
      <c r="P10" t="s">
        <v>231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34945750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2E-3</v>
      </c>
      <c r="CY10">
        <f t="shared" ref="CY10:CY16" si="2">AA10</f>
        <v>204.57</v>
      </c>
      <c r="CZ10">
        <f t="shared" ref="CZ10:CZ16" si="3">AE10</f>
        <v>12.62</v>
      </c>
      <c r="DA10">
        <f t="shared" ref="DA10:DA16" si="4"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ROW(Source!A26)</f>
        <v>26</v>
      </c>
      <c r="B11">
        <v>34945658</v>
      </c>
      <c r="C11">
        <v>34945738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232</v>
      </c>
      <c r="J11" t="s">
        <v>233</v>
      </c>
      <c r="K11" t="s">
        <v>234</v>
      </c>
      <c r="L11">
        <v>1358</v>
      </c>
      <c r="N11">
        <v>1010</v>
      </c>
      <c r="O11" t="s">
        <v>235</v>
      </c>
      <c r="P11" t="s">
        <v>235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34945751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0.6</v>
      </c>
      <c r="CY11">
        <f t="shared" si="2"/>
        <v>28.72</v>
      </c>
      <c r="CZ11">
        <f t="shared" si="3"/>
        <v>8.3000000000000007</v>
      </c>
      <c r="DA11">
        <f t="shared" si="4"/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ROW(Source!A26)</f>
        <v>26</v>
      </c>
      <c r="B12">
        <v>34945658</v>
      </c>
      <c r="C12">
        <v>34945738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245</v>
      </c>
      <c r="J12" t="s">
        <v>246</v>
      </c>
      <c r="K12" t="s">
        <v>247</v>
      </c>
      <c r="L12">
        <v>1348</v>
      </c>
      <c r="N12">
        <v>1009</v>
      </c>
      <c r="O12" t="s">
        <v>248</v>
      </c>
      <c r="P12" t="s">
        <v>248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34945752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4.0000000000000003E-5</v>
      </c>
      <c r="CY12">
        <f t="shared" si="2"/>
        <v>4956.5600000000004</v>
      </c>
      <c r="CZ12">
        <f t="shared" si="3"/>
        <v>729.98</v>
      </c>
      <c r="DA12">
        <f t="shared" si="4"/>
        <v>6.79</v>
      </c>
      <c r="DB12">
        <f t="shared" si="0"/>
        <v>0.01</v>
      </c>
      <c r="DC12">
        <f t="shared" si="1"/>
        <v>0</v>
      </c>
    </row>
    <row r="13" spans="1:107">
      <c r="A13">
        <f>ROW(Source!A26)</f>
        <v>26</v>
      </c>
      <c r="B13">
        <v>34945658</v>
      </c>
      <c r="C13">
        <v>34945738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236</v>
      </c>
      <c r="J13" t="s">
        <v>237</v>
      </c>
      <c r="K13" t="s">
        <v>238</v>
      </c>
      <c r="L13">
        <v>1346</v>
      </c>
      <c r="N13">
        <v>1009</v>
      </c>
      <c r="O13" t="s">
        <v>231</v>
      </c>
      <c r="P13" t="s">
        <v>231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34945753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1.6E-2</v>
      </c>
      <c r="CY13">
        <f t="shared" si="2"/>
        <v>621.05999999999995</v>
      </c>
      <c r="CZ13">
        <f t="shared" si="3"/>
        <v>65.930000000000007</v>
      </c>
      <c r="DA13">
        <f t="shared" si="4"/>
        <v>9.42</v>
      </c>
      <c r="DB13">
        <f t="shared" si="0"/>
        <v>0.53</v>
      </c>
      <c r="DC13">
        <f t="shared" si="1"/>
        <v>0</v>
      </c>
    </row>
    <row r="14" spans="1:107">
      <c r="A14">
        <f>ROW(Source!A26)</f>
        <v>26</v>
      </c>
      <c r="B14">
        <v>34945658</v>
      </c>
      <c r="C14">
        <v>34945738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1374</v>
      </c>
      <c r="N14">
        <v>1013</v>
      </c>
      <c r="O14" t="s">
        <v>242</v>
      </c>
      <c r="P14" t="s">
        <v>242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34945754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0.5</v>
      </c>
      <c r="CY14">
        <f t="shared" si="2"/>
        <v>1</v>
      </c>
      <c r="CZ14">
        <f t="shared" si="3"/>
        <v>1</v>
      </c>
      <c r="DA14">
        <f t="shared" si="4"/>
        <v>1</v>
      </c>
      <c r="DB14">
        <f t="shared" si="0"/>
        <v>0.25</v>
      </c>
      <c r="DC14">
        <f t="shared" si="1"/>
        <v>0</v>
      </c>
    </row>
    <row r="15" spans="1:107">
      <c r="A15">
        <f>ROW(Source!A26)</f>
        <v>26</v>
      </c>
      <c r="B15">
        <v>34945658</v>
      </c>
      <c r="C15">
        <v>34945738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22</v>
      </c>
      <c r="J15" t="s">
        <v>3</v>
      </c>
      <c r="K15" t="s">
        <v>32</v>
      </c>
      <c r="L15">
        <v>0</v>
      </c>
      <c r="W15">
        <v>0</v>
      </c>
      <c r="X15">
        <v>1690513152</v>
      </c>
      <c r="Y15">
        <v>1</v>
      </c>
      <c r="AA15">
        <v>3822.33</v>
      </c>
      <c r="AB15">
        <v>0</v>
      </c>
      <c r="AC15">
        <v>0</v>
      </c>
      <c r="AD15">
        <v>0</v>
      </c>
      <c r="AE15">
        <v>3822.33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1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2</v>
      </c>
      <c r="CY15">
        <f t="shared" si="2"/>
        <v>3822.33</v>
      </c>
      <c r="CZ15">
        <f t="shared" si="3"/>
        <v>3822.33</v>
      </c>
      <c r="DA15">
        <f t="shared" si="4"/>
        <v>1</v>
      </c>
      <c r="DB15">
        <f t="shared" si="0"/>
        <v>3822.33</v>
      </c>
      <c r="DC15">
        <f t="shared" si="1"/>
        <v>0</v>
      </c>
    </row>
    <row r="16" spans="1:107">
      <c r="A16">
        <f>ROW(Source!A26)</f>
        <v>26</v>
      </c>
      <c r="B16">
        <v>34945658</v>
      </c>
      <c r="C16">
        <v>34945738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22</v>
      </c>
      <c r="J16" t="s">
        <v>3</v>
      </c>
      <c r="K16" t="s">
        <v>34</v>
      </c>
      <c r="L16">
        <v>0</v>
      </c>
      <c r="W16">
        <v>0</v>
      </c>
      <c r="X16">
        <v>1751312504</v>
      </c>
      <c r="Y16">
        <v>1</v>
      </c>
      <c r="AA16">
        <v>382.67</v>
      </c>
      <c r="AB16">
        <v>0</v>
      </c>
      <c r="AC16">
        <v>0</v>
      </c>
      <c r="AD16">
        <v>0</v>
      </c>
      <c r="AE16">
        <v>382.67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2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Y16*Source!I26</f>
        <v>2</v>
      </c>
      <c r="CY16">
        <f t="shared" si="2"/>
        <v>382.67</v>
      </c>
      <c r="CZ16">
        <f t="shared" si="3"/>
        <v>382.67</v>
      </c>
      <c r="DA16">
        <f t="shared" si="4"/>
        <v>1</v>
      </c>
      <c r="DB16">
        <f t="shared" si="0"/>
        <v>382.67</v>
      </c>
      <c r="DC16">
        <f t="shared" si="1"/>
        <v>0</v>
      </c>
    </row>
    <row r="17" spans="1:107">
      <c r="A17">
        <f>ROW(Source!A30)</f>
        <v>30</v>
      </c>
      <c r="B17">
        <v>34945658</v>
      </c>
      <c r="C17">
        <v>34948873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249</v>
      </c>
      <c r="J17" t="s">
        <v>3</v>
      </c>
      <c r="K17" t="s">
        <v>250</v>
      </c>
      <c r="L17">
        <v>1369</v>
      </c>
      <c r="N17">
        <v>1013</v>
      </c>
      <c r="O17" t="s">
        <v>223</v>
      </c>
      <c r="P17" t="s">
        <v>223</v>
      </c>
      <c r="Q17">
        <v>1</v>
      </c>
      <c r="W17">
        <v>0</v>
      </c>
      <c r="X17">
        <v>604758886</v>
      </c>
      <c r="Y17">
        <v>1.1299999999999999</v>
      </c>
      <c r="AA17">
        <v>0</v>
      </c>
      <c r="AB17">
        <v>0</v>
      </c>
      <c r="AC17">
        <v>0</v>
      </c>
      <c r="AD17">
        <v>264.97000000000003</v>
      </c>
      <c r="AE17">
        <v>0</v>
      </c>
      <c r="AF17">
        <v>0</v>
      </c>
      <c r="AG17">
        <v>0</v>
      </c>
      <c r="AH17">
        <v>264.97000000000003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1.1299999999999999</v>
      </c>
      <c r="AU17" t="s">
        <v>3</v>
      </c>
      <c r="AV17">
        <v>1</v>
      </c>
      <c r="AW17">
        <v>2</v>
      </c>
      <c r="AX17">
        <v>34981721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Y17*Source!I30</f>
        <v>1.1299999999999999</v>
      </c>
      <c r="CY17">
        <f>AD17</f>
        <v>264.97000000000003</v>
      </c>
      <c r="CZ17">
        <f>AH17</f>
        <v>264.97000000000003</v>
      </c>
      <c r="DA17">
        <f>AL17</f>
        <v>1</v>
      </c>
      <c r="DB17">
        <f t="shared" si="0"/>
        <v>299.42</v>
      </c>
      <c r="DC17">
        <f t="shared" si="1"/>
        <v>0</v>
      </c>
    </row>
    <row r="18" spans="1:107">
      <c r="A18">
        <f>ROW(Source!A30)</f>
        <v>30</v>
      </c>
      <c r="B18">
        <v>34945658</v>
      </c>
      <c r="C18">
        <v>34948873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27</v>
      </c>
      <c r="J18" t="s">
        <v>3</v>
      </c>
      <c r="K18" t="s">
        <v>251</v>
      </c>
      <c r="L18">
        <v>608254</v>
      </c>
      <c r="N18">
        <v>1013</v>
      </c>
      <c r="O18" t="s">
        <v>252</v>
      </c>
      <c r="P18" t="s">
        <v>252</v>
      </c>
      <c r="Q18">
        <v>1</v>
      </c>
      <c r="W18">
        <v>0</v>
      </c>
      <c r="X18">
        <v>-185737400</v>
      </c>
      <c r="Y18">
        <v>0.04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0.04</v>
      </c>
      <c r="AU18" t="s">
        <v>3</v>
      </c>
      <c r="AV18">
        <v>2</v>
      </c>
      <c r="AW18">
        <v>2</v>
      </c>
      <c r="AX18">
        <v>34981722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Y18*Source!I30</f>
        <v>0.04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>
      <c r="A19">
        <f>ROW(Source!A30)</f>
        <v>30</v>
      </c>
      <c r="B19">
        <v>34945658</v>
      </c>
      <c r="C19">
        <v>34948873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253</v>
      </c>
      <c r="J19" t="s">
        <v>254</v>
      </c>
      <c r="K19" t="s">
        <v>255</v>
      </c>
      <c r="L19">
        <v>1368</v>
      </c>
      <c r="N19">
        <v>1011</v>
      </c>
      <c r="O19" t="s">
        <v>227</v>
      </c>
      <c r="P19" t="s">
        <v>227</v>
      </c>
      <c r="Q19">
        <v>1</v>
      </c>
      <c r="W19">
        <v>0</v>
      </c>
      <c r="X19">
        <v>2071614860</v>
      </c>
      <c r="Y19">
        <v>0.04</v>
      </c>
      <c r="AA19">
        <v>0</v>
      </c>
      <c r="AB19">
        <v>1058.3499999999999</v>
      </c>
      <c r="AC19">
        <v>408.92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7.86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34981723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Y19*Source!I30</f>
        <v>0.04</v>
      </c>
      <c r="CY19">
        <f>AB19</f>
        <v>1058.3499999999999</v>
      </c>
      <c r="CZ19">
        <f>AF19</f>
        <v>134.65</v>
      </c>
      <c r="DA19">
        <f>AJ19</f>
        <v>7.86</v>
      </c>
      <c r="DB19">
        <f t="shared" si="0"/>
        <v>5.39</v>
      </c>
      <c r="DC19">
        <f t="shared" si="1"/>
        <v>0.54</v>
      </c>
    </row>
    <row r="20" spans="1:107">
      <c r="A20">
        <f>ROW(Source!A30)</f>
        <v>30</v>
      </c>
      <c r="B20">
        <v>34945658</v>
      </c>
      <c r="C20">
        <v>34948873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256</v>
      </c>
      <c r="J20" t="s">
        <v>257</v>
      </c>
      <c r="K20" t="s">
        <v>258</v>
      </c>
      <c r="L20">
        <v>1368</v>
      </c>
      <c r="N20">
        <v>1011</v>
      </c>
      <c r="O20" t="s">
        <v>227</v>
      </c>
      <c r="P20" t="s">
        <v>227</v>
      </c>
      <c r="Q20">
        <v>1</v>
      </c>
      <c r="W20">
        <v>0</v>
      </c>
      <c r="X20">
        <v>458544584</v>
      </c>
      <c r="Y20">
        <v>0.04</v>
      </c>
      <c r="AA20">
        <v>0</v>
      </c>
      <c r="AB20">
        <v>887.39</v>
      </c>
      <c r="AC20">
        <v>351.36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10.18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0</v>
      </c>
      <c r="AW20">
        <v>2</v>
      </c>
      <c r="AX20">
        <v>34981724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Y20*Source!I30</f>
        <v>0.04</v>
      </c>
      <c r="CY20">
        <f>AB20</f>
        <v>887.39</v>
      </c>
      <c r="CZ20">
        <f>AF20</f>
        <v>87.17</v>
      </c>
      <c r="DA20">
        <f>AJ20</f>
        <v>10.18</v>
      </c>
      <c r="DB20">
        <f t="shared" si="0"/>
        <v>3.49</v>
      </c>
      <c r="DC20">
        <f t="shared" si="1"/>
        <v>0.46</v>
      </c>
    </row>
    <row r="21" spans="1:107">
      <c r="A21">
        <f>ROW(Source!A30)</f>
        <v>30</v>
      </c>
      <c r="B21">
        <v>34945658</v>
      </c>
      <c r="C21">
        <v>34948873</v>
      </c>
      <c r="D21">
        <v>29114246</v>
      </c>
      <c r="E21">
        <v>1</v>
      </c>
      <c r="F21">
        <v>1</v>
      </c>
      <c r="G21">
        <v>1</v>
      </c>
      <c r="H21">
        <v>3</v>
      </c>
      <c r="I21" t="s">
        <v>259</v>
      </c>
      <c r="J21" t="s">
        <v>260</v>
      </c>
      <c r="K21" t="s">
        <v>261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W21">
        <v>0</v>
      </c>
      <c r="X21">
        <v>-421273247</v>
      </c>
      <c r="Y21">
        <v>0.06</v>
      </c>
      <c r="AA21">
        <v>79.64</v>
      </c>
      <c r="AB21">
        <v>0</v>
      </c>
      <c r="AC21">
        <v>0</v>
      </c>
      <c r="AD21">
        <v>0</v>
      </c>
      <c r="AE21">
        <v>9.0399999999999991</v>
      </c>
      <c r="AF21">
        <v>0</v>
      </c>
      <c r="AG21">
        <v>0</v>
      </c>
      <c r="AH21">
        <v>0</v>
      </c>
      <c r="AI21">
        <v>8.81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0.06</v>
      </c>
      <c r="AU21" t="s">
        <v>3</v>
      </c>
      <c r="AV21">
        <v>0</v>
      </c>
      <c r="AW21">
        <v>2</v>
      </c>
      <c r="AX21">
        <v>34981725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Y21*Source!I30</f>
        <v>0.06</v>
      </c>
      <c r="CY21">
        <f>AA21</f>
        <v>79.64</v>
      </c>
      <c r="CZ21">
        <f>AE21</f>
        <v>9.0399999999999991</v>
      </c>
      <c r="DA21">
        <f>AI21</f>
        <v>8.81</v>
      </c>
      <c r="DB21">
        <f t="shared" si="0"/>
        <v>0.54</v>
      </c>
      <c r="DC21">
        <f t="shared" si="1"/>
        <v>0</v>
      </c>
    </row>
    <row r="22" spans="1:107">
      <c r="A22">
        <f>ROW(Source!A30)</f>
        <v>30</v>
      </c>
      <c r="B22">
        <v>34945658</v>
      </c>
      <c r="C22">
        <v>34948873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239</v>
      </c>
      <c r="J22" t="s">
        <v>240</v>
      </c>
      <c r="K22" t="s">
        <v>241</v>
      </c>
      <c r="L22">
        <v>1374</v>
      </c>
      <c r="N22">
        <v>1013</v>
      </c>
      <c r="O22" t="s">
        <v>242</v>
      </c>
      <c r="P22" t="s">
        <v>242</v>
      </c>
      <c r="Q22">
        <v>1</v>
      </c>
      <c r="W22">
        <v>0</v>
      </c>
      <c r="X22">
        <v>-915781824</v>
      </c>
      <c r="Y22">
        <v>0.22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0.22</v>
      </c>
      <c r="AU22" t="s">
        <v>3</v>
      </c>
      <c r="AV22">
        <v>0</v>
      </c>
      <c r="AW22">
        <v>2</v>
      </c>
      <c r="AX22">
        <v>34981726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Y22*Source!I30</f>
        <v>0.22</v>
      </c>
      <c r="CY22">
        <f>AA22</f>
        <v>1</v>
      </c>
      <c r="CZ22">
        <f>AE22</f>
        <v>1</v>
      </c>
      <c r="DA22">
        <f>AI22</f>
        <v>1</v>
      </c>
      <c r="DB22">
        <f t="shared" si="0"/>
        <v>0.22</v>
      </c>
      <c r="DC22">
        <f t="shared" si="1"/>
        <v>0</v>
      </c>
    </row>
    <row r="23" spans="1:107">
      <c r="A23">
        <f>ROW(Source!A32)</f>
        <v>32</v>
      </c>
      <c r="B23">
        <v>34945658</v>
      </c>
      <c r="C23">
        <v>34945757</v>
      </c>
      <c r="D23">
        <v>29362762</v>
      </c>
      <c r="E23">
        <v>1</v>
      </c>
      <c r="F23">
        <v>1</v>
      </c>
      <c r="G23">
        <v>1</v>
      </c>
      <c r="H23">
        <v>1</v>
      </c>
      <c r="I23" t="s">
        <v>249</v>
      </c>
      <c r="J23" t="s">
        <v>3</v>
      </c>
      <c r="K23" t="s">
        <v>250</v>
      </c>
      <c r="L23">
        <v>1369</v>
      </c>
      <c r="N23">
        <v>1013</v>
      </c>
      <c r="O23" t="s">
        <v>223</v>
      </c>
      <c r="P23" t="s">
        <v>223</v>
      </c>
      <c r="Q23">
        <v>1</v>
      </c>
      <c r="W23">
        <v>0</v>
      </c>
      <c r="X23">
        <v>604758886</v>
      </c>
      <c r="Y23">
        <v>0.84</v>
      </c>
      <c r="AA23">
        <v>0</v>
      </c>
      <c r="AB23">
        <v>0</v>
      </c>
      <c r="AC23">
        <v>0</v>
      </c>
      <c r="AD23">
        <v>264.97000000000003</v>
      </c>
      <c r="AE23">
        <v>0</v>
      </c>
      <c r="AF23">
        <v>0</v>
      </c>
      <c r="AG23">
        <v>0</v>
      </c>
      <c r="AH23">
        <v>264.97000000000003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0.84</v>
      </c>
      <c r="AU23" t="s">
        <v>3</v>
      </c>
      <c r="AV23">
        <v>1</v>
      </c>
      <c r="AW23">
        <v>2</v>
      </c>
      <c r="AX23">
        <v>34945765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8.4</v>
      </c>
      <c r="CY23">
        <f>AD23</f>
        <v>264.97000000000003</v>
      </c>
      <c r="CZ23">
        <f>AH23</f>
        <v>264.97000000000003</v>
      </c>
      <c r="DA23">
        <f>AL23</f>
        <v>1</v>
      </c>
      <c r="DB23">
        <f t="shared" si="0"/>
        <v>222.57</v>
      </c>
      <c r="DC23">
        <f t="shared" si="1"/>
        <v>0</v>
      </c>
    </row>
    <row r="24" spans="1:107">
      <c r="A24">
        <f>ROW(Source!A32)</f>
        <v>32</v>
      </c>
      <c r="B24">
        <v>34945658</v>
      </c>
      <c r="C24">
        <v>34945757</v>
      </c>
      <c r="D24">
        <v>29109382</v>
      </c>
      <c r="E24">
        <v>1</v>
      </c>
      <c r="F24">
        <v>1</v>
      </c>
      <c r="G24">
        <v>1</v>
      </c>
      <c r="H24">
        <v>3</v>
      </c>
      <c r="I24" t="s">
        <v>262</v>
      </c>
      <c r="J24" t="s">
        <v>263</v>
      </c>
      <c r="K24" t="s">
        <v>264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W24">
        <v>0</v>
      </c>
      <c r="X24">
        <v>-1229847137</v>
      </c>
      <c r="Y24">
        <v>0.01</v>
      </c>
      <c r="AA24">
        <v>232.6</v>
      </c>
      <c r="AB24">
        <v>0</v>
      </c>
      <c r="AC24">
        <v>0</v>
      </c>
      <c r="AD24">
        <v>0</v>
      </c>
      <c r="AE24">
        <v>28.93</v>
      </c>
      <c r="AF24">
        <v>0</v>
      </c>
      <c r="AG24">
        <v>0</v>
      </c>
      <c r="AH24">
        <v>0</v>
      </c>
      <c r="AI24">
        <v>8.0399999999999991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34945766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Y24*Source!I32</f>
        <v>0.1</v>
      </c>
      <c r="CY24">
        <f t="shared" ref="CY24:CY29" si="5">AA24</f>
        <v>232.6</v>
      </c>
      <c r="CZ24">
        <f t="shared" ref="CZ24:CZ29" si="6">AE24</f>
        <v>28.93</v>
      </c>
      <c r="DA24">
        <f t="shared" ref="DA24:DA29" si="7">AI24</f>
        <v>8.0399999999999991</v>
      </c>
      <c r="DB24">
        <f t="shared" si="0"/>
        <v>0.28999999999999998</v>
      </c>
      <c r="DC24">
        <f t="shared" si="1"/>
        <v>0</v>
      </c>
    </row>
    <row r="25" spans="1:107">
      <c r="A25">
        <f>ROW(Source!A32)</f>
        <v>32</v>
      </c>
      <c r="B25">
        <v>34945658</v>
      </c>
      <c r="C25">
        <v>34945757</v>
      </c>
      <c r="D25">
        <v>29114691</v>
      </c>
      <c r="E25">
        <v>1</v>
      </c>
      <c r="F25">
        <v>1</v>
      </c>
      <c r="G25">
        <v>1</v>
      </c>
      <c r="H25">
        <v>3</v>
      </c>
      <c r="I25" t="s">
        <v>265</v>
      </c>
      <c r="J25" t="s">
        <v>266</v>
      </c>
      <c r="K25" t="s">
        <v>267</v>
      </c>
      <c r="L25">
        <v>1348</v>
      </c>
      <c r="N25">
        <v>1009</v>
      </c>
      <c r="O25" t="s">
        <v>248</v>
      </c>
      <c r="P25" t="s">
        <v>248</v>
      </c>
      <c r="Q25">
        <v>1000</v>
      </c>
      <c r="W25">
        <v>0</v>
      </c>
      <c r="X25">
        <v>-1968542347</v>
      </c>
      <c r="Y25">
        <v>1E-4</v>
      </c>
      <c r="AA25">
        <v>90739</v>
      </c>
      <c r="AB25">
        <v>0</v>
      </c>
      <c r="AC25">
        <v>0</v>
      </c>
      <c r="AD25">
        <v>0</v>
      </c>
      <c r="AE25">
        <v>12430</v>
      </c>
      <c r="AF25">
        <v>0</v>
      </c>
      <c r="AG25">
        <v>0</v>
      </c>
      <c r="AH25">
        <v>0</v>
      </c>
      <c r="AI25">
        <v>7.3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1E-4</v>
      </c>
      <c r="AU25" t="s">
        <v>3</v>
      </c>
      <c r="AV25">
        <v>0</v>
      </c>
      <c r="AW25">
        <v>2</v>
      </c>
      <c r="AX25">
        <v>34945767</v>
      </c>
      <c r="AY25">
        <v>1</v>
      </c>
      <c r="AZ25">
        <v>0</v>
      </c>
      <c r="BA25">
        <v>22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Y25*Source!I32</f>
        <v>1E-3</v>
      </c>
      <c r="CY25">
        <f t="shared" si="5"/>
        <v>90739</v>
      </c>
      <c r="CZ25">
        <f t="shared" si="6"/>
        <v>12430</v>
      </c>
      <c r="DA25">
        <f t="shared" si="7"/>
        <v>7.3</v>
      </c>
      <c r="DB25">
        <f t="shared" si="0"/>
        <v>1.24</v>
      </c>
      <c r="DC25">
        <f t="shared" si="1"/>
        <v>0</v>
      </c>
    </row>
    <row r="26" spans="1:107">
      <c r="A26">
        <f>ROW(Source!A32)</f>
        <v>32</v>
      </c>
      <c r="B26">
        <v>34945658</v>
      </c>
      <c r="C26">
        <v>34945757</v>
      </c>
      <c r="D26">
        <v>29107468</v>
      </c>
      <c r="E26">
        <v>1</v>
      </c>
      <c r="F26">
        <v>1</v>
      </c>
      <c r="G26">
        <v>1</v>
      </c>
      <c r="H26">
        <v>3</v>
      </c>
      <c r="I26" t="s">
        <v>228</v>
      </c>
      <c r="J26" t="s">
        <v>229</v>
      </c>
      <c r="K26" t="s">
        <v>230</v>
      </c>
      <c r="L26">
        <v>1346</v>
      </c>
      <c r="N26">
        <v>1009</v>
      </c>
      <c r="O26" t="s">
        <v>231</v>
      </c>
      <c r="P26" t="s">
        <v>231</v>
      </c>
      <c r="Q26">
        <v>1</v>
      </c>
      <c r="W26">
        <v>0</v>
      </c>
      <c r="X26">
        <v>1784212875</v>
      </c>
      <c r="Y26">
        <v>2.0000000000000001E-4</v>
      </c>
      <c r="AA26">
        <v>204.57</v>
      </c>
      <c r="AB26">
        <v>0</v>
      </c>
      <c r="AC26">
        <v>0</v>
      </c>
      <c r="AD26">
        <v>0</v>
      </c>
      <c r="AE26">
        <v>12.62</v>
      </c>
      <c r="AF26">
        <v>0</v>
      </c>
      <c r="AG26">
        <v>0</v>
      </c>
      <c r="AH26">
        <v>0</v>
      </c>
      <c r="AI26">
        <v>16.21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34945768</v>
      </c>
      <c r="AY26">
        <v>1</v>
      </c>
      <c r="AZ26">
        <v>0</v>
      </c>
      <c r="BA26">
        <v>23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Y26*Source!I32</f>
        <v>2E-3</v>
      </c>
      <c r="CY26">
        <f t="shared" si="5"/>
        <v>204.57</v>
      </c>
      <c r="CZ26">
        <f t="shared" si="6"/>
        <v>12.62</v>
      </c>
      <c r="DA26">
        <f t="shared" si="7"/>
        <v>16.21</v>
      </c>
      <c r="DB26">
        <f t="shared" si="0"/>
        <v>0</v>
      </c>
      <c r="DC26">
        <f t="shared" si="1"/>
        <v>0</v>
      </c>
    </row>
    <row r="27" spans="1:107">
      <c r="A27">
        <f>ROW(Source!A32)</f>
        <v>32</v>
      </c>
      <c r="B27">
        <v>34945658</v>
      </c>
      <c r="C27">
        <v>34945757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236</v>
      </c>
      <c r="J27" t="s">
        <v>237</v>
      </c>
      <c r="K27" t="s">
        <v>238</v>
      </c>
      <c r="L27">
        <v>1346</v>
      </c>
      <c r="N27">
        <v>1009</v>
      </c>
      <c r="O27" t="s">
        <v>231</v>
      </c>
      <c r="P27" t="s">
        <v>231</v>
      </c>
      <c r="Q27">
        <v>1</v>
      </c>
      <c r="W27">
        <v>0</v>
      </c>
      <c r="X27">
        <v>567682832</v>
      </c>
      <c r="Y27">
        <v>2E-3</v>
      </c>
      <c r="AA27">
        <v>621.05999999999995</v>
      </c>
      <c r="AB27">
        <v>0</v>
      </c>
      <c r="AC27">
        <v>0</v>
      </c>
      <c r="AD27">
        <v>0</v>
      </c>
      <c r="AE27">
        <v>65.930000000000007</v>
      </c>
      <c r="AF27">
        <v>0</v>
      </c>
      <c r="AG27">
        <v>0</v>
      </c>
      <c r="AH27">
        <v>0</v>
      </c>
      <c r="AI27">
        <v>9.42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34945769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Y27*Source!I32</f>
        <v>0.02</v>
      </c>
      <c r="CY27">
        <f t="shared" si="5"/>
        <v>621.05999999999995</v>
      </c>
      <c r="CZ27">
        <f t="shared" si="6"/>
        <v>65.930000000000007</v>
      </c>
      <c r="DA27">
        <f t="shared" si="7"/>
        <v>9.42</v>
      </c>
      <c r="DB27">
        <f t="shared" si="0"/>
        <v>0.13</v>
      </c>
      <c r="DC27">
        <f t="shared" si="1"/>
        <v>0</v>
      </c>
    </row>
    <row r="28" spans="1:107">
      <c r="A28">
        <f>ROW(Source!A32)</f>
        <v>32</v>
      </c>
      <c r="B28">
        <v>34945658</v>
      </c>
      <c r="C28">
        <v>34945757</v>
      </c>
      <c r="D28">
        <v>29159023</v>
      </c>
      <c r="E28">
        <v>1</v>
      </c>
      <c r="F28">
        <v>1</v>
      </c>
      <c r="G28">
        <v>1</v>
      </c>
      <c r="H28">
        <v>3</v>
      </c>
      <c r="I28" t="s">
        <v>268</v>
      </c>
      <c r="J28" t="s">
        <v>269</v>
      </c>
      <c r="K28" t="s">
        <v>270</v>
      </c>
      <c r="L28">
        <v>1346</v>
      </c>
      <c r="N28">
        <v>1009</v>
      </c>
      <c r="O28" t="s">
        <v>231</v>
      </c>
      <c r="P28" t="s">
        <v>231</v>
      </c>
      <c r="Q28">
        <v>1</v>
      </c>
      <c r="W28">
        <v>0</v>
      </c>
      <c r="X28">
        <v>-1884434248</v>
      </c>
      <c r="Y28">
        <v>1.42E-3</v>
      </c>
      <c r="AA28">
        <v>322.60000000000002</v>
      </c>
      <c r="AB28">
        <v>0</v>
      </c>
      <c r="AC28">
        <v>0</v>
      </c>
      <c r="AD28">
        <v>0</v>
      </c>
      <c r="AE28">
        <v>38.450000000000003</v>
      </c>
      <c r="AF28">
        <v>0</v>
      </c>
      <c r="AG28">
        <v>0</v>
      </c>
      <c r="AH28">
        <v>0</v>
      </c>
      <c r="AI28">
        <v>8.39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1.42E-3</v>
      </c>
      <c r="AU28" t="s">
        <v>3</v>
      </c>
      <c r="AV28">
        <v>0</v>
      </c>
      <c r="AW28">
        <v>2</v>
      </c>
      <c r="AX28">
        <v>34945770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Y28*Source!I32</f>
        <v>1.4200000000000001E-2</v>
      </c>
      <c r="CY28">
        <f t="shared" si="5"/>
        <v>322.60000000000002</v>
      </c>
      <c r="CZ28">
        <f t="shared" si="6"/>
        <v>38.450000000000003</v>
      </c>
      <c r="DA28">
        <f t="shared" si="7"/>
        <v>8.39</v>
      </c>
      <c r="DB28">
        <f t="shared" si="0"/>
        <v>0.05</v>
      </c>
      <c r="DC28">
        <f t="shared" si="1"/>
        <v>0</v>
      </c>
    </row>
    <row r="29" spans="1:107">
      <c r="A29">
        <f>ROW(Source!A32)</f>
        <v>32</v>
      </c>
      <c r="B29">
        <v>34945658</v>
      </c>
      <c r="C29">
        <v>34945757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239</v>
      </c>
      <c r="J29" t="s">
        <v>240</v>
      </c>
      <c r="K29" t="s">
        <v>241</v>
      </c>
      <c r="L29">
        <v>1374</v>
      </c>
      <c r="N29">
        <v>1013</v>
      </c>
      <c r="O29" t="s">
        <v>242</v>
      </c>
      <c r="P29" t="s">
        <v>242</v>
      </c>
      <c r="Q29">
        <v>1</v>
      </c>
      <c r="W29">
        <v>0</v>
      </c>
      <c r="X29">
        <v>-915781824</v>
      </c>
      <c r="Y29">
        <v>0.16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0.16</v>
      </c>
      <c r="AU29" t="s">
        <v>3</v>
      </c>
      <c r="AV29">
        <v>0</v>
      </c>
      <c r="AW29">
        <v>2</v>
      </c>
      <c r="AX29">
        <v>34945771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Y29*Source!I32</f>
        <v>1.6</v>
      </c>
      <c r="CY29">
        <f t="shared" si="5"/>
        <v>1</v>
      </c>
      <c r="CZ29">
        <f t="shared" si="6"/>
        <v>1</v>
      </c>
      <c r="DA29">
        <f t="shared" si="7"/>
        <v>1</v>
      </c>
      <c r="DB29">
        <f t="shared" si="0"/>
        <v>0.16</v>
      </c>
      <c r="DC29">
        <f t="shared" si="1"/>
        <v>0</v>
      </c>
    </row>
    <row r="30" spans="1:107">
      <c r="A30">
        <f>ROW(Source!A34)</f>
        <v>34</v>
      </c>
      <c r="B30">
        <v>34945658</v>
      </c>
      <c r="C30">
        <v>34945773</v>
      </c>
      <c r="D30">
        <v>18410280</v>
      </c>
      <c r="E30">
        <v>1</v>
      </c>
      <c r="F30">
        <v>1</v>
      </c>
      <c r="G30">
        <v>1</v>
      </c>
      <c r="H30">
        <v>1</v>
      </c>
      <c r="I30" t="s">
        <v>271</v>
      </c>
      <c r="J30" t="s">
        <v>3</v>
      </c>
      <c r="K30" t="s">
        <v>272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W30">
        <v>0</v>
      </c>
      <c r="X30">
        <v>-464685602</v>
      </c>
      <c r="Y30">
        <v>16.29</v>
      </c>
      <c r="AA30">
        <v>0</v>
      </c>
      <c r="AB30">
        <v>0</v>
      </c>
      <c r="AC30">
        <v>0</v>
      </c>
      <c r="AD30">
        <v>261.94</v>
      </c>
      <c r="AE30">
        <v>0</v>
      </c>
      <c r="AF30">
        <v>0</v>
      </c>
      <c r="AG30">
        <v>0</v>
      </c>
      <c r="AH30">
        <v>261.94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16.29</v>
      </c>
      <c r="AU30" t="s">
        <v>3</v>
      </c>
      <c r="AV30">
        <v>1</v>
      </c>
      <c r="AW30">
        <v>2</v>
      </c>
      <c r="AX30">
        <v>34945782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16.29</v>
      </c>
      <c r="CY30">
        <f>AD30</f>
        <v>261.94</v>
      </c>
      <c r="CZ30">
        <f>AH30</f>
        <v>261.94</v>
      </c>
      <c r="DA30">
        <f>AL30</f>
        <v>1</v>
      </c>
      <c r="DB30">
        <f t="shared" si="0"/>
        <v>4267</v>
      </c>
      <c r="DC30">
        <f t="shared" si="1"/>
        <v>0</v>
      </c>
    </row>
    <row r="31" spans="1:107">
      <c r="A31">
        <f>ROW(Source!A34)</f>
        <v>34</v>
      </c>
      <c r="B31">
        <v>34945658</v>
      </c>
      <c r="C31">
        <v>34945773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251</v>
      </c>
      <c r="L31">
        <v>608254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-185737400</v>
      </c>
      <c r="Y31">
        <v>0.01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0.01</v>
      </c>
      <c r="AU31" t="s">
        <v>3</v>
      </c>
      <c r="AV31">
        <v>2</v>
      </c>
      <c r="AW31">
        <v>2</v>
      </c>
      <c r="AX31">
        <v>34945783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0.01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>
      <c r="A32">
        <f>ROW(Source!A34)</f>
        <v>34</v>
      </c>
      <c r="B32">
        <v>34945658</v>
      </c>
      <c r="C32">
        <v>34945773</v>
      </c>
      <c r="D32">
        <v>29172556</v>
      </c>
      <c r="E32">
        <v>1</v>
      </c>
      <c r="F32">
        <v>1</v>
      </c>
      <c r="G32">
        <v>1</v>
      </c>
      <c r="H32">
        <v>2</v>
      </c>
      <c r="I32" t="s">
        <v>273</v>
      </c>
      <c r="J32" t="s">
        <v>274</v>
      </c>
      <c r="K32" t="s">
        <v>275</v>
      </c>
      <c r="L32">
        <v>1368</v>
      </c>
      <c r="N32">
        <v>1011</v>
      </c>
      <c r="O32" t="s">
        <v>227</v>
      </c>
      <c r="P32" t="s">
        <v>227</v>
      </c>
      <c r="Q32">
        <v>1</v>
      </c>
      <c r="W32">
        <v>0</v>
      </c>
      <c r="X32">
        <v>-1302720870</v>
      </c>
      <c r="Y32">
        <v>0.01</v>
      </c>
      <c r="AA32">
        <v>0</v>
      </c>
      <c r="AB32">
        <v>424.51</v>
      </c>
      <c r="AC32">
        <v>408.92</v>
      </c>
      <c r="AD32">
        <v>0</v>
      </c>
      <c r="AE32">
        <v>0</v>
      </c>
      <c r="AF32">
        <v>31.26</v>
      </c>
      <c r="AG32">
        <v>13.5</v>
      </c>
      <c r="AH32">
        <v>0</v>
      </c>
      <c r="AI32">
        <v>1</v>
      </c>
      <c r="AJ32">
        <v>13.58</v>
      </c>
      <c r="AK32">
        <v>30.29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0.01</v>
      </c>
      <c r="AU32" t="s">
        <v>3</v>
      </c>
      <c r="AV32">
        <v>0</v>
      </c>
      <c r="AW32">
        <v>2</v>
      </c>
      <c r="AX32">
        <v>34945784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Y32*Source!I34</f>
        <v>0.01</v>
      </c>
      <c r="CY32">
        <f>AB32</f>
        <v>424.51</v>
      </c>
      <c r="CZ32">
        <f>AF32</f>
        <v>31.26</v>
      </c>
      <c r="DA32">
        <f>AJ32</f>
        <v>13.58</v>
      </c>
      <c r="DB32">
        <f t="shared" si="0"/>
        <v>0.31</v>
      </c>
      <c r="DC32">
        <f t="shared" si="1"/>
        <v>0.14000000000000001</v>
      </c>
    </row>
    <row r="33" spans="1:107">
      <c r="A33">
        <f>ROW(Source!A34)</f>
        <v>34</v>
      </c>
      <c r="B33">
        <v>34945658</v>
      </c>
      <c r="C33">
        <v>34945773</v>
      </c>
      <c r="D33">
        <v>29173472</v>
      </c>
      <c r="E33">
        <v>1</v>
      </c>
      <c r="F33">
        <v>1</v>
      </c>
      <c r="G33">
        <v>1</v>
      </c>
      <c r="H33">
        <v>2</v>
      </c>
      <c r="I33" t="s">
        <v>276</v>
      </c>
      <c r="J33" t="s">
        <v>277</v>
      </c>
      <c r="K33" t="s">
        <v>278</v>
      </c>
      <c r="L33">
        <v>1368</v>
      </c>
      <c r="N33">
        <v>1011</v>
      </c>
      <c r="O33" t="s">
        <v>227</v>
      </c>
      <c r="P33" t="s">
        <v>227</v>
      </c>
      <c r="Q33">
        <v>1</v>
      </c>
      <c r="W33">
        <v>0</v>
      </c>
      <c r="X33">
        <v>275932499</v>
      </c>
      <c r="Y33">
        <v>6.08</v>
      </c>
      <c r="AA33">
        <v>0</v>
      </c>
      <c r="AB33">
        <v>12.6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1</v>
      </c>
      <c r="AJ33">
        <v>4.2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6.08</v>
      </c>
      <c r="AU33" t="s">
        <v>3</v>
      </c>
      <c r="AV33">
        <v>0</v>
      </c>
      <c r="AW33">
        <v>2</v>
      </c>
      <c r="AX33">
        <v>34945785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Y33*Source!I34</f>
        <v>6.08</v>
      </c>
      <c r="CY33">
        <f>AB33</f>
        <v>12.6</v>
      </c>
      <c r="CZ33">
        <f>AF33</f>
        <v>3</v>
      </c>
      <c r="DA33">
        <f>AJ33</f>
        <v>4.2</v>
      </c>
      <c r="DB33">
        <f t="shared" ref="DB33:DB54" si="8">ROUND(ROUND(AT33*CZ33,2),6)</f>
        <v>18.239999999999998</v>
      </c>
      <c r="DC33">
        <f t="shared" ref="DC33:DC54" si="9">ROUND(ROUND(AT33*AG33,2),6)</f>
        <v>0</v>
      </c>
    </row>
    <row r="34" spans="1:107">
      <c r="A34">
        <f>ROW(Source!A34)</f>
        <v>34</v>
      </c>
      <c r="B34">
        <v>34945658</v>
      </c>
      <c r="C34">
        <v>34945773</v>
      </c>
      <c r="D34">
        <v>29174580</v>
      </c>
      <c r="E34">
        <v>1</v>
      </c>
      <c r="F34">
        <v>1</v>
      </c>
      <c r="G34">
        <v>1</v>
      </c>
      <c r="H34">
        <v>2</v>
      </c>
      <c r="I34" t="s">
        <v>279</v>
      </c>
      <c r="J34" t="s">
        <v>280</v>
      </c>
      <c r="K34" t="s">
        <v>281</v>
      </c>
      <c r="L34">
        <v>1368</v>
      </c>
      <c r="N34">
        <v>1011</v>
      </c>
      <c r="O34" t="s">
        <v>227</v>
      </c>
      <c r="P34" t="s">
        <v>227</v>
      </c>
      <c r="Q34">
        <v>1</v>
      </c>
      <c r="W34">
        <v>0</v>
      </c>
      <c r="X34">
        <v>-169468834</v>
      </c>
      <c r="Y34">
        <v>6.08</v>
      </c>
      <c r="AA34">
        <v>0</v>
      </c>
      <c r="AB34">
        <v>31.82</v>
      </c>
      <c r="AC34">
        <v>0</v>
      </c>
      <c r="AD34">
        <v>0</v>
      </c>
      <c r="AE34">
        <v>0</v>
      </c>
      <c r="AF34">
        <v>2.08</v>
      </c>
      <c r="AG34">
        <v>0</v>
      </c>
      <c r="AH34">
        <v>0</v>
      </c>
      <c r="AI34">
        <v>1</v>
      </c>
      <c r="AJ34">
        <v>15.3</v>
      </c>
      <c r="AK34">
        <v>30.29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6.08</v>
      </c>
      <c r="AU34" t="s">
        <v>3</v>
      </c>
      <c r="AV34">
        <v>0</v>
      </c>
      <c r="AW34">
        <v>2</v>
      </c>
      <c r="AX34">
        <v>34945786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Y34*Source!I34</f>
        <v>6.08</v>
      </c>
      <c r="CY34">
        <f>AB34</f>
        <v>31.82</v>
      </c>
      <c r="CZ34">
        <f>AF34</f>
        <v>2.08</v>
      </c>
      <c r="DA34">
        <f>AJ34</f>
        <v>15.3</v>
      </c>
      <c r="DB34">
        <f t="shared" si="8"/>
        <v>12.65</v>
      </c>
      <c r="DC34">
        <f t="shared" si="9"/>
        <v>0</v>
      </c>
    </row>
    <row r="35" spans="1:107">
      <c r="A35">
        <f>ROW(Source!A34)</f>
        <v>34</v>
      </c>
      <c r="B35">
        <v>34945658</v>
      </c>
      <c r="C35">
        <v>34945773</v>
      </c>
      <c r="D35">
        <v>29114688</v>
      </c>
      <c r="E35">
        <v>1</v>
      </c>
      <c r="F35">
        <v>1</v>
      </c>
      <c r="G35">
        <v>1</v>
      </c>
      <c r="H35">
        <v>3</v>
      </c>
      <c r="I35" t="s">
        <v>282</v>
      </c>
      <c r="J35" t="s">
        <v>283</v>
      </c>
      <c r="K35" t="s">
        <v>284</v>
      </c>
      <c r="L35">
        <v>1348</v>
      </c>
      <c r="N35">
        <v>1009</v>
      </c>
      <c r="O35" t="s">
        <v>248</v>
      </c>
      <c r="P35" t="s">
        <v>248</v>
      </c>
      <c r="Q35">
        <v>1000</v>
      </c>
      <c r="W35">
        <v>0</v>
      </c>
      <c r="X35">
        <v>1008226964</v>
      </c>
      <c r="Y35">
        <v>1E-3</v>
      </c>
      <c r="AA35">
        <v>96705.4</v>
      </c>
      <c r="AB35">
        <v>0</v>
      </c>
      <c r="AC35">
        <v>0</v>
      </c>
      <c r="AD35">
        <v>0</v>
      </c>
      <c r="AE35">
        <v>12430</v>
      </c>
      <c r="AF35">
        <v>0</v>
      </c>
      <c r="AG35">
        <v>0</v>
      </c>
      <c r="AH35">
        <v>0</v>
      </c>
      <c r="AI35">
        <v>7.78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1E-3</v>
      </c>
      <c r="AU35" t="s">
        <v>3</v>
      </c>
      <c r="AV35">
        <v>0</v>
      </c>
      <c r="AW35">
        <v>2</v>
      </c>
      <c r="AX35">
        <v>34945787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Y35*Source!I34</f>
        <v>1E-3</v>
      </c>
      <c r="CY35">
        <f>AA35</f>
        <v>96705.4</v>
      </c>
      <c r="CZ35">
        <f>AE35</f>
        <v>12430</v>
      </c>
      <c r="DA35">
        <f>AI35</f>
        <v>7.78</v>
      </c>
      <c r="DB35">
        <f t="shared" si="8"/>
        <v>12.43</v>
      </c>
      <c r="DC35">
        <f t="shared" si="9"/>
        <v>0</v>
      </c>
    </row>
    <row r="36" spans="1:107">
      <c r="A36">
        <f>ROW(Source!A34)</f>
        <v>34</v>
      </c>
      <c r="B36">
        <v>34945658</v>
      </c>
      <c r="C36">
        <v>34945773</v>
      </c>
      <c r="D36">
        <v>29114472</v>
      </c>
      <c r="E36">
        <v>1</v>
      </c>
      <c r="F36">
        <v>1</v>
      </c>
      <c r="G36">
        <v>1</v>
      </c>
      <c r="H36">
        <v>3</v>
      </c>
      <c r="I36" t="s">
        <v>285</v>
      </c>
      <c r="J36" t="s">
        <v>286</v>
      </c>
      <c r="K36" t="s">
        <v>287</v>
      </c>
      <c r="L36">
        <v>1358</v>
      </c>
      <c r="N36">
        <v>1010</v>
      </c>
      <c r="O36" t="s">
        <v>235</v>
      </c>
      <c r="P36" t="s">
        <v>235</v>
      </c>
      <c r="Q36">
        <v>10</v>
      </c>
      <c r="W36">
        <v>0</v>
      </c>
      <c r="X36">
        <v>2117263208</v>
      </c>
      <c r="Y36">
        <v>20</v>
      </c>
      <c r="AA36">
        <v>1.83</v>
      </c>
      <c r="AB36">
        <v>0</v>
      </c>
      <c r="AC36">
        <v>0</v>
      </c>
      <c r="AD36">
        <v>0</v>
      </c>
      <c r="AE36">
        <v>1.79</v>
      </c>
      <c r="AF36">
        <v>0</v>
      </c>
      <c r="AG36">
        <v>0</v>
      </c>
      <c r="AH36">
        <v>0</v>
      </c>
      <c r="AI36">
        <v>1.02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</v>
      </c>
      <c r="AU36" t="s">
        <v>3</v>
      </c>
      <c r="AV36">
        <v>0</v>
      </c>
      <c r="AW36">
        <v>2</v>
      </c>
      <c r="AX36">
        <v>34945788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Y36*Source!I34</f>
        <v>20</v>
      </c>
      <c r="CY36">
        <f>AA36</f>
        <v>1.83</v>
      </c>
      <c r="CZ36">
        <f>AE36</f>
        <v>1.79</v>
      </c>
      <c r="DA36">
        <f>AI36</f>
        <v>1.02</v>
      </c>
      <c r="DB36">
        <f t="shared" si="8"/>
        <v>35.799999999999997</v>
      </c>
      <c r="DC36">
        <f t="shared" si="9"/>
        <v>0</v>
      </c>
    </row>
    <row r="37" spans="1:107">
      <c r="A37">
        <f>ROW(Source!A34)</f>
        <v>34</v>
      </c>
      <c r="B37">
        <v>34945658</v>
      </c>
      <c r="C37">
        <v>34945773</v>
      </c>
      <c r="D37">
        <v>29171808</v>
      </c>
      <c r="E37">
        <v>1</v>
      </c>
      <c r="F37">
        <v>1</v>
      </c>
      <c r="G37">
        <v>1</v>
      </c>
      <c r="H37">
        <v>3</v>
      </c>
      <c r="I37" t="s">
        <v>239</v>
      </c>
      <c r="J37" t="s">
        <v>240</v>
      </c>
      <c r="K37" t="s">
        <v>241</v>
      </c>
      <c r="L37">
        <v>1374</v>
      </c>
      <c r="N37">
        <v>1013</v>
      </c>
      <c r="O37" t="s">
        <v>242</v>
      </c>
      <c r="P37" t="s">
        <v>242</v>
      </c>
      <c r="Q37">
        <v>1</v>
      </c>
      <c r="W37">
        <v>0</v>
      </c>
      <c r="X37">
        <v>-915781824</v>
      </c>
      <c r="Y37">
        <v>3.1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3.1</v>
      </c>
      <c r="AU37" t="s">
        <v>3</v>
      </c>
      <c r="AV37">
        <v>0</v>
      </c>
      <c r="AW37">
        <v>2</v>
      </c>
      <c r="AX37">
        <v>34945789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Y37*Source!I34</f>
        <v>3.1</v>
      </c>
      <c r="CY37">
        <f>AA37</f>
        <v>1</v>
      </c>
      <c r="CZ37">
        <f>AE37</f>
        <v>1</v>
      </c>
      <c r="DA37">
        <f>AI37</f>
        <v>1</v>
      </c>
      <c r="DB37">
        <f t="shared" si="8"/>
        <v>3.1</v>
      </c>
      <c r="DC37">
        <f t="shared" si="9"/>
        <v>0</v>
      </c>
    </row>
    <row r="38" spans="1:107">
      <c r="A38">
        <f>ROW(Source!A36)</f>
        <v>36</v>
      </c>
      <c r="B38">
        <v>34945658</v>
      </c>
      <c r="C38">
        <v>34945791</v>
      </c>
      <c r="D38">
        <v>29362762</v>
      </c>
      <c r="E38">
        <v>1</v>
      </c>
      <c r="F38">
        <v>1</v>
      </c>
      <c r="G38">
        <v>1</v>
      </c>
      <c r="H38">
        <v>1</v>
      </c>
      <c r="I38" t="s">
        <v>249</v>
      </c>
      <c r="J38" t="s">
        <v>3</v>
      </c>
      <c r="K38" t="s">
        <v>250</v>
      </c>
      <c r="L38">
        <v>1369</v>
      </c>
      <c r="N38">
        <v>1013</v>
      </c>
      <c r="O38" t="s">
        <v>223</v>
      </c>
      <c r="P38" t="s">
        <v>223</v>
      </c>
      <c r="Q38">
        <v>1</v>
      </c>
      <c r="W38">
        <v>0</v>
      </c>
      <c r="X38">
        <v>604758886</v>
      </c>
      <c r="Y38">
        <v>0.84</v>
      </c>
      <c r="AA38">
        <v>0</v>
      </c>
      <c r="AB38">
        <v>0</v>
      </c>
      <c r="AC38">
        <v>0</v>
      </c>
      <c r="AD38">
        <v>264.97000000000003</v>
      </c>
      <c r="AE38">
        <v>0</v>
      </c>
      <c r="AF38">
        <v>0</v>
      </c>
      <c r="AG38">
        <v>0</v>
      </c>
      <c r="AH38">
        <v>264.97000000000003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0.84</v>
      </c>
      <c r="AU38" t="s">
        <v>3</v>
      </c>
      <c r="AV38">
        <v>1</v>
      </c>
      <c r="AW38">
        <v>2</v>
      </c>
      <c r="AX38">
        <v>34945801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10.08</v>
      </c>
      <c r="CY38">
        <f>AD38</f>
        <v>264.97000000000003</v>
      </c>
      <c r="CZ38">
        <f>AH38</f>
        <v>264.97000000000003</v>
      </c>
      <c r="DA38">
        <f>AL38</f>
        <v>1</v>
      </c>
      <c r="DB38">
        <f t="shared" si="8"/>
        <v>222.57</v>
      </c>
      <c r="DC38">
        <f t="shared" si="9"/>
        <v>0</v>
      </c>
    </row>
    <row r="39" spans="1:107">
      <c r="A39">
        <f>ROW(Source!A36)</f>
        <v>36</v>
      </c>
      <c r="B39">
        <v>34945658</v>
      </c>
      <c r="C39">
        <v>34945791</v>
      </c>
      <c r="D39">
        <v>29174500</v>
      </c>
      <c r="E39">
        <v>1</v>
      </c>
      <c r="F39">
        <v>1</v>
      </c>
      <c r="G39">
        <v>1</v>
      </c>
      <c r="H39">
        <v>2</v>
      </c>
      <c r="I39" t="s">
        <v>224</v>
      </c>
      <c r="J39" t="s">
        <v>225</v>
      </c>
      <c r="K39" t="s">
        <v>226</v>
      </c>
      <c r="L39">
        <v>1368</v>
      </c>
      <c r="N39">
        <v>1011</v>
      </c>
      <c r="O39" t="s">
        <v>227</v>
      </c>
      <c r="P39" t="s">
        <v>227</v>
      </c>
      <c r="Q39">
        <v>1</v>
      </c>
      <c r="W39">
        <v>0</v>
      </c>
      <c r="X39">
        <v>-239831557</v>
      </c>
      <c r="Y39">
        <v>0.06</v>
      </c>
      <c r="AA39">
        <v>0</v>
      </c>
      <c r="AB39">
        <v>7.25</v>
      </c>
      <c r="AC39">
        <v>0</v>
      </c>
      <c r="AD39">
        <v>0</v>
      </c>
      <c r="AE39">
        <v>0</v>
      </c>
      <c r="AF39">
        <v>1.95</v>
      </c>
      <c r="AG39">
        <v>0</v>
      </c>
      <c r="AH39">
        <v>0</v>
      </c>
      <c r="AI39">
        <v>1</v>
      </c>
      <c r="AJ39">
        <v>3.72</v>
      </c>
      <c r="AK39">
        <v>30.29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0.06</v>
      </c>
      <c r="AU39" t="s">
        <v>3</v>
      </c>
      <c r="AV39">
        <v>0</v>
      </c>
      <c r="AW39">
        <v>2</v>
      </c>
      <c r="AX39">
        <v>34945802</v>
      </c>
      <c r="AY39">
        <v>1</v>
      </c>
      <c r="AZ39">
        <v>0</v>
      </c>
      <c r="BA39">
        <v>36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0.72</v>
      </c>
      <c r="CY39">
        <f>AB39</f>
        <v>7.25</v>
      </c>
      <c r="CZ39">
        <f>AF39</f>
        <v>1.95</v>
      </c>
      <c r="DA39">
        <f>AJ39</f>
        <v>3.72</v>
      </c>
      <c r="DB39">
        <f t="shared" si="8"/>
        <v>0.12</v>
      </c>
      <c r="DC39">
        <f t="shared" si="9"/>
        <v>0</v>
      </c>
    </row>
    <row r="40" spans="1:107">
      <c r="A40">
        <f>ROW(Source!A36)</f>
        <v>36</v>
      </c>
      <c r="B40">
        <v>34945658</v>
      </c>
      <c r="C40">
        <v>34945791</v>
      </c>
      <c r="D40">
        <v>29109382</v>
      </c>
      <c r="E40">
        <v>1</v>
      </c>
      <c r="F40">
        <v>1</v>
      </c>
      <c r="G40">
        <v>1</v>
      </c>
      <c r="H40">
        <v>3</v>
      </c>
      <c r="I40" t="s">
        <v>262</v>
      </c>
      <c r="J40" t="s">
        <v>263</v>
      </c>
      <c r="K40" t="s">
        <v>264</v>
      </c>
      <c r="L40">
        <v>1346</v>
      </c>
      <c r="N40">
        <v>1009</v>
      </c>
      <c r="O40" t="s">
        <v>231</v>
      </c>
      <c r="P40" t="s">
        <v>231</v>
      </c>
      <c r="Q40">
        <v>1</v>
      </c>
      <c r="W40">
        <v>0</v>
      </c>
      <c r="X40">
        <v>-1229847137</v>
      </c>
      <c r="Y40">
        <v>5.0000000000000001E-3</v>
      </c>
      <c r="AA40">
        <v>232.6</v>
      </c>
      <c r="AB40">
        <v>0</v>
      </c>
      <c r="AC40">
        <v>0</v>
      </c>
      <c r="AD40">
        <v>0</v>
      </c>
      <c r="AE40">
        <v>28.93</v>
      </c>
      <c r="AF40">
        <v>0</v>
      </c>
      <c r="AG40">
        <v>0</v>
      </c>
      <c r="AH40">
        <v>0</v>
      </c>
      <c r="AI40">
        <v>8.0399999999999991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5.0000000000000001E-3</v>
      </c>
      <c r="AU40" t="s">
        <v>3</v>
      </c>
      <c r="AV40">
        <v>0</v>
      </c>
      <c r="AW40">
        <v>2</v>
      </c>
      <c r="AX40">
        <v>34945803</v>
      </c>
      <c r="AY40">
        <v>1</v>
      </c>
      <c r="AZ40">
        <v>0</v>
      </c>
      <c r="BA40">
        <v>37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0.06</v>
      </c>
      <c r="CY40">
        <f t="shared" ref="CY40:CY46" si="10">AA40</f>
        <v>232.6</v>
      </c>
      <c r="CZ40">
        <f t="shared" ref="CZ40:CZ46" si="11">AE40</f>
        <v>28.93</v>
      </c>
      <c r="DA40">
        <f t="shared" ref="DA40:DA46" si="12">AI40</f>
        <v>8.0399999999999991</v>
      </c>
      <c r="DB40">
        <f t="shared" si="8"/>
        <v>0.14000000000000001</v>
      </c>
      <c r="DC40">
        <f t="shared" si="9"/>
        <v>0</v>
      </c>
    </row>
    <row r="41" spans="1:107">
      <c r="A41">
        <f>ROW(Source!A36)</f>
        <v>36</v>
      </c>
      <c r="B41">
        <v>34945658</v>
      </c>
      <c r="C41">
        <v>34945791</v>
      </c>
      <c r="D41">
        <v>29107468</v>
      </c>
      <c r="E41">
        <v>1</v>
      </c>
      <c r="F41">
        <v>1</v>
      </c>
      <c r="G41">
        <v>1</v>
      </c>
      <c r="H41">
        <v>3</v>
      </c>
      <c r="I41" t="s">
        <v>228</v>
      </c>
      <c r="J41" t="s">
        <v>229</v>
      </c>
      <c r="K41" t="s">
        <v>230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W41">
        <v>0</v>
      </c>
      <c r="X41">
        <v>1784212875</v>
      </c>
      <c r="Y41">
        <v>2.0000000000000001E-4</v>
      </c>
      <c r="AA41">
        <v>204.57</v>
      </c>
      <c r="AB41">
        <v>0</v>
      </c>
      <c r="AC41">
        <v>0</v>
      </c>
      <c r="AD41">
        <v>0</v>
      </c>
      <c r="AE41">
        <v>12.62</v>
      </c>
      <c r="AF41">
        <v>0</v>
      </c>
      <c r="AG41">
        <v>0</v>
      </c>
      <c r="AH41">
        <v>0</v>
      </c>
      <c r="AI41">
        <v>16.21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2.0000000000000001E-4</v>
      </c>
      <c r="AU41" t="s">
        <v>3</v>
      </c>
      <c r="AV41">
        <v>0</v>
      </c>
      <c r="AW41">
        <v>2</v>
      </c>
      <c r="AX41">
        <v>34945804</v>
      </c>
      <c r="AY41">
        <v>1</v>
      </c>
      <c r="AZ41">
        <v>0</v>
      </c>
      <c r="BA41">
        <v>38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2.4000000000000002E-3</v>
      </c>
      <c r="CY41">
        <f t="shared" si="10"/>
        <v>204.57</v>
      </c>
      <c r="CZ41">
        <f t="shared" si="11"/>
        <v>12.62</v>
      </c>
      <c r="DA41">
        <f t="shared" si="12"/>
        <v>16.21</v>
      </c>
      <c r="DB41">
        <f t="shared" si="8"/>
        <v>0</v>
      </c>
      <c r="DC41">
        <f t="shared" si="9"/>
        <v>0</v>
      </c>
    </row>
    <row r="42" spans="1:107">
      <c r="A42">
        <f>ROW(Source!A36)</f>
        <v>36</v>
      </c>
      <c r="B42">
        <v>34945658</v>
      </c>
      <c r="C42">
        <v>34945791</v>
      </c>
      <c r="D42">
        <v>29114480</v>
      </c>
      <c r="E42">
        <v>1</v>
      </c>
      <c r="F42">
        <v>1</v>
      </c>
      <c r="G42">
        <v>1</v>
      </c>
      <c r="H42">
        <v>3</v>
      </c>
      <c r="I42" t="s">
        <v>232</v>
      </c>
      <c r="J42" t="s">
        <v>233</v>
      </c>
      <c r="K42" t="s">
        <v>234</v>
      </c>
      <c r="L42">
        <v>1358</v>
      </c>
      <c r="N42">
        <v>1010</v>
      </c>
      <c r="O42" t="s">
        <v>235</v>
      </c>
      <c r="P42" t="s">
        <v>235</v>
      </c>
      <c r="Q42">
        <v>10</v>
      </c>
      <c r="W42">
        <v>0</v>
      </c>
      <c r="X42">
        <v>-1291205266</v>
      </c>
      <c r="Y42">
        <v>0.1</v>
      </c>
      <c r="AA42">
        <v>28.72</v>
      </c>
      <c r="AB42">
        <v>0</v>
      </c>
      <c r="AC42">
        <v>0</v>
      </c>
      <c r="AD42">
        <v>0</v>
      </c>
      <c r="AE42">
        <v>8.3000000000000007</v>
      </c>
      <c r="AF42">
        <v>0</v>
      </c>
      <c r="AG42">
        <v>0</v>
      </c>
      <c r="AH42">
        <v>0</v>
      </c>
      <c r="AI42">
        <v>3.46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0</v>
      </c>
      <c r="AW42">
        <v>2</v>
      </c>
      <c r="AX42">
        <v>34945805</v>
      </c>
      <c r="AY42">
        <v>1</v>
      </c>
      <c r="AZ42">
        <v>0</v>
      </c>
      <c r="BA42">
        <v>39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1.2000000000000002</v>
      </c>
      <c r="CY42">
        <f t="shared" si="10"/>
        <v>28.72</v>
      </c>
      <c r="CZ42">
        <f t="shared" si="11"/>
        <v>8.3000000000000007</v>
      </c>
      <c r="DA42">
        <f t="shared" si="12"/>
        <v>3.46</v>
      </c>
      <c r="DB42">
        <f t="shared" si="8"/>
        <v>0.83</v>
      </c>
      <c r="DC42">
        <f t="shared" si="9"/>
        <v>0</v>
      </c>
    </row>
    <row r="43" spans="1:107">
      <c r="A43">
        <f>ROW(Source!A36)</f>
        <v>36</v>
      </c>
      <c r="B43">
        <v>34945658</v>
      </c>
      <c r="C43">
        <v>34945791</v>
      </c>
      <c r="D43">
        <v>29149204</v>
      </c>
      <c r="E43">
        <v>1</v>
      </c>
      <c r="F43">
        <v>1</v>
      </c>
      <c r="G43">
        <v>1</v>
      </c>
      <c r="H43">
        <v>3</v>
      </c>
      <c r="I43" t="s">
        <v>245</v>
      </c>
      <c r="J43" t="s">
        <v>246</v>
      </c>
      <c r="K43" t="s">
        <v>247</v>
      </c>
      <c r="L43">
        <v>1348</v>
      </c>
      <c r="N43">
        <v>1009</v>
      </c>
      <c r="O43" t="s">
        <v>248</v>
      </c>
      <c r="P43" t="s">
        <v>248</v>
      </c>
      <c r="Q43">
        <v>1000</v>
      </c>
      <c r="W43">
        <v>0</v>
      </c>
      <c r="X43">
        <v>-1132764130</v>
      </c>
      <c r="Y43">
        <v>1.0000000000000001E-5</v>
      </c>
      <c r="AA43">
        <v>4956.5600000000004</v>
      </c>
      <c r="AB43">
        <v>0</v>
      </c>
      <c r="AC43">
        <v>0</v>
      </c>
      <c r="AD43">
        <v>0</v>
      </c>
      <c r="AE43">
        <v>729.98</v>
      </c>
      <c r="AF43">
        <v>0</v>
      </c>
      <c r="AG43">
        <v>0</v>
      </c>
      <c r="AH43">
        <v>0</v>
      </c>
      <c r="AI43">
        <v>6.79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1.0000000000000001E-5</v>
      </c>
      <c r="AU43" t="s">
        <v>3</v>
      </c>
      <c r="AV43">
        <v>0</v>
      </c>
      <c r="AW43">
        <v>2</v>
      </c>
      <c r="AX43">
        <v>34945806</v>
      </c>
      <c r="AY43">
        <v>1</v>
      </c>
      <c r="AZ43">
        <v>0</v>
      </c>
      <c r="BA43">
        <v>40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1.2000000000000002E-4</v>
      </c>
      <c r="CY43">
        <f t="shared" si="10"/>
        <v>4956.5600000000004</v>
      </c>
      <c r="CZ43">
        <f t="shared" si="11"/>
        <v>729.98</v>
      </c>
      <c r="DA43">
        <f t="shared" si="12"/>
        <v>6.79</v>
      </c>
      <c r="DB43">
        <f t="shared" si="8"/>
        <v>0.01</v>
      </c>
      <c r="DC43">
        <f t="shared" si="9"/>
        <v>0</v>
      </c>
    </row>
    <row r="44" spans="1:107">
      <c r="A44">
        <f>ROW(Source!A36)</f>
        <v>36</v>
      </c>
      <c r="B44">
        <v>34945658</v>
      </c>
      <c r="C44">
        <v>34945791</v>
      </c>
      <c r="D44">
        <v>29158010</v>
      </c>
      <c r="E44">
        <v>1</v>
      </c>
      <c r="F44">
        <v>1</v>
      </c>
      <c r="G44">
        <v>1</v>
      </c>
      <c r="H44">
        <v>3</v>
      </c>
      <c r="I44" t="s">
        <v>236</v>
      </c>
      <c r="J44" t="s">
        <v>237</v>
      </c>
      <c r="K44" t="s">
        <v>238</v>
      </c>
      <c r="L44">
        <v>1346</v>
      </c>
      <c r="N44">
        <v>1009</v>
      </c>
      <c r="O44" t="s">
        <v>231</v>
      </c>
      <c r="P44" t="s">
        <v>231</v>
      </c>
      <c r="Q44">
        <v>1</v>
      </c>
      <c r="W44">
        <v>0</v>
      </c>
      <c r="X44">
        <v>567682832</v>
      </c>
      <c r="Y44">
        <v>2E-3</v>
      </c>
      <c r="AA44">
        <v>621.05999999999995</v>
      </c>
      <c r="AB44">
        <v>0</v>
      </c>
      <c r="AC44">
        <v>0</v>
      </c>
      <c r="AD44">
        <v>0</v>
      </c>
      <c r="AE44">
        <v>65.930000000000007</v>
      </c>
      <c r="AF44">
        <v>0</v>
      </c>
      <c r="AG44">
        <v>0</v>
      </c>
      <c r="AH44">
        <v>0</v>
      </c>
      <c r="AI44">
        <v>9.42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2E-3</v>
      </c>
      <c r="AU44" t="s">
        <v>3</v>
      </c>
      <c r="AV44">
        <v>0</v>
      </c>
      <c r="AW44">
        <v>2</v>
      </c>
      <c r="AX44">
        <v>34945807</v>
      </c>
      <c r="AY44">
        <v>1</v>
      </c>
      <c r="AZ44">
        <v>0</v>
      </c>
      <c r="BA44">
        <v>41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2.4E-2</v>
      </c>
      <c r="CY44">
        <f t="shared" si="10"/>
        <v>621.05999999999995</v>
      </c>
      <c r="CZ44">
        <f t="shared" si="11"/>
        <v>65.930000000000007</v>
      </c>
      <c r="DA44">
        <f t="shared" si="12"/>
        <v>9.42</v>
      </c>
      <c r="DB44">
        <f t="shared" si="8"/>
        <v>0.13</v>
      </c>
      <c r="DC44">
        <f t="shared" si="9"/>
        <v>0</v>
      </c>
    </row>
    <row r="45" spans="1:107">
      <c r="A45">
        <f>ROW(Source!A36)</f>
        <v>36</v>
      </c>
      <c r="B45">
        <v>34945658</v>
      </c>
      <c r="C45">
        <v>34945791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239</v>
      </c>
      <c r="J45" t="s">
        <v>240</v>
      </c>
      <c r="K45" t="s">
        <v>241</v>
      </c>
      <c r="L45">
        <v>1374</v>
      </c>
      <c r="N45">
        <v>1013</v>
      </c>
      <c r="O45" t="s">
        <v>242</v>
      </c>
      <c r="P45" t="s">
        <v>242</v>
      </c>
      <c r="Q45">
        <v>1</v>
      </c>
      <c r="W45">
        <v>0</v>
      </c>
      <c r="X45">
        <v>-915781824</v>
      </c>
      <c r="Y45">
        <v>0.16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0.16</v>
      </c>
      <c r="AU45" t="s">
        <v>3</v>
      </c>
      <c r="AV45">
        <v>0</v>
      </c>
      <c r="AW45">
        <v>2</v>
      </c>
      <c r="AX45">
        <v>34945808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1.92</v>
      </c>
      <c r="CY45">
        <f t="shared" si="10"/>
        <v>1</v>
      </c>
      <c r="CZ45">
        <f t="shared" si="11"/>
        <v>1</v>
      </c>
      <c r="DA45">
        <f t="shared" si="12"/>
        <v>1</v>
      </c>
      <c r="DB45">
        <f t="shared" si="8"/>
        <v>0.16</v>
      </c>
      <c r="DC45">
        <f t="shared" si="9"/>
        <v>0</v>
      </c>
    </row>
    <row r="46" spans="1:107">
      <c r="A46">
        <f>ROW(Source!A36)</f>
        <v>36</v>
      </c>
      <c r="B46">
        <v>34945658</v>
      </c>
      <c r="C46">
        <v>34945791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22</v>
      </c>
      <c r="J46" t="s">
        <v>3</v>
      </c>
      <c r="K46" t="s">
        <v>76</v>
      </c>
      <c r="L46">
        <v>0</v>
      </c>
      <c r="W46">
        <v>0</v>
      </c>
      <c r="X46">
        <v>183745787</v>
      </c>
      <c r="Y46">
        <v>1</v>
      </c>
      <c r="AA46">
        <v>1047.5999999999999</v>
      </c>
      <c r="AB46">
        <v>0</v>
      </c>
      <c r="AC46">
        <v>0</v>
      </c>
      <c r="AD46">
        <v>0</v>
      </c>
      <c r="AE46">
        <v>1047.5999999999999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2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12</v>
      </c>
      <c r="CY46">
        <f t="shared" si="10"/>
        <v>1047.5999999999999</v>
      </c>
      <c r="CZ46">
        <f t="shared" si="11"/>
        <v>1047.5999999999999</v>
      </c>
      <c r="DA46">
        <f t="shared" si="12"/>
        <v>1</v>
      </c>
      <c r="DB46">
        <f t="shared" si="8"/>
        <v>1047.5999999999999</v>
      </c>
      <c r="DC46">
        <f t="shared" si="9"/>
        <v>0</v>
      </c>
    </row>
    <row r="47" spans="1:107">
      <c r="A47">
        <f>ROW(Source!A38)</f>
        <v>38</v>
      </c>
      <c r="B47">
        <v>34945658</v>
      </c>
      <c r="C47">
        <v>34945810</v>
      </c>
      <c r="D47">
        <v>29361034</v>
      </c>
      <c r="E47">
        <v>1</v>
      </c>
      <c r="F47">
        <v>1</v>
      </c>
      <c r="G47">
        <v>1</v>
      </c>
      <c r="H47">
        <v>1</v>
      </c>
      <c r="I47" t="s">
        <v>288</v>
      </c>
      <c r="J47" t="s">
        <v>3</v>
      </c>
      <c r="K47" t="s">
        <v>289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W47">
        <v>0</v>
      </c>
      <c r="X47">
        <v>184923391</v>
      </c>
      <c r="Y47">
        <v>1.03</v>
      </c>
      <c r="AA47">
        <v>0</v>
      </c>
      <c r="AB47">
        <v>0</v>
      </c>
      <c r="AC47">
        <v>0</v>
      </c>
      <c r="AD47">
        <v>258.91000000000003</v>
      </c>
      <c r="AE47">
        <v>0</v>
      </c>
      <c r="AF47">
        <v>0</v>
      </c>
      <c r="AG47">
        <v>0</v>
      </c>
      <c r="AH47">
        <v>258.91000000000003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1.03</v>
      </c>
      <c r="AU47" t="s">
        <v>3</v>
      </c>
      <c r="AV47">
        <v>1</v>
      </c>
      <c r="AW47">
        <v>2</v>
      </c>
      <c r="AX47">
        <v>34945819</v>
      </c>
      <c r="AY47">
        <v>1</v>
      </c>
      <c r="AZ47">
        <v>0</v>
      </c>
      <c r="BA47">
        <v>43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1.5449999999999999</v>
      </c>
      <c r="CY47">
        <f>AD47</f>
        <v>258.91000000000003</v>
      </c>
      <c r="CZ47">
        <f>AH47</f>
        <v>258.91000000000003</v>
      </c>
      <c r="DA47">
        <f>AL47</f>
        <v>1</v>
      </c>
      <c r="DB47">
        <f t="shared" si="8"/>
        <v>266.68</v>
      </c>
      <c r="DC47">
        <f t="shared" si="9"/>
        <v>0</v>
      </c>
    </row>
    <row r="48" spans="1:107">
      <c r="A48">
        <f>ROW(Source!A38)</f>
        <v>38</v>
      </c>
      <c r="B48">
        <v>34945658</v>
      </c>
      <c r="C48">
        <v>34945810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27</v>
      </c>
      <c r="J48" t="s">
        <v>3</v>
      </c>
      <c r="K48" t="s">
        <v>251</v>
      </c>
      <c r="L48">
        <v>608254</v>
      </c>
      <c r="N48">
        <v>1013</v>
      </c>
      <c r="O48" t="s">
        <v>252</v>
      </c>
      <c r="P48" t="s">
        <v>252</v>
      </c>
      <c r="Q48">
        <v>1</v>
      </c>
      <c r="W48">
        <v>0</v>
      </c>
      <c r="X48">
        <v>-185737400</v>
      </c>
      <c r="Y48">
        <v>0.01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2</v>
      </c>
      <c r="AW48">
        <v>2</v>
      </c>
      <c r="AX48">
        <v>34945820</v>
      </c>
      <c r="AY48">
        <v>1</v>
      </c>
      <c r="AZ48">
        <v>0</v>
      </c>
      <c r="BA48">
        <v>44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Y48*Source!I38</f>
        <v>1.4999999999999999E-2</v>
      </c>
      <c r="CY48">
        <f>AD48</f>
        <v>0</v>
      </c>
      <c r="CZ48">
        <f>AH48</f>
        <v>0</v>
      </c>
      <c r="DA48">
        <f>AL48</f>
        <v>1</v>
      </c>
      <c r="DB48">
        <f t="shared" si="8"/>
        <v>0</v>
      </c>
      <c r="DC48">
        <f t="shared" si="9"/>
        <v>0</v>
      </c>
    </row>
    <row r="49" spans="1:107">
      <c r="A49">
        <f>ROW(Source!A38)</f>
        <v>38</v>
      </c>
      <c r="B49">
        <v>34945658</v>
      </c>
      <c r="C49">
        <v>34945810</v>
      </c>
      <c r="D49">
        <v>29172362</v>
      </c>
      <c r="E49">
        <v>1</v>
      </c>
      <c r="F49">
        <v>1</v>
      </c>
      <c r="G49">
        <v>1</v>
      </c>
      <c r="H49">
        <v>2</v>
      </c>
      <c r="I49" t="s">
        <v>253</v>
      </c>
      <c r="J49" t="s">
        <v>254</v>
      </c>
      <c r="K49" t="s">
        <v>255</v>
      </c>
      <c r="L49">
        <v>1368</v>
      </c>
      <c r="N49">
        <v>1011</v>
      </c>
      <c r="O49" t="s">
        <v>227</v>
      </c>
      <c r="P49" t="s">
        <v>227</v>
      </c>
      <c r="Q49">
        <v>1</v>
      </c>
      <c r="W49">
        <v>0</v>
      </c>
      <c r="X49">
        <v>2071614860</v>
      </c>
      <c r="Y49">
        <v>0.01</v>
      </c>
      <c r="AA49">
        <v>0</v>
      </c>
      <c r="AB49">
        <v>1058.3499999999999</v>
      </c>
      <c r="AC49">
        <v>408.92</v>
      </c>
      <c r="AD49">
        <v>0</v>
      </c>
      <c r="AE49">
        <v>0</v>
      </c>
      <c r="AF49">
        <v>134.65</v>
      </c>
      <c r="AG49">
        <v>13.5</v>
      </c>
      <c r="AH49">
        <v>0</v>
      </c>
      <c r="AI49">
        <v>1</v>
      </c>
      <c r="AJ49">
        <v>7.86</v>
      </c>
      <c r="AK49">
        <v>30.29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34945821</v>
      </c>
      <c r="AY49">
        <v>1</v>
      </c>
      <c r="AZ49">
        <v>0</v>
      </c>
      <c r="BA49">
        <v>45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Y49*Source!I38</f>
        <v>1.4999999999999999E-2</v>
      </c>
      <c r="CY49">
        <f>AB49</f>
        <v>1058.3499999999999</v>
      </c>
      <c r="CZ49">
        <f>AF49</f>
        <v>134.65</v>
      </c>
      <c r="DA49">
        <f>AJ49</f>
        <v>7.86</v>
      </c>
      <c r="DB49">
        <f t="shared" si="8"/>
        <v>1.35</v>
      </c>
      <c r="DC49">
        <f t="shared" si="9"/>
        <v>0.14000000000000001</v>
      </c>
    </row>
    <row r="50" spans="1:107">
      <c r="A50">
        <f>ROW(Source!A38)</f>
        <v>38</v>
      </c>
      <c r="B50">
        <v>34945658</v>
      </c>
      <c r="C50">
        <v>34945810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256</v>
      </c>
      <c r="J50" t="s">
        <v>257</v>
      </c>
      <c r="K50" t="s">
        <v>258</v>
      </c>
      <c r="L50">
        <v>1368</v>
      </c>
      <c r="N50">
        <v>1011</v>
      </c>
      <c r="O50" t="s">
        <v>227</v>
      </c>
      <c r="P50" t="s">
        <v>227</v>
      </c>
      <c r="Q50">
        <v>1</v>
      </c>
      <c r="W50">
        <v>0</v>
      </c>
      <c r="X50">
        <v>458544584</v>
      </c>
      <c r="Y50">
        <v>0.01</v>
      </c>
      <c r="AA50">
        <v>0</v>
      </c>
      <c r="AB50">
        <v>887.39</v>
      </c>
      <c r="AC50">
        <v>351.36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10.18</v>
      </c>
      <c r="AK50">
        <v>30.29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34945822</v>
      </c>
      <c r="AY50">
        <v>1</v>
      </c>
      <c r="AZ50">
        <v>0</v>
      </c>
      <c r="BA50">
        <v>46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Y50*Source!I38</f>
        <v>1.4999999999999999E-2</v>
      </c>
      <c r="CY50">
        <f>AB50</f>
        <v>887.39</v>
      </c>
      <c r="CZ50">
        <f>AF50</f>
        <v>87.17</v>
      </c>
      <c r="DA50">
        <f>AJ50</f>
        <v>10.18</v>
      </c>
      <c r="DB50">
        <f t="shared" si="8"/>
        <v>0.87</v>
      </c>
      <c r="DC50">
        <f t="shared" si="9"/>
        <v>0.12</v>
      </c>
    </row>
    <row r="51" spans="1:107">
      <c r="A51">
        <f>ROW(Source!A38)</f>
        <v>38</v>
      </c>
      <c r="B51">
        <v>34945658</v>
      </c>
      <c r="C51">
        <v>34945810</v>
      </c>
      <c r="D51">
        <v>29110426</v>
      </c>
      <c r="E51">
        <v>1</v>
      </c>
      <c r="F51">
        <v>1</v>
      </c>
      <c r="G51">
        <v>1</v>
      </c>
      <c r="H51">
        <v>3</v>
      </c>
      <c r="I51" t="s">
        <v>290</v>
      </c>
      <c r="J51" t="s">
        <v>291</v>
      </c>
      <c r="K51" t="s">
        <v>292</v>
      </c>
      <c r="L51">
        <v>1346</v>
      </c>
      <c r="N51">
        <v>1009</v>
      </c>
      <c r="O51" t="s">
        <v>231</v>
      </c>
      <c r="P51" t="s">
        <v>231</v>
      </c>
      <c r="Q51">
        <v>1</v>
      </c>
      <c r="W51">
        <v>0</v>
      </c>
      <c r="X51">
        <v>1314148174</v>
      </c>
      <c r="Y51">
        <v>0.05</v>
      </c>
      <c r="AA51">
        <v>63.36</v>
      </c>
      <c r="AB51">
        <v>0</v>
      </c>
      <c r="AC51">
        <v>0</v>
      </c>
      <c r="AD51">
        <v>0</v>
      </c>
      <c r="AE51">
        <v>28.67</v>
      </c>
      <c r="AF51">
        <v>0</v>
      </c>
      <c r="AG51">
        <v>0</v>
      </c>
      <c r="AH51">
        <v>0</v>
      </c>
      <c r="AI51">
        <v>2.21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0.05</v>
      </c>
      <c r="AU51" t="s">
        <v>3</v>
      </c>
      <c r="AV51">
        <v>0</v>
      </c>
      <c r="AW51">
        <v>2</v>
      </c>
      <c r="AX51">
        <v>34945823</v>
      </c>
      <c r="AY51">
        <v>1</v>
      </c>
      <c r="AZ51">
        <v>0</v>
      </c>
      <c r="BA51">
        <v>47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Y51*Source!I38</f>
        <v>7.5000000000000011E-2</v>
      </c>
      <c r="CY51">
        <f>AA51</f>
        <v>63.36</v>
      </c>
      <c r="CZ51">
        <f>AE51</f>
        <v>28.67</v>
      </c>
      <c r="DA51">
        <f>AI51</f>
        <v>2.21</v>
      </c>
      <c r="DB51">
        <f t="shared" si="8"/>
        <v>1.43</v>
      </c>
      <c r="DC51">
        <f t="shared" si="9"/>
        <v>0</v>
      </c>
    </row>
    <row r="52" spans="1:107">
      <c r="A52">
        <f>ROW(Source!A38)</f>
        <v>38</v>
      </c>
      <c r="B52">
        <v>34945658</v>
      </c>
      <c r="C52">
        <v>34945810</v>
      </c>
      <c r="D52">
        <v>29110793</v>
      </c>
      <c r="E52">
        <v>1</v>
      </c>
      <c r="F52">
        <v>1</v>
      </c>
      <c r="G52">
        <v>1</v>
      </c>
      <c r="H52">
        <v>3</v>
      </c>
      <c r="I52" t="s">
        <v>293</v>
      </c>
      <c r="J52" t="s">
        <v>294</v>
      </c>
      <c r="K52" t="s">
        <v>295</v>
      </c>
      <c r="L52">
        <v>1308</v>
      </c>
      <c r="N52">
        <v>1003</v>
      </c>
      <c r="O52" t="s">
        <v>64</v>
      </c>
      <c r="P52" t="s">
        <v>64</v>
      </c>
      <c r="Q52">
        <v>100</v>
      </c>
      <c r="W52">
        <v>0</v>
      </c>
      <c r="X52">
        <v>-729819178</v>
      </c>
      <c r="Y52">
        <v>0.05</v>
      </c>
      <c r="AA52">
        <v>565.69000000000005</v>
      </c>
      <c r="AB52">
        <v>0</v>
      </c>
      <c r="AC52">
        <v>0</v>
      </c>
      <c r="AD52">
        <v>0</v>
      </c>
      <c r="AE52">
        <v>120.36</v>
      </c>
      <c r="AF52">
        <v>0</v>
      </c>
      <c r="AG52">
        <v>0</v>
      </c>
      <c r="AH52">
        <v>0</v>
      </c>
      <c r="AI52">
        <v>4.7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0.05</v>
      </c>
      <c r="AU52" t="s">
        <v>3</v>
      </c>
      <c r="AV52">
        <v>0</v>
      </c>
      <c r="AW52">
        <v>2</v>
      </c>
      <c r="AX52">
        <v>34945824</v>
      </c>
      <c r="AY52">
        <v>1</v>
      </c>
      <c r="AZ52">
        <v>0</v>
      </c>
      <c r="BA52">
        <v>48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Y52*Source!I38</f>
        <v>7.5000000000000011E-2</v>
      </c>
      <c r="CY52">
        <f>AA52</f>
        <v>565.69000000000005</v>
      </c>
      <c r="CZ52">
        <f>AE52</f>
        <v>120.36</v>
      </c>
      <c r="DA52">
        <f>AI52</f>
        <v>4.7</v>
      </c>
      <c r="DB52">
        <f t="shared" si="8"/>
        <v>6.02</v>
      </c>
      <c r="DC52">
        <f t="shared" si="9"/>
        <v>0</v>
      </c>
    </row>
    <row r="53" spans="1:107">
      <c r="A53">
        <f>ROW(Source!A38)</f>
        <v>38</v>
      </c>
      <c r="B53">
        <v>34945658</v>
      </c>
      <c r="C53">
        <v>34945810</v>
      </c>
      <c r="D53">
        <v>29110838</v>
      </c>
      <c r="E53">
        <v>1</v>
      </c>
      <c r="F53">
        <v>1</v>
      </c>
      <c r="G53">
        <v>1</v>
      </c>
      <c r="H53">
        <v>3</v>
      </c>
      <c r="I53" t="s">
        <v>296</v>
      </c>
      <c r="J53" t="s">
        <v>297</v>
      </c>
      <c r="K53" t="s">
        <v>298</v>
      </c>
      <c r="L53">
        <v>1346</v>
      </c>
      <c r="N53">
        <v>1009</v>
      </c>
      <c r="O53" t="s">
        <v>231</v>
      </c>
      <c r="P53" t="s">
        <v>231</v>
      </c>
      <c r="Q53">
        <v>1</v>
      </c>
      <c r="W53">
        <v>0</v>
      </c>
      <c r="X53">
        <v>-667794164</v>
      </c>
      <c r="Y53">
        <v>0.16</v>
      </c>
      <c r="AA53">
        <v>100.04</v>
      </c>
      <c r="AB53">
        <v>0</v>
      </c>
      <c r="AC53">
        <v>0</v>
      </c>
      <c r="AD53">
        <v>0</v>
      </c>
      <c r="AE53">
        <v>30.5</v>
      </c>
      <c r="AF53">
        <v>0</v>
      </c>
      <c r="AG53">
        <v>0</v>
      </c>
      <c r="AH53">
        <v>0</v>
      </c>
      <c r="AI53">
        <v>3.28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0.16</v>
      </c>
      <c r="AU53" t="s">
        <v>3</v>
      </c>
      <c r="AV53">
        <v>0</v>
      </c>
      <c r="AW53">
        <v>2</v>
      </c>
      <c r="AX53">
        <v>34945825</v>
      </c>
      <c r="AY53">
        <v>1</v>
      </c>
      <c r="AZ53">
        <v>0</v>
      </c>
      <c r="BA53">
        <v>49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0.24</v>
      </c>
      <c r="CY53">
        <f>AA53</f>
        <v>100.04</v>
      </c>
      <c r="CZ53">
        <f>AE53</f>
        <v>30.5</v>
      </c>
      <c r="DA53">
        <f>AI53</f>
        <v>3.28</v>
      </c>
      <c r="DB53">
        <f t="shared" si="8"/>
        <v>4.88</v>
      </c>
      <c r="DC53">
        <f t="shared" si="9"/>
        <v>0</v>
      </c>
    </row>
    <row r="54" spans="1:107">
      <c r="A54">
        <f>ROW(Source!A38)</f>
        <v>38</v>
      </c>
      <c r="B54">
        <v>34945658</v>
      </c>
      <c r="C54">
        <v>34945810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239</v>
      </c>
      <c r="J54" t="s">
        <v>240</v>
      </c>
      <c r="K54" t="s">
        <v>241</v>
      </c>
      <c r="L54">
        <v>1374</v>
      </c>
      <c r="N54">
        <v>1013</v>
      </c>
      <c r="O54" t="s">
        <v>242</v>
      </c>
      <c r="P54" t="s">
        <v>242</v>
      </c>
      <c r="Q54">
        <v>1</v>
      </c>
      <c r="W54">
        <v>0</v>
      </c>
      <c r="X54">
        <v>-915781824</v>
      </c>
      <c r="Y54">
        <v>0.19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0.19</v>
      </c>
      <c r="AU54" t="s">
        <v>3</v>
      </c>
      <c r="AV54">
        <v>0</v>
      </c>
      <c r="AW54">
        <v>2</v>
      </c>
      <c r="AX54">
        <v>34945826</v>
      </c>
      <c r="AY54">
        <v>1</v>
      </c>
      <c r="AZ54">
        <v>0</v>
      </c>
      <c r="BA54">
        <v>50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0.28500000000000003</v>
      </c>
      <c r="CY54">
        <f>AA54</f>
        <v>1</v>
      </c>
      <c r="CZ54">
        <f>AE54</f>
        <v>1</v>
      </c>
      <c r="DA54">
        <f>AI54</f>
        <v>1</v>
      </c>
      <c r="DB54">
        <f t="shared" si="8"/>
        <v>0.19</v>
      </c>
      <c r="DC54">
        <f t="shared" si="9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50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ROW(Source!A24)</f>
        <v>24</v>
      </c>
      <c r="B1">
        <v>34945731</v>
      </c>
      <c r="C1">
        <v>34945723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7.2</v>
      </c>
      <c r="Y1">
        <v>0</v>
      </c>
      <c r="Z1">
        <v>0</v>
      </c>
      <c r="AA1">
        <v>0</v>
      </c>
      <c r="AB1">
        <v>277.08999999999997</v>
      </c>
      <c r="AC1">
        <v>0</v>
      </c>
      <c r="AD1">
        <v>1</v>
      </c>
      <c r="AE1">
        <v>1</v>
      </c>
      <c r="AF1" t="s">
        <v>3</v>
      </c>
      <c r="AG1">
        <v>7.2</v>
      </c>
      <c r="AH1">
        <v>2</v>
      </c>
      <c r="AI1">
        <v>34945724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34945732</v>
      </c>
      <c r="C2">
        <v>34945723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X2">
        <v>0.16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0.16</v>
      </c>
      <c r="AH2">
        <v>2</v>
      </c>
      <c r="AI2">
        <v>34945725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34945733</v>
      </c>
      <c r="C3">
        <v>34945723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X3">
        <v>5.5999999999999999E-3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5.5999999999999999E-3</v>
      </c>
      <c r="AH3">
        <v>2</v>
      </c>
      <c r="AI3">
        <v>34945726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34945734</v>
      </c>
      <c r="C4">
        <v>34945723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X4">
        <v>0.4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34945727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34945735</v>
      </c>
      <c r="C5">
        <v>34945723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X5">
        <v>5.6000000000000001E-2</v>
      </c>
      <c r="Y5">
        <v>65.930000000000007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5.6000000000000001E-2</v>
      </c>
      <c r="AH5">
        <v>2</v>
      </c>
      <c r="AI5">
        <v>34945728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34945736</v>
      </c>
      <c r="C6">
        <v>34945723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X6">
        <v>1.45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1.45</v>
      </c>
      <c r="AH6">
        <v>2</v>
      </c>
      <c r="AI6">
        <v>34945729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ROW(Source!A26)</f>
        <v>26</v>
      </c>
      <c r="B7">
        <v>34945748</v>
      </c>
      <c r="C7">
        <v>34945738</v>
      </c>
      <c r="D7">
        <v>29370376</v>
      </c>
      <c r="E7">
        <v>1</v>
      </c>
      <c r="F7">
        <v>1</v>
      </c>
      <c r="G7">
        <v>1</v>
      </c>
      <c r="H7">
        <v>1</v>
      </c>
      <c r="I7" t="s">
        <v>243</v>
      </c>
      <c r="J7" t="s">
        <v>3</v>
      </c>
      <c r="K7" t="s">
        <v>244</v>
      </c>
      <c r="L7">
        <v>1369</v>
      </c>
      <c r="N7">
        <v>1013</v>
      </c>
      <c r="O7" t="s">
        <v>223</v>
      </c>
      <c r="P7" t="s">
        <v>223</v>
      </c>
      <c r="Q7">
        <v>1</v>
      </c>
      <c r="X7">
        <v>1.2</v>
      </c>
      <c r="Y7">
        <v>0</v>
      </c>
      <c r="Z7">
        <v>0</v>
      </c>
      <c r="AA7">
        <v>0</v>
      </c>
      <c r="AB7">
        <v>281.22000000000003</v>
      </c>
      <c r="AC7">
        <v>0</v>
      </c>
      <c r="AD7">
        <v>1</v>
      </c>
      <c r="AE7">
        <v>1</v>
      </c>
      <c r="AF7" t="s">
        <v>3</v>
      </c>
      <c r="AG7">
        <v>1.2</v>
      </c>
      <c r="AH7">
        <v>2</v>
      </c>
      <c r="AI7">
        <v>34945739</v>
      </c>
      <c r="AJ7">
        <v>8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34945749</v>
      </c>
      <c r="C8">
        <v>34945738</v>
      </c>
      <c r="D8">
        <v>29174500</v>
      </c>
      <c r="E8">
        <v>1</v>
      </c>
      <c r="F8">
        <v>1</v>
      </c>
      <c r="G8">
        <v>1</v>
      </c>
      <c r="H8">
        <v>2</v>
      </c>
      <c r="I8" t="s">
        <v>224</v>
      </c>
      <c r="J8" t="s">
        <v>225</v>
      </c>
      <c r="K8" t="s">
        <v>226</v>
      </c>
      <c r="L8">
        <v>1368</v>
      </c>
      <c r="N8">
        <v>1011</v>
      </c>
      <c r="O8" t="s">
        <v>227</v>
      </c>
      <c r="P8" t="s">
        <v>227</v>
      </c>
      <c r="Q8">
        <v>1</v>
      </c>
      <c r="X8">
        <v>0.13</v>
      </c>
      <c r="Y8">
        <v>0</v>
      </c>
      <c r="Z8">
        <v>1.95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0.13</v>
      </c>
      <c r="AH8">
        <v>2</v>
      </c>
      <c r="AI8">
        <v>34945740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34945750</v>
      </c>
      <c r="C9">
        <v>34945738</v>
      </c>
      <c r="D9">
        <v>29107468</v>
      </c>
      <c r="E9">
        <v>1</v>
      </c>
      <c r="F9">
        <v>1</v>
      </c>
      <c r="G9">
        <v>1</v>
      </c>
      <c r="H9">
        <v>3</v>
      </c>
      <c r="I9" t="s">
        <v>228</v>
      </c>
      <c r="J9" t="s">
        <v>229</v>
      </c>
      <c r="K9" t="s">
        <v>230</v>
      </c>
      <c r="L9">
        <v>1346</v>
      </c>
      <c r="N9">
        <v>1009</v>
      </c>
      <c r="O9" t="s">
        <v>231</v>
      </c>
      <c r="P9" t="s">
        <v>231</v>
      </c>
      <c r="Q9">
        <v>1</v>
      </c>
      <c r="X9">
        <v>1E-3</v>
      </c>
      <c r="Y9">
        <v>12.62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1E-3</v>
      </c>
      <c r="AH9">
        <v>2</v>
      </c>
      <c r="AI9">
        <v>34945741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34945751</v>
      </c>
      <c r="C10">
        <v>34945738</v>
      </c>
      <c r="D10">
        <v>29114480</v>
      </c>
      <c r="E10">
        <v>1</v>
      </c>
      <c r="F10">
        <v>1</v>
      </c>
      <c r="G10">
        <v>1</v>
      </c>
      <c r="H10">
        <v>3</v>
      </c>
      <c r="I10" t="s">
        <v>232</v>
      </c>
      <c r="J10" t="s">
        <v>233</v>
      </c>
      <c r="K10" t="s">
        <v>234</v>
      </c>
      <c r="L10">
        <v>1358</v>
      </c>
      <c r="N10">
        <v>1010</v>
      </c>
      <c r="O10" t="s">
        <v>235</v>
      </c>
      <c r="P10" t="s">
        <v>235</v>
      </c>
      <c r="Q10">
        <v>10</v>
      </c>
      <c r="X10">
        <v>0.3</v>
      </c>
      <c r="Y10">
        <v>8.3000000000000007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</v>
      </c>
      <c r="AH10">
        <v>2</v>
      </c>
      <c r="AI10">
        <v>34945742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34945752</v>
      </c>
      <c r="C11">
        <v>34945738</v>
      </c>
      <c r="D11">
        <v>29149204</v>
      </c>
      <c r="E11">
        <v>1</v>
      </c>
      <c r="F11">
        <v>1</v>
      </c>
      <c r="G11">
        <v>1</v>
      </c>
      <c r="H11">
        <v>3</v>
      </c>
      <c r="I11" t="s">
        <v>245</v>
      </c>
      <c r="J11" t="s">
        <v>246</v>
      </c>
      <c r="K11" t="s">
        <v>247</v>
      </c>
      <c r="L11">
        <v>1348</v>
      </c>
      <c r="N11">
        <v>1009</v>
      </c>
      <c r="O11" t="s">
        <v>248</v>
      </c>
      <c r="P11" t="s">
        <v>248</v>
      </c>
      <c r="Q11">
        <v>1000</v>
      </c>
      <c r="X11">
        <v>2.0000000000000002E-5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2.0000000000000002E-5</v>
      </c>
      <c r="AH11">
        <v>2</v>
      </c>
      <c r="AI11">
        <v>34945743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34945753</v>
      </c>
      <c r="C12">
        <v>34945738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236</v>
      </c>
      <c r="J12" t="s">
        <v>237</v>
      </c>
      <c r="K12" t="s">
        <v>238</v>
      </c>
      <c r="L12">
        <v>1346</v>
      </c>
      <c r="N12">
        <v>1009</v>
      </c>
      <c r="O12" t="s">
        <v>231</v>
      </c>
      <c r="P12" t="s">
        <v>231</v>
      </c>
      <c r="Q12">
        <v>1</v>
      </c>
      <c r="X12">
        <v>8.0000000000000002E-3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8.0000000000000002E-3</v>
      </c>
      <c r="AH12">
        <v>2</v>
      </c>
      <c r="AI12">
        <v>34945744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34945754</v>
      </c>
      <c r="C13">
        <v>34945738</v>
      </c>
      <c r="D13">
        <v>29171808</v>
      </c>
      <c r="E13">
        <v>1</v>
      </c>
      <c r="F13">
        <v>1</v>
      </c>
      <c r="G13">
        <v>1</v>
      </c>
      <c r="H13">
        <v>3</v>
      </c>
      <c r="I13" t="s">
        <v>239</v>
      </c>
      <c r="J13" t="s">
        <v>240</v>
      </c>
      <c r="K13" t="s">
        <v>241</v>
      </c>
      <c r="L13">
        <v>1374</v>
      </c>
      <c r="N13">
        <v>1013</v>
      </c>
      <c r="O13" t="s">
        <v>242</v>
      </c>
      <c r="P13" t="s">
        <v>242</v>
      </c>
      <c r="Q13">
        <v>1</v>
      </c>
      <c r="X13">
        <v>0.25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0.25</v>
      </c>
      <c r="AH13">
        <v>2</v>
      </c>
      <c r="AI13">
        <v>34945745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ROW(Source!A30)</f>
        <v>30</v>
      </c>
      <c r="B14">
        <v>34981721</v>
      </c>
      <c r="C14">
        <v>34948873</v>
      </c>
      <c r="D14">
        <v>29362762</v>
      </c>
      <c r="E14">
        <v>1</v>
      </c>
      <c r="F14">
        <v>1</v>
      </c>
      <c r="G14">
        <v>1</v>
      </c>
      <c r="H14">
        <v>1</v>
      </c>
      <c r="I14" t="s">
        <v>249</v>
      </c>
      <c r="J14" t="s">
        <v>3</v>
      </c>
      <c r="K14" t="s">
        <v>250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X14">
        <v>1.1299999999999999</v>
      </c>
      <c r="Y14">
        <v>0</v>
      </c>
      <c r="Z14">
        <v>0</v>
      </c>
      <c r="AA14">
        <v>0</v>
      </c>
      <c r="AB14">
        <v>264.97000000000003</v>
      </c>
      <c r="AC14">
        <v>0</v>
      </c>
      <c r="AD14">
        <v>1</v>
      </c>
      <c r="AE14">
        <v>1</v>
      </c>
      <c r="AF14" t="s">
        <v>3</v>
      </c>
      <c r="AG14">
        <v>1.1299999999999999</v>
      </c>
      <c r="AH14">
        <v>2</v>
      </c>
      <c r="AI14">
        <v>34981721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ROW(Source!A30)</f>
        <v>30</v>
      </c>
      <c r="B15">
        <v>34981722</v>
      </c>
      <c r="C15">
        <v>34948873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27</v>
      </c>
      <c r="J15" t="s">
        <v>3</v>
      </c>
      <c r="K15" t="s">
        <v>251</v>
      </c>
      <c r="L15">
        <v>608254</v>
      </c>
      <c r="N15">
        <v>1013</v>
      </c>
      <c r="O15" t="s">
        <v>252</v>
      </c>
      <c r="P15" t="s">
        <v>252</v>
      </c>
      <c r="Q15">
        <v>1</v>
      </c>
      <c r="X15">
        <v>0.04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0.04</v>
      </c>
      <c r="AH15">
        <v>2</v>
      </c>
      <c r="AI15">
        <v>34981722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ROW(Source!A30)</f>
        <v>30</v>
      </c>
      <c r="B16">
        <v>34981723</v>
      </c>
      <c r="C16">
        <v>34948873</v>
      </c>
      <c r="D16">
        <v>29172362</v>
      </c>
      <c r="E16">
        <v>1</v>
      </c>
      <c r="F16">
        <v>1</v>
      </c>
      <c r="G16">
        <v>1</v>
      </c>
      <c r="H16">
        <v>2</v>
      </c>
      <c r="I16" t="s">
        <v>253</v>
      </c>
      <c r="J16" t="s">
        <v>254</v>
      </c>
      <c r="K16" t="s">
        <v>255</v>
      </c>
      <c r="L16">
        <v>1368</v>
      </c>
      <c r="N16">
        <v>1011</v>
      </c>
      <c r="O16" t="s">
        <v>227</v>
      </c>
      <c r="P16" t="s">
        <v>227</v>
      </c>
      <c r="Q16">
        <v>1</v>
      </c>
      <c r="X16">
        <v>0.04</v>
      </c>
      <c r="Y16">
        <v>0</v>
      </c>
      <c r="Z16">
        <v>134.65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0.04</v>
      </c>
      <c r="AH16">
        <v>2</v>
      </c>
      <c r="AI16">
        <v>34981723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ROW(Source!A30)</f>
        <v>30</v>
      </c>
      <c r="B17">
        <v>34981724</v>
      </c>
      <c r="C17">
        <v>34948873</v>
      </c>
      <c r="D17">
        <v>29174913</v>
      </c>
      <c r="E17">
        <v>1</v>
      </c>
      <c r="F17">
        <v>1</v>
      </c>
      <c r="G17">
        <v>1</v>
      </c>
      <c r="H17">
        <v>2</v>
      </c>
      <c r="I17" t="s">
        <v>256</v>
      </c>
      <c r="J17" t="s">
        <v>257</v>
      </c>
      <c r="K17" t="s">
        <v>258</v>
      </c>
      <c r="L17">
        <v>1368</v>
      </c>
      <c r="N17">
        <v>1011</v>
      </c>
      <c r="O17" t="s">
        <v>227</v>
      </c>
      <c r="P17" t="s">
        <v>227</v>
      </c>
      <c r="Q17">
        <v>1</v>
      </c>
      <c r="X17">
        <v>0.04</v>
      </c>
      <c r="Y17">
        <v>0</v>
      </c>
      <c r="Z17">
        <v>87.17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0.04</v>
      </c>
      <c r="AH17">
        <v>2</v>
      </c>
      <c r="AI17">
        <v>34981724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ROW(Source!A30)</f>
        <v>30</v>
      </c>
      <c r="B18">
        <v>34981725</v>
      </c>
      <c r="C18">
        <v>34948873</v>
      </c>
      <c r="D18">
        <v>29114246</v>
      </c>
      <c r="E18">
        <v>1</v>
      </c>
      <c r="F18">
        <v>1</v>
      </c>
      <c r="G18">
        <v>1</v>
      </c>
      <c r="H18">
        <v>3</v>
      </c>
      <c r="I18" t="s">
        <v>259</v>
      </c>
      <c r="J18" t="s">
        <v>260</v>
      </c>
      <c r="K18" t="s">
        <v>261</v>
      </c>
      <c r="L18">
        <v>1346</v>
      </c>
      <c r="N18">
        <v>1009</v>
      </c>
      <c r="O18" t="s">
        <v>231</v>
      </c>
      <c r="P18" t="s">
        <v>231</v>
      </c>
      <c r="Q18">
        <v>1</v>
      </c>
      <c r="X18">
        <v>0.06</v>
      </c>
      <c r="Y18">
        <v>9.0399999999999991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0.06</v>
      </c>
      <c r="AH18">
        <v>2</v>
      </c>
      <c r="AI18">
        <v>34981725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34981726</v>
      </c>
      <c r="C19">
        <v>34948873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239</v>
      </c>
      <c r="J19" t="s">
        <v>240</v>
      </c>
      <c r="K19" t="s">
        <v>241</v>
      </c>
      <c r="L19">
        <v>1374</v>
      </c>
      <c r="N19">
        <v>1013</v>
      </c>
      <c r="O19" t="s">
        <v>242</v>
      </c>
      <c r="P19" t="s">
        <v>242</v>
      </c>
      <c r="Q19">
        <v>1</v>
      </c>
      <c r="X19">
        <v>0.22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0.22</v>
      </c>
      <c r="AH19">
        <v>2</v>
      </c>
      <c r="AI19">
        <v>34981726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34945765</v>
      </c>
      <c r="C20">
        <v>34945757</v>
      </c>
      <c r="D20">
        <v>29362762</v>
      </c>
      <c r="E20">
        <v>1</v>
      </c>
      <c r="F20">
        <v>1</v>
      </c>
      <c r="G20">
        <v>1</v>
      </c>
      <c r="H20">
        <v>1</v>
      </c>
      <c r="I20" t="s">
        <v>249</v>
      </c>
      <c r="J20" t="s">
        <v>3</v>
      </c>
      <c r="K20" t="s">
        <v>250</v>
      </c>
      <c r="L20">
        <v>1369</v>
      </c>
      <c r="N20">
        <v>1013</v>
      </c>
      <c r="O20" t="s">
        <v>223</v>
      </c>
      <c r="P20" t="s">
        <v>223</v>
      </c>
      <c r="Q20">
        <v>1</v>
      </c>
      <c r="X20">
        <v>0.84</v>
      </c>
      <c r="Y20">
        <v>0</v>
      </c>
      <c r="Z20">
        <v>0</v>
      </c>
      <c r="AA20">
        <v>0</v>
      </c>
      <c r="AB20">
        <v>264.97000000000003</v>
      </c>
      <c r="AC20">
        <v>0</v>
      </c>
      <c r="AD20">
        <v>1</v>
      </c>
      <c r="AE20">
        <v>1</v>
      </c>
      <c r="AF20" t="s">
        <v>3</v>
      </c>
      <c r="AG20">
        <v>0.84</v>
      </c>
      <c r="AH20">
        <v>2</v>
      </c>
      <c r="AI20">
        <v>34945758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34945766</v>
      </c>
      <c r="C21">
        <v>34945757</v>
      </c>
      <c r="D21">
        <v>29109382</v>
      </c>
      <c r="E21">
        <v>1</v>
      </c>
      <c r="F21">
        <v>1</v>
      </c>
      <c r="G21">
        <v>1</v>
      </c>
      <c r="H21">
        <v>3</v>
      </c>
      <c r="I21" t="s">
        <v>262</v>
      </c>
      <c r="J21" t="s">
        <v>263</v>
      </c>
      <c r="K21" t="s">
        <v>264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X21">
        <v>0.01</v>
      </c>
      <c r="Y21">
        <v>28.93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0.01</v>
      </c>
      <c r="AH21">
        <v>2</v>
      </c>
      <c r="AI21">
        <v>34945759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34945767</v>
      </c>
      <c r="C22">
        <v>34945757</v>
      </c>
      <c r="D22">
        <v>29114691</v>
      </c>
      <c r="E22">
        <v>1</v>
      </c>
      <c r="F22">
        <v>1</v>
      </c>
      <c r="G22">
        <v>1</v>
      </c>
      <c r="H22">
        <v>3</v>
      </c>
      <c r="I22" t="s">
        <v>265</v>
      </c>
      <c r="J22" t="s">
        <v>266</v>
      </c>
      <c r="K22" t="s">
        <v>267</v>
      </c>
      <c r="L22">
        <v>1348</v>
      </c>
      <c r="N22">
        <v>1009</v>
      </c>
      <c r="O22" t="s">
        <v>248</v>
      </c>
      <c r="P22" t="s">
        <v>248</v>
      </c>
      <c r="Q22">
        <v>1000</v>
      </c>
      <c r="X22">
        <v>1E-4</v>
      </c>
      <c r="Y22">
        <v>12430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1E-4</v>
      </c>
      <c r="AH22">
        <v>2</v>
      </c>
      <c r="AI22">
        <v>34945760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34945768</v>
      </c>
      <c r="C23">
        <v>34945757</v>
      </c>
      <c r="D23">
        <v>29107468</v>
      </c>
      <c r="E23">
        <v>1</v>
      </c>
      <c r="F23">
        <v>1</v>
      </c>
      <c r="G23">
        <v>1</v>
      </c>
      <c r="H23">
        <v>3</v>
      </c>
      <c r="I23" t="s">
        <v>228</v>
      </c>
      <c r="J23" t="s">
        <v>229</v>
      </c>
      <c r="K23" t="s">
        <v>230</v>
      </c>
      <c r="L23">
        <v>1346</v>
      </c>
      <c r="N23">
        <v>1009</v>
      </c>
      <c r="O23" t="s">
        <v>231</v>
      </c>
      <c r="P23" t="s">
        <v>231</v>
      </c>
      <c r="Q23">
        <v>1</v>
      </c>
      <c r="X23">
        <v>2.0000000000000001E-4</v>
      </c>
      <c r="Y23">
        <v>12.62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2.0000000000000001E-4</v>
      </c>
      <c r="AH23">
        <v>2</v>
      </c>
      <c r="AI23">
        <v>34945761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34945769</v>
      </c>
      <c r="C24">
        <v>34945757</v>
      </c>
      <c r="D24">
        <v>29158010</v>
      </c>
      <c r="E24">
        <v>1</v>
      </c>
      <c r="F24">
        <v>1</v>
      </c>
      <c r="G24">
        <v>1</v>
      </c>
      <c r="H24">
        <v>3</v>
      </c>
      <c r="I24" t="s">
        <v>236</v>
      </c>
      <c r="J24" t="s">
        <v>237</v>
      </c>
      <c r="K24" t="s">
        <v>238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X24">
        <v>2E-3</v>
      </c>
      <c r="Y24">
        <v>65.930000000000007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2E-3</v>
      </c>
      <c r="AH24">
        <v>2</v>
      </c>
      <c r="AI24">
        <v>34945762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ROW(Source!A32)</f>
        <v>32</v>
      </c>
      <c r="B25">
        <v>34945770</v>
      </c>
      <c r="C25">
        <v>34945757</v>
      </c>
      <c r="D25">
        <v>29159023</v>
      </c>
      <c r="E25">
        <v>1</v>
      </c>
      <c r="F25">
        <v>1</v>
      </c>
      <c r="G25">
        <v>1</v>
      </c>
      <c r="H25">
        <v>3</v>
      </c>
      <c r="I25" t="s">
        <v>268</v>
      </c>
      <c r="J25" t="s">
        <v>269</v>
      </c>
      <c r="K25" t="s">
        <v>270</v>
      </c>
      <c r="L25">
        <v>1346</v>
      </c>
      <c r="N25">
        <v>1009</v>
      </c>
      <c r="O25" t="s">
        <v>231</v>
      </c>
      <c r="P25" t="s">
        <v>231</v>
      </c>
      <c r="Q25">
        <v>1</v>
      </c>
      <c r="X25">
        <v>1.42E-3</v>
      </c>
      <c r="Y25">
        <v>38.450000000000003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1.42E-3</v>
      </c>
      <c r="AH25">
        <v>2</v>
      </c>
      <c r="AI25">
        <v>34945763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ROW(Source!A32)</f>
        <v>32</v>
      </c>
      <c r="B26">
        <v>34945771</v>
      </c>
      <c r="C26">
        <v>34945757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239</v>
      </c>
      <c r="J26" t="s">
        <v>240</v>
      </c>
      <c r="K26" t="s">
        <v>241</v>
      </c>
      <c r="L26">
        <v>1374</v>
      </c>
      <c r="N26">
        <v>1013</v>
      </c>
      <c r="O26" t="s">
        <v>242</v>
      </c>
      <c r="P26" t="s">
        <v>242</v>
      </c>
      <c r="Q26">
        <v>1</v>
      </c>
      <c r="X26">
        <v>0.16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34945764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34945782</v>
      </c>
      <c r="C27">
        <v>34945773</v>
      </c>
      <c r="D27">
        <v>18410280</v>
      </c>
      <c r="E27">
        <v>1</v>
      </c>
      <c r="F27">
        <v>1</v>
      </c>
      <c r="G27">
        <v>1</v>
      </c>
      <c r="H27">
        <v>1</v>
      </c>
      <c r="I27" t="s">
        <v>271</v>
      </c>
      <c r="J27" t="s">
        <v>3</v>
      </c>
      <c r="K27" t="s">
        <v>272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X27">
        <v>16.29</v>
      </c>
      <c r="Y27">
        <v>0</v>
      </c>
      <c r="Z27">
        <v>0</v>
      </c>
      <c r="AA27">
        <v>0</v>
      </c>
      <c r="AB27">
        <v>261.94</v>
      </c>
      <c r="AC27">
        <v>0</v>
      </c>
      <c r="AD27">
        <v>1</v>
      </c>
      <c r="AE27">
        <v>1</v>
      </c>
      <c r="AF27" t="s">
        <v>3</v>
      </c>
      <c r="AG27">
        <v>16.29</v>
      </c>
      <c r="AH27">
        <v>2</v>
      </c>
      <c r="AI27">
        <v>34945774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34945783</v>
      </c>
      <c r="C28">
        <v>34945773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251</v>
      </c>
      <c r="L28">
        <v>608254</v>
      </c>
      <c r="N28">
        <v>1013</v>
      </c>
      <c r="O28" t="s">
        <v>252</v>
      </c>
      <c r="P28" t="s">
        <v>252</v>
      </c>
      <c r="Q28">
        <v>1</v>
      </c>
      <c r="X28">
        <v>0.01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0.01</v>
      </c>
      <c r="AH28">
        <v>2</v>
      </c>
      <c r="AI28">
        <v>34945775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34945784</v>
      </c>
      <c r="C29">
        <v>34945773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273</v>
      </c>
      <c r="J29" t="s">
        <v>274</v>
      </c>
      <c r="K29" t="s">
        <v>275</v>
      </c>
      <c r="L29">
        <v>1368</v>
      </c>
      <c r="N29">
        <v>1011</v>
      </c>
      <c r="O29" t="s">
        <v>227</v>
      </c>
      <c r="P29" t="s">
        <v>227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0.01</v>
      </c>
      <c r="AH29">
        <v>2</v>
      </c>
      <c r="AI29">
        <v>34945776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34945785</v>
      </c>
      <c r="C30">
        <v>34945773</v>
      </c>
      <c r="D30">
        <v>29173472</v>
      </c>
      <c r="E30">
        <v>1</v>
      </c>
      <c r="F30">
        <v>1</v>
      </c>
      <c r="G30">
        <v>1</v>
      </c>
      <c r="H30">
        <v>2</v>
      </c>
      <c r="I30" t="s">
        <v>276</v>
      </c>
      <c r="J30" t="s">
        <v>277</v>
      </c>
      <c r="K30" t="s">
        <v>278</v>
      </c>
      <c r="L30">
        <v>1368</v>
      </c>
      <c r="N30">
        <v>1011</v>
      </c>
      <c r="O30" t="s">
        <v>227</v>
      </c>
      <c r="P30" t="s">
        <v>227</v>
      </c>
      <c r="Q30">
        <v>1</v>
      </c>
      <c r="X30">
        <v>6.08</v>
      </c>
      <c r="Y30">
        <v>0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6.08</v>
      </c>
      <c r="AH30">
        <v>2</v>
      </c>
      <c r="AI30">
        <v>34945777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34945786</v>
      </c>
      <c r="C31">
        <v>34945773</v>
      </c>
      <c r="D31">
        <v>29174580</v>
      </c>
      <c r="E31">
        <v>1</v>
      </c>
      <c r="F31">
        <v>1</v>
      </c>
      <c r="G31">
        <v>1</v>
      </c>
      <c r="H31">
        <v>2</v>
      </c>
      <c r="I31" t="s">
        <v>279</v>
      </c>
      <c r="J31" t="s">
        <v>280</v>
      </c>
      <c r="K31" t="s">
        <v>281</v>
      </c>
      <c r="L31">
        <v>1368</v>
      </c>
      <c r="N31">
        <v>1011</v>
      </c>
      <c r="O31" t="s">
        <v>227</v>
      </c>
      <c r="P31" t="s">
        <v>227</v>
      </c>
      <c r="Q31">
        <v>1</v>
      </c>
      <c r="X31">
        <v>6.08</v>
      </c>
      <c r="Y31">
        <v>0</v>
      </c>
      <c r="Z31">
        <v>2.08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6.08</v>
      </c>
      <c r="AH31">
        <v>2</v>
      </c>
      <c r="AI31">
        <v>34945778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34945787</v>
      </c>
      <c r="C32">
        <v>34945773</v>
      </c>
      <c r="D32">
        <v>29114688</v>
      </c>
      <c r="E32">
        <v>1</v>
      </c>
      <c r="F32">
        <v>1</v>
      </c>
      <c r="G32">
        <v>1</v>
      </c>
      <c r="H32">
        <v>3</v>
      </c>
      <c r="I32" t="s">
        <v>282</v>
      </c>
      <c r="J32" t="s">
        <v>283</v>
      </c>
      <c r="K32" t="s">
        <v>284</v>
      </c>
      <c r="L32">
        <v>1348</v>
      </c>
      <c r="N32">
        <v>1009</v>
      </c>
      <c r="O32" t="s">
        <v>248</v>
      </c>
      <c r="P32" t="s">
        <v>248</v>
      </c>
      <c r="Q32">
        <v>1000</v>
      </c>
      <c r="X32">
        <v>1E-3</v>
      </c>
      <c r="Y32">
        <v>12430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1E-3</v>
      </c>
      <c r="AH32">
        <v>2</v>
      </c>
      <c r="AI32">
        <v>34945779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ROW(Source!A34)</f>
        <v>34</v>
      </c>
      <c r="B33">
        <v>34945788</v>
      </c>
      <c r="C33">
        <v>34945773</v>
      </c>
      <c r="D33">
        <v>29114472</v>
      </c>
      <c r="E33">
        <v>1</v>
      </c>
      <c r="F33">
        <v>1</v>
      </c>
      <c r="G33">
        <v>1</v>
      </c>
      <c r="H33">
        <v>3</v>
      </c>
      <c r="I33" t="s">
        <v>285</v>
      </c>
      <c r="J33" t="s">
        <v>286</v>
      </c>
      <c r="K33" t="s">
        <v>287</v>
      </c>
      <c r="L33">
        <v>1358</v>
      </c>
      <c r="N33">
        <v>1010</v>
      </c>
      <c r="O33" t="s">
        <v>235</v>
      </c>
      <c r="P33" t="s">
        <v>235</v>
      </c>
      <c r="Q33">
        <v>10</v>
      </c>
      <c r="X33">
        <v>20</v>
      </c>
      <c r="Y33">
        <v>1.79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20</v>
      </c>
      <c r="AH33">
        <v>2</v>
      </c>
      <c r="AI33">
        <v>34945780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ROW(Source!A34)</f>
        <v>34</v>
      </c>
      <c r="B34">
        <v>34945789</v>
      </c>
      <c r="C34">
        <v>34945773</v>
      </c>
      <c r="D34">
        <v>29171808</v>
      </c>
      <c r="E34">
        <v>1</v>
      </c>
      <c r="F34">
        <v>1</v>
      </c>
      <c r="G34">
        <v>1</v>
      </c>
      <c r="H34">
        <v>3</v>
      </c>
      <c r="I34" t="s">
        <v>239</v>
      </c>
      <c r="J34" t="s">
        <v>240</v>
      </c>
      <c r="K34" t="s">
        <v>241</v>
      </c>
      <c r="L34">
        <v>1374</v>
      </c>
      <c r="N34">
        <v>1013</v>
      </c>
      <c r="O34" t="s">
        <v>242</v>
      </c>
      <c r="P34" t="s">
        <v>242</v>
      </c>
      <c r="Q34">
        <v>1</v>
      </c>
      <c r="X34">
        <v>3.1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3.1</v>
      </c>
      <c r="AH34">
        <v>2</v>
      </c>
      <c r="AI34">
        <v>34945781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34945801</v>
      </c>
      <c r="C35">
        <v>34945791</v>
      </c>
      <c r="D35">
        <v>29362762</v>
      </c>
      <c r="E35">
        <v>1</v>
      </c>
      <c r="F35">
        <v>1</v>
      </c>
      <c r="G35">
        <v>1</v>
      </c>
      <c r="H35">
        <v>1</v>
      </c>
      <c r="I35" t="s">
        <v>249</v>
      </c>
      <c r="J35" t="s">
        <v>3</v>
      </c>
      <c r="K35" t="s">
        <v>250</v>
      </c>
      <c r="L35">
        <v>1369</v>
      </c>
      <c r="N35">
        <v>1013</v>
      </c>
      <c r="O35" t="s">
        <v>223</v>
      </c>
      <c r="P35" t="s">
        <v>223</v>
      </c>
      <c r="Q35">
        <v>1</v>
      </c>
      <c r="X35">
        <v>0.84</v>
      </c>
      <c r="Y35">
        <v>0</v>
      </c>
      <c r="Z35">
        <v>0</v>
      </c>
      <c r="AA35">
        <v>0</v>
      </c>
      <c r="AB35">
        <v>264.97000000000003</v>
      </c>
      <c r="AC35">
        <v>0</v>
      </c>
      <c r="AD35">
        <v>1</v>
      </c>
      <c r="AE35">
        <v>1</v>
      </c>
      <c r="AF35" t="s">
        <v>3</v>
      </c>
      <c r="AG35">
        <v>0.84</v>
      </c>
      <c r="AH35">
        <v>2</v>
      </c>
      <c r="AI35">
        <v>34945792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34945802</v>
      </c>
      <c r="C36">
        <v>34945791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224</v>
      </c>
      <c r="J36" t="s">
        <v>225</v>
      </c>
      <c r="K36" t="s">
        <v>226</v>
      </c>
      <c r="L36">
        <v>1368</v>
      </c>
      <c r="N36">
        <v>1011</v>
      </c>
      <c r="O36" t="s">
        <v>227</v>
      </c>
      <c r="P36" t="s">
        <v>227</v>
      </c>
      <c r="Q36">
        <v>1</v>
      </c>
      <c r="X36">
        <v>0.06</v>
      </c>
      <c r="Y36">
        <v>0</v>
      </c>
      <c r="Z36">
        <v>1.95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0.06</v>
      </c>
      <c r="AH36">
        <v>2</v>
      </c>
      <c r="AI36">
        <v>34945793</v>
      </c>
      <c r="AJ36">
        <v>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34945803</v>
      </c>
      <c r="C37">
        <v>34945791</v>
      </c>
      <c r="D37">
        <v>29109382</v>
      </c>
      <c r="E37">
        <v>1</v>
      </c>
      <c r="F37">
        <v>1</v>
      </c>
      <c r="G37">
        <v>1</v>
      </c>
      <c r="H37">
        <v>3</v>
      </c>
      <c r="I37" t="s">
        <v>262</v>
      </c>
      <c r="J37" t="s">
        <v>263</v>
      </c>
      <c r="K37" t="s">
        <v>264</v>
      </c>
      <c r="L37">
        <v>1346</v>
      </c>
      <c r="N37">
        <v>1009</v>
      </c>
      <c r="O37" t="s">
        <v>231</v>
      </c>
      <c r="P37" t="s">
        <v>231</v>
      </c>
      <c r="Q37">
        <v>1</v>
      </c>
      <c r="X37">
        <v>5.0000000000000001E-3</v>
      </c>
      <c r="Y37">
        <v>28.93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5.0000000000000001E-3</v>
      </c>
      <c r="AH37">
        <v>2</v>
      </c>
      <c r="AI37">
        <v>34945794</v>
      </c>
      <c r="AJ37">
        <v>40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34945804</v>
      </c>
      <c r="C38">
        <v>34945791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231</v>
      </c>
      <c r="P38" t="s">
        <v>231</v>
      </c>
      <c r="Q38">
        <v>1</v>
      </c>
      <c r="X38">
        <v>2.0000000000000001E-4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2.0000000000000001E-4</v>
      </c>
      <c r="AH38">
        <v>2</v>
      </c>
      <c r="AI38">
        <v>34945795</v>
      </c>
      <c r="AJ38">
        <v>41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34945805</v>
      </c>
      <c r="C39">
        <v>34945791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232</v>
      </c>
      <c r="J39" t="s">
        <v>233</v>
      </c>
      <c r="K39" t="s">
        <v>234</v>
      </c>
      <c r="L39">
        <v>1358</v>
      </c>
      <c r="N39">
        <v>1010</v>
      </c>
      <c r="O39" t="s">
        <v>235</v>
      </c>
      <c r="P39" t="s">
        <v>235</v>
      </c>
      <c r="Q39">
        <v>10</v>
      </c>
      <c r="X39">
        <v>0.1</v>
      </c>
      <c r="Y39">
        <v>8.3000000000000007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0.1</v>
      </c>
      <c r="AH39">
        <v>2</v>
      </c>
      <c r="AI39">
        <v>34945796</v>
      </c>
      <c r="AJ39">
        <v>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34945806</v>
      </c>
      <c r="C40">
        <v>34945791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245</v>
      </c>
      <c r="J40" t="s">
        <v>246</v>
      </c>
      <c r="K40" t="s">
        <v>247</v>
      </c>
      <c r="L40">
        <v>1348</v>
      </c>
      <c r="N40">
        <v>1009</v>
      </c>
      <c r="O40" t="s">
        <v>248</v>
      </c>
      <c r="P40" t="s">
        <v>248</v>
      </c>
      <c r="Q40">
        <v>1000</v>
      </c>
      <c r="X40">
        <v>1.0000000000000001E-5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34945797</v>
      </c>
      <c r="AJ40">
        <v>43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34945807</v>
      </c>
      <c r="C41">
        <v>34945791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236</v>
      </c>
      <c r="J41" t="s">
        <v>237</v>
      </c>
      <c r="K41" t="s">
        <v>238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X41">
        <v>2E-3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2E-3</v>
      </c>
      <c r="AH41">
        <v>2</v>
      </c>
      <c r="AI41">
        <v>34945798</v>
      </c>
      <c r="AJ41">
        <v>44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ROW(Source!A36)</f>
        <v>36</v>
      </c>
      <c r="B42">
        <v>34945808</v>
      </c>
      <c r="C42">
        <v>34945791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239</v>
      </c>
      <c r="J42" t="s">
        <v>240</v>
      </c>
      <c r="K42" t="s">
        <v>241</v>
      </c>
      <c r="L42">
        <v>1374</v>
      </c>
      <c r="N42">
        <v>1013</v>
      </c>
      <c r="O42" t="s">
        <v>242</v>
      </c>
      <c r="P42" t="s">
        <v>242</v>
      </c>
      <c r="Q42">
        <v>1</v>
      </c>
      <c r="X42">
        <v>0.16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0.16</v>
      </c>
      <c r="AH42">
        <v>2</v>
      </c>
      <c r="AI42">
        <v>34945799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ROW(Source!A38)</f>
        <v>38</v>
      </c>
      <c r="B43">
        <v>34945819</v>
      </c>
      <c r="C43">
        <v>34945810</v>
      </c>
      <c r="D43">
        <v>29361034</v>
      </c>
      <c r="E43">
        <v>1</v>
      </c>
      <c r="F43">
        <v>1</v>
      </c>
      <c r="G43">
        <v>1</v>
      </c>
      <c r="H43">
        <v>1</v>
      </c>
      <c r="I43" t="s">
        <v>288</v>
      </c>
      <c r="J43" t="s">
        <v>3</v>
      </c>
      <c r="K43" t="s">
        <v>289</v>
      </c>
      <c r="L43">
        <v>1369</v>
      </c>
      <c r="N43">
        <v>1013</v>
      </c>
      <c r="O43" t="s">
        <v>223</v>
      </c>
      <c r="P43" t="s">
        <v>223</v>
      </c>
      <c r="Q43">
        <v>1</v>
      </c>
      <c r="X43">
        <v>1.03</v>
      </c>
      <c r="Y43">
        <v>0</v>
      </c>
      <c r="Z43">
        <v>0</v>
      </c>
      <c r="AA43">
        <v>0</v>
      </c>
      <c r="AB43">
        <v>258.91000000000003</v>
      </c>
      <c r="AC43">
        <v>0</v>
      </c>
      <c r="AD43">
        <v>1</v>
      </c>
      <c r="AE43">
        <v>1</v>
      </c>
      <c r="AF43" t="s">
        <v>3</v>
      </c>
      <c r="AG43">
        <v>1.03</v>
      </c>
      <c r="AH43">
        <v>2</v>
      </c>
      <c r="AI43">
        <v>34945811</v>
      </c>
      <c r="AJ43">
        <v>47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ROW(Source!A38)</f>
        <v>38</v>
      </c>
      <c r="B44">
        <v>34945820</v>
      </c>
      <c r="C44">
        <v>34945810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27</v>
      </c>
      <c r="J44" t="s">
        <v>3</v>
      </c>
      <c r="K44" t="s">
        <v>251</v>
      </c>
      <c r="L44">
        <v>608254</v>
      </c>
      <c r="N44">
        <v>1013</v>
      </c>
      <c r="O44" t="s">
        <v>252</v>
      </c>
      <c r="P44" t="s">
        <v>252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34945812</v>
      </c>
      <c r="AJ44">
        <v>48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34945821</v>
      </c>
      <c r="C45">
        <v>34945810</v>
      </c>
      <c r="D45">
        <v>29172362</v>
      </c>
      <c r="E45">
        <v>1</v>
      </c>
      <c r="F45">
        <v>1</v>
      </c>
      <c r="G45">
        <v>1</v>
      </c>
      <c r="H45">
        <v>2</v>
      </c>
      <c r="I45" t="s">
        <v>253</v>
      </c>
      <c r="J45" t="s">
        <v>254</v>
      </c>
      <c r="K45" t="s">
        <v>255</v>
      </c>
      <c r="L45">
        <v>1368</v>
      </c>
      <c r="N45">
        <v>1011</v>
      </c>
      <c r="O45" t="s">
        <v>227</v>
      </c>
      <c r="P45" t="s">
        <v>227</v>
      </c>
      <c r="Q45">
        <v>1</v>
      </c>
      <c r="X45">
        <v>0.01</v>
      </c>
      <c r="Y45">
        <v>0</v>
      </c>
      <c r="Z45">
        <v>134.65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34945813</v>
      </c>
      <c r="AJ45">
        <v>49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34945822</v>
      </c>
      <c r="C46">
        <v>34945810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256</v>
      </c>
      <c r="J46" t="s">
        <v>257</v>
      </c>
      <c r="K46" t="s">
        <v>258</v>
      </c>
      <c r="L46">
        <v>1368</v>
      </c>
      <c r="N46">
        <v>1011</v>
      </c>
      <c r="O46" t="s">
        <v>227</v>
      </c>
      <c r="P46" t="s">
        <v>227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34945814</v>
      </c>
      <c r="AJ46">
        <v>50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34945823</v>
      </c>
      <c r="C47">
        <v>34945810</v>
      </c>
      <c r="D47">
        <v>29110426</v>
      </c>
      <c r="E47">
        <v>1</v>
      </c>
      <c r="F47">
        <v>1</v>
      </c>
      <c r="G47">
        <v>1</v>
      </c>
      <c r="H47">
        <v>3</v>
      </c>
      <c r="I47" t="s">
        <v>290</v>
      </c>
      <c r="J47" t="s">
        <v>291</v>
      </c>
      <c r="K47" t="s">
        <v>292</v>
      </c>
      <c r="L47">
        <v>1346</v>
      </c>
      <c r="N47">
        <v>1009</v>
      </c>
      <c r="O47" t="s">
        <v>231</v>
      </c>
      <c r="P47" t="s">
        <v>231</v>
      </c>
      <c r="Q47">
        <v>1</v>
      </c>
      <c r="X47">
        <v>0.05</v>
      </c>
      <c r="Y47">
        <v>28.67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0.05</v>
      </c>
      <c r="AH47">
        <v>2</v>
      </c>
      <c r="AI47">
        <v>34945815</v>
      </c>
      <c r="AJ47">
        <v>51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34945824</v>
      </c>
      <c r="C48">
        <v>34945810</v>
      </c>
      <c r="D48">
        <v>29110793</v>
      </c>
      <c r="E48">
        <v>1</v>
      </c>
      <c r="F48">
        <v>1</v>
      </c>
      <c r="G48">
        <v>1</v>
      </c>
      <c r="H48">
        <v>3</v>
      </c>
      <c r="I48" t="s">
        <v>293</v>
      </c>
      <c r="J48" t="s">
        <v>294</v>
      </c>
      <c r="K48" t="s">
        <v>295</v>
      </c>
      <c r="L48">
        <v>1308</v>
      </c>
      <c r="N48">
        <v>1003</v>
      </c>
      <c r="O48" t="s">
        <v>64</v>
      </c>
      <c r="P48" t="s">
        <v>64</v>
      </c>
      <c r="Q48">
        <v>100</v>
      </c>
      <c r="X48">
        <v>0.05</v>
      </c>
      <c r="Y48">
        <v>120.36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0.05</v>
      </c>
      <c r="AH48">
        <v>2</v>
      </c>
      <c r="AI48">
        <v>34945816</v>
      </c>
      <c r="AJ48">
        <v>52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34945825</v>
      </c>
      <c r="C49">
        <v>34945810</v>
      </c>
      <c r="D49">
        <v>29110838</v>
      </c>
      <c r="E49">
        <v>1</v>
      </c>
      <c r="F49">
        <v>1</v>
      </c>
      <c r="G49">
        <v>1</v>
      </c>
      <c r="H49">
        <v>3</v>
      </c>
      <c r="I49" t="s">
        <v>296</v>
      </c>
      <c r="J49" t="s">
        <v>297</v>
      </c>
      <c r="K49" t="s">
        <v>298</v>
      </c>
      <c r="L49">
        <v>1346</v>
      </c>
      <c r="N49">
        <v>1009</v>
      </c>
      <c r="O49" t="s">
        <v>231</v>
      </c>
      <c r="P49" t="s">
        <v>231</v>
      </c>
      <c r="Q49">
        <v>1</v>
      </c>
      <c r="X49">
        <v>0.16</v>
      </c>
      <c r="Y49">
        <v>30.5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0.16</v>
      </c>
      <c r="AH49">
        <v>2</v>
      </c>
      <c r="AI49">
        <v>34945817</v>
      </c>
      <c r="AJ49">
        <v>53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34945826</v>
      </c>
      <c r="C50">
        <v>34945810</v>
      </c>
      <c r="D50">
        <v>29171808</v>
      </c>
      <c r="E50">
        <v>1</v>
      </c>
      <c r="F50">
        <v>1</v>
      </c>
      <c r="G50">
        <v>1</v>
      </c>
      <c r="H50">
        <v>3</v>
      </c>
      <c r="I50" t="s">
        <v>239</v>
      </c>
      <c r="J50" t="s">
        <v>240</v>
      </c>
      <c r="K50" t="s">
        <v>241</v>
      </c>
      <c r="L50">
        <v>1374</v>
      </c>
      <c r="N50">
        <v>1013</v>
      </c>
      <c r="O50" t="s">
        <v>242</v>
      </c>
      <c r="P50" t="s">
        <v>242</v>
      </c>
      <c r="Q50">
        <v>1</v>
      </c>
      <c r="X50">
        <v>0.19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0.19</v>
      </c>
      <c r="AH50">
        <v>2</v>
      </c>
      <c r="AI50">
        <v>34945818</v>
      </c>
      <c r="AJ50">
        <v>54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кцсон</cp:lastModifiedBy>
  <dcterms:created xsi:type="dcterms:W3CDTF">2021-04-29T06:04:22Z</dcterms:created>
  <dcterms:modified xsi:type="dcterms:W3CDTF">2021-04-29T06:04:54Z</dcterms:modified>
</cp:coreProperties>
</file>