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0" windowHeight="1185"/>
  </bookViews>
  <sheets>
    <sheet name="Смета 12 гр. ТЕР МО" sheetId="5" r:id="rId1"/>
    <sheet name="Source" sheetId="1" r:id="rId2"/>
    <sheet name="SourceObSm" sheetId="2" r:id="rId3"/>
    <sheet name="SmtRes" sheetId="3" r:id="rId4"/>
    <sheet name="EtalonRes" sheetId="4" r:id="rId5"/>
  </sheets>
  <definedNames>
    <definedName name="_xlnm.Print_Titles" localSheetId="0">'Смета 12 гр. ТЕР МО'!$40:$40</definedName>
    <definedName name="_xlnm.Print_Area" localSheetId="0">'Смета 12 гр. ТЕР МО'!$A$1:$L$131</definedName>
  </definedNames>
  <calcPr calcId="125725"/>
</workbook>
</file>

<file path=xl/calcChain.xml><?xml version="1.0" encoding="utf-8"?>
<calcChain xmlns="http://schemas.openxmlformats.org/spreadsheetml/2006/main">
  <c r="I129" i="5"/>
  <c r="I126"/>
  <c r="I123"/>
  <c r="D129"/>
  <c r="D126"/>
  <c r="D123"/>
  <c r="C120"/>
  <c r="C119"/>
  <c r="A117"/>
  <c r="A113"/>
  <c r="L111"/>
  <c r="Q111" s="1"/>
  <c r="Z111"/>
  <c r="Y111"/>
  <c r="W111"/>
  <c r="K110"/>
  <c r="J111" s="1"/>
  <c r="P111" s="1"/>
  <c r="J110"/>
  <c r="H110"/>
  <c r="X111" s="1"/>
  <c r="G110"/>
  <c r="F110"/>
  <c r="V110"/>
  <c r="T110"/>
  <c r="U110"/>
  <c r="S110"/>
  <c r="E110"/>
  <c r="D110"/>
  <c r="I110"/>
  <c r="C110"/>
  <c r="B110"/>
  <c r="A110"/>
  <c r="L109"/>
  <c r="Q109" s="1"/>
  <c r="Z109"/>
  <c r="Y109"/>
  <c r="X109"/>
  <c r="K108"/>
  <c r="J109" s="1"/>
  <c r="P109" s="1"/>
  <c r="J108"/>
  <c r="H108"/>
  <c r="G109" s="1"/>
  <c r="O109" s="1"/>
  <c r="G108"/>
  <c r="F108"/>
  <c r="V108"/>
  <c r="T108"/>
  <c r="U108"/>
  <c r="S108"/>
  <c r="E108"/>
  <c r="D108"/>
  <c r="I108"/>
  <c r="C108"/>
  <c r="B108"/>
  <c r="A108"/>
  <c r="L107"/>
  <c r="Q107" s="1"/>
  <c r="Z107"/>
  <c r="Y107"/>
  <c r="W107"/>
  <c r="C106"/>
  <c r="K105"/>
  <c r="J107" s="1"/>
  <c r="P107" s="1"/>
  <c r="J105"/>
  <c r="H105"/>
  <c r="G107" s="1"/>
  <c r="O107" s="1"/>
  <c r="G105"/>
  <c r="F105"/>
  <c r="V105"/>
  <c r="T105"/>
  <c r="U105"/>
  <c r="S105"/>
  <c r="E105"/>
  <c r="D105"/>
  <c r="I105"/>
  <c r="C105"/>
  <c r="B105"/>
  <c r="A105"/>
  <c r="L104"/>
  <c r="Q104" s="1"/>
  <c r="J104"/>
  <c r="P104" s="1"/>
  <c r="Z104"/>
  <c r="Y104"/>
  <c r="X104"/>
  <c r="K103"/>
  <c r="J103"/>
  <c r="H103"/>
  <c r="W104" s="1"/>
  <c r="G103"/>
  <c r="F103"/>
  <c r="V103"/>
  <c r="T103"/>
  <c r="U103"/>
  <c r="S103"/>
  <c r="E103"/>
  <c r="D103"/>
  <c r="I103"/>
  <c r="C103"/>
  <c r="B103"/>
  <c r="A103"/>
  <c r="L102"/>
  <c r="Q102" s="1"/>
  <c r="Z102"/>
  <c r="Y102"/>
  <c r="W102"/>
  <c r="K101"/>
  <c r="J102" s="1"/>
  <c r="P102" s="1"/>
  <c r="J101"/>
  <c r="H101"/>
  <c r="G102" s="1"/>
  <c r="O102" s="1"/>
  <c r="G101"/>
  <c r="F101"/>
  <c r="V101"/>
  <c r="T101"/>
  <c r="U101"/>
  <c r="S101"/>
  <c r="E101"/>
  <c r="D101"/>
  <c r="I101"/>
  <c r="C101"/>
  <c r="B101"/>
  <c r="A101"/>
  <c r="L100"/>
  <c r="Q100" s="1"/>
  <c r="Z100"/>
  <c r="Y100"/>
  <c r="W100"/>
  <c r="L99"/>
  <c r="G99"/>
  <c r="E99"/>
  <c r="J98"/>
  <c r="E98"/>
  <c r="J97"/>
  <c r="E97"/>
  <c r="K96"/>
  <c r="J96"/>
  <c r="H96"/>
  <c r="G96"/>
  <c r="F96"/>
  <c r="K95"/>
  <c r="J95"/>
  <c r="H95"/>
  <c r="R95" s="1"/>
  <c r="G95"/>
  <c r="F95"/>
  <c r="K94"/>
  <c r="J94"/>
  <c r="H94"/>
  <c r="G94"/>
  <c r="F94"/>
  <c r="K93"/>
  <c r="J93"/>
  <c r="R93"/>
  <c r="H93"/>
  <c r="G93"/>
  <c r="F93"/>
  <c r="C92"/>
  <c r="V91"/>
  <c r="K98" s="1"/>
  <c r="T91"/>
  <c r="K97" s="1"/>
  <c r="U91"/>
  <c r="H98" s="1"/>
  <c r="S91"/>
  <c r="H97" s="1"/>
  <c r="G100" s="1"/>
  <c r="O100" s="1"/>
  <c r="F91"/>
  <c r="E91"/>
  <c r="D91"/>
  <c r="I91"/>
  <c r="C91"/>
  <c r="B91"/>
  <c r="A91"/>
  <c r="Q90"/>
  <c r="L90"/>
  <c r="Z90"/>
  <c r="Y90"/>
  <c r="W90"/>
  <c r="K89"/>
  <c r="J89"/>
  <c r="Z89"/>
  <c r="Y89"/>
  <c r="X89"/>
  <c r="W89"/>
  <c r="H89"/>
  <c r="F89"/>
  <c r="V89"/>
  <c r="T89"/>
  <c r="U89"/>
  <c r="S89"/>
  <c r="E89"/>
  <c r="D89"/>
  <c r="C89"/>
  <c r="B89"/>
  <c r="A89"/>
  <c r="L88"/>
  <c r="G88"/>
  <c r="E88"/>
  <c r="J87"/>
  <c r="E87"/>
  <c r="J86"/>
  <c r="E86"/>
  <c r="K85"/>
  <c r="J85"/>
  <c r="H85"/>
  <c r="G85"/>
  <c r="F85"/>
  <c r="K84"/>
  <c r="J84"/>
  <c r="H84"/>
  <c r="G84"/>
  <c r="F84"/>
  <c r="K83"/>
  <c r="J83"/>
  <c r="R83"/>
  <c r="H83"/>
  <c r="G83"/>
  <c r="F83"/>
  <c r="V82"/>
  <c r="K87" s="1"/>
  <c r="T82"/>
  <c r="K86" s="1"/>
  <c r="U82"/>
  <c r="H87" s="1"/>
  <c r="S82"/>
  <c r="H86" s="1"/>
  <c r="F82"/>
  <c r="E82"/>
  <c r="D82"/>
  <c r="I82"/>
  <c r="C82"/>
  <c r="B82"/>
  <c r="A82"/>
  <c r="L81"/>
  <c r="Q81" s="1"/>
  <c r="Z81"/>
  <c r="Y81"/>
  <c r="W81"/>
  <c r="H79"/>
  <c r="L80"/>
  <c r="G80"/>
  <c r="E80"/>
  <c r="J79"/>
  <c r="E79"/>
  <c r="J78"/>
  <c r="E78"/>
  <c r="K77"/>
  <c r="J77"/>
  <c r="H77"/>
  <c r="G77"/>
  <c r="F77"/>
  <c r="K76"/>
  <c r="J76"/>
  <c r="H76"/>
  <c r="R76" s="1"/>
  <c r="G76"/>
  <c r="F76"/>
  <c r="K75"/>
  <c r="J75"/>
  <c r="H75"/>
  <c r="G75"/>
  <c r="F75"/>
  <c r="K74"/>
  <c r="J74"/>
  <c r="H74"/>
  <c r="G74"/>
  <c r="F74"/>
  <c r="C73"/>
  <c r="V72"/>
  <c r="K79" s="1"/>
  <c r="T72"/>
  <c r="K78" s="1"/>
  <c r="U72"/>
  <c r="S72"/>
  <c r="H78" s="1"/>
  <c r="G81" s="1"/>
  <c r="O81" s="1"/>
  <c r="F72"/>
  <c r="E72"/>
  <c r="D72"/>
  <c r="I72"/>
  <c r="C72"/>
  <c r="B72"/>
  <c r="A72"/>
  <c r="L71"/>
  <c r="Q71" s="1"/>
  <c r="Z71"/>
  <c r="Y71"/>
  <c r="W71"/>
  <c r="K69"/>
  <c r="K68"/>
  <c r="L70"/>
  <c r="G70"/>
  <c r="E70"/>
  <c r="J69"/>
  <c r="E69"/>
  <c r="J68"/>
  <c r="E68"/>
  <c r="K67"/>
  <c r="J67"/>
  <c r="H67"/>
  <c r="G67"/>
  <c r="F67"/>
  <c r="K66"/>
  <c r="J66"/>
  <c r="H66"/>
  <c r="R66" s="1"/>
  <c r="G66"/>
  <c r="F66"/>
  <c r="K65"/>
  <c r="J71" s="1"/>
  <c r="P71" s="1"/>
  <c r="J65"/>
  <c r="H65"/>
  <c r="G65"/>
  <c r="F65"/>
  <c r="K64"/>
  <c r="J64"/>
  <c r="H64"/>
  <c r="G64"/>
  <c r="F64"/>
  <c r="C63"/>
  <c r="V62"/>
  <c r="T62"/>
  <c r="U62"/>
  <c r="H69" s="1"/>
  <c r="S62"/>
  <c r="H68" s="1"/>
  <c r="F62"/>
  <c r="E62"/>
  <c r="D62"/>
  <c r="I62"/>
  <c r="C62"/>
  <c r="B62"/>
  <c r="A62"/>
  <c r="L61"/>
  <c r="Q61" s="1"/>
  <c r="Z61"/>
  <c r="Y61"/>
  <c r="W61"/>
  <c r="K60"/>
  <c r="J61" s="1"/>
  <c r="P61" s="1"/>
  <c r="J60"/>
  <c r="H60"/>
  <c r="X61" s="1"/>
  <c r="G60"/>
  <c r="F60"/>
  <c r="V59"/>
  <c r="T59"/>
  <c r="U59"/>
  <c r="S59"/>
  <c r="F59"/>
  <c r="E59"/>
  <c r="D59"/>
  <c r="I59"/>
  <c r="C59"/>
  <c r="B59"/>
  <c r="A59"/>
  <c r="L58"/>
  <c r="Q58" s="1"/>
  <c r="Z58"/>
  <c r="Y58"/>
  <c r="W58"/>
  <c r="H56"/>
  <c r="H55"/>
  <c r="L57"/>
  <c r="G57"/>
  <c r="E57"/>
  <c r="J56"/>
  <c r="E56"/>
  <c r="J55"/>
  <c r="E55"/>
  <c r="K54"/>
  <c r="J54"/>
  <c r="H54"/>
  <c r="G54"/>
  <c r="F54"/>
  <c r="K53"/>
  <c r="J53"/>
  <c r="H53"/>
  <c r="G53"/>
  <c r="F53"/>
  <c r="V52"/>
  <c r="K56" s="1"/>
  <c r="T52"/>
  <c r="K55" s="1"/>
  <c r="U52"/>
  <c r="S52"/>
  <c r="F52"/>
  <c r="E52"/>
  <c r="D52"/>
  <c r="I52"/>
  <c r="C52"/>
  <c r="B52"/>
  <c r="A52"/>
  <c r="Q51"/>
  <c r="L51"/>
  <c r="Z51"/>
  <c r="Y51"/>
  <c r="W51"/>
  <c r="K47"/>
  <c r="K50"/>
  <c r="J50"/>
  <c r="Z50"/>
  <c r="Y50"/>
  <c r="W50"/>
  <c r="H50"/>
  <c r="X50" s="1"/>
  <c r="F50"/>
  <c r="V50"/>
  <c r="T50"/>
  <c r="U50"/>
  <c r="S50"/>
  <c r="E50"/>
  <c r="D50"/>
  <c r="C50"/>
  <c r="B50"/>
  <c r="A50"/>
  <c r="L49"/>
  <c r="G49"/>
  <c r="E49"/>
  <c r="J48"/>
  <c r="E48"/>
  <c r="J47"/>
  <c r="E47"/>
  <c r="K46"/>
  <c r="J46"/>
  <c r="H46"/>
  <c r="G46"/>
  <c r="F46"/>
  <c r="K45"/>
  <c r="J45"/>
  <c r="H45"/>
  <c r="G45"/>
  <c r="F45"/>
  <c r="K44"/>
  <c r="J44"/>
  <c r="H44"/>
  <c r="G51" s="1"/>
  <c r="O51" s="1"/>
  <c r="G44"/>
  <c r="F44"/>
  <c r="V43"/>
  <c r="K48" s="1"/>
  <c r="T43"/>
  <c r="U43"/>
  <c r="H48" s="1"/>
  <c r="S43"/>
  <c r="H47" s="1"/>
  <c r="F43"/>
  <c r="E43"/>
  <c r="D43"/>
  <c r="I43"/>
  <c r="C43"/>
  <c r="B43"/>
  <c r="A43"/>
  <c r="A42"/>
  <c r="A22"/>
  <c r="B19"/>
  <c r="B15"/>
  <c r="H13"/>
  <c r="H6"/>
  <c r="B6"/>
  <c r="A1"/>
  <c r="A1" i="4"/>
  <c r="A2"/>
  <c r="A3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1" i="3"/>
  <c r="CX1"/>
  <c r="CY1"/>
  <c r="CZ1"/>
  <c r="DA1"/>
  <c r="DB1"/>
  <c r="DC1"/>
  <c r="A2"/>
  <c r="CX2"/>
  <c r="CY2"/>
  <c r="CZ2"/>
  <c r="DB2" s="1"/>
  <c r="DA2"/>
  <c r="DC2"/>
  <c r="A3"/>
  <c r="CX3"/>
  <c r="CY3"/>
  <c r="CZ3"/>
  <c r="DB3" s="1"/>
  <c r="DA3"/>
  <c r="DC3"/>
  <c r="A4"/>
  <c r="CX4"/>
  <c r="CY4"/>
  <c r="CZ4"/>
  <c r="DA4"/>
  <c r="DB4"/>
  <c r="DC4"/>
  <c r="A5"/>
  <c r="CX5"/>
  <c r="CY5"/>
  <c r="CZ5"/>
  <c r="DB5" s="1"/>
  <c r="DA5"/>
  <c r="DC5"/>
  <c r="A6"/>
  <c r="CX6"/>
  <c r="CY6"/>
  <c r="CZ6"/>
  <c r="DB6" s="1"/>
  <c r="DA6"/>
  <c r="DC6"/>
  <c r="A7"/>
  <c r="CX7"/>
  <c r="CY7"/>
  <c r="CZ7"/>
  <c r="DB7" s="1"/>
  <c r="DA7"/>
  <c r="DC7"/>
  <c r="A8"/>
  <c r="CX8"/>
  <c r="CY8"/>
  <c r="CZ8"/>
  <c r="DA8"/>
  <c r="DB8"/>
  <c r="DC8"/>
  <c r="A9"/>
  <c r="CX9"/>
  <c r="CY9"/>
  <c r="CZ9"/>
  <c r="DA9"/>
  <c r="DB9"/>
  <c r="DC9"/>
  <c r="A10"/>
  <c r="CX10"/>
  <c r="CY10"/>
  <c r="CZ10"/>
  <c r="DB10" s="1"/>
  <c r="DA10"/>
  <c r="DC10"/>
  <c r="A11"/>
  <c r="CX11"/>
  <c r="CY11"/>
  <c r="CZ11"/>
  <c r="DB11" s="1"/>
  <c r="DA11"/>
  <c r="DC11"/>
  <c r="A12"/>
  <c r="CX12"/>
  <c r="CY12"/>
  <c r="CZ12"/>
  <c r="DA12"/>
  <c r="DB12"/>
  <c r="DC12"/>
  <c r="A13"/>
  <c r="CX13"/>
  <c r="CY13"/>
  <c r="CZ13"/>
  <c r="DA13"/>
  <c r="DB13"/>
  <c r="DC13"/>
  <c r="A14"/>
  <c r="CX14"/>
  <c r="CY14"/>
  <c r="CZ14"/>
  <c r="DB14" s="1"/>
  <c r="DA14"/>
  <c r="DC14"/>
  <c r="A15"/>
  <c r="CX15"/>
  <c r="CY15"/>
  <c r="CZ15"/>
  <c r="DB15" s="1"/>
  <c r="DA15"/>
  <c r="DC15"/>
  <c r="A16"/>
  <c r="CY16"/>
  <c r="CZ16"/>
  <c r="DA16"/>
  <c r="DB16"/>
  <c r="DC16"/>
  <c r="A17"/>
  <c r="CY17"/>
  <c r="CZ17"/>
  <c r="DA17"/>
  <c r="DB17"/>
  <c r="DC17"/>
  <c r="A18"/>
  <c r="CY18"/>
  <c r="CZ18"/>
  <c r="DB18" s="1"/>
  <c r="DA18"/>
  <c r="DC18"/>
  <c r="A19"/>
  <c r="CY19"/>
  <c r="CZ19"/>
  <c r="DB19" s="1"/>
  <c r="DA19"/>
  <c r="DC19"/>
  <c r="A20"/>
  <c r="CY20"/>
  <c r="CZ20"/>
  <c r="DA20"/>
  <c r="DB20"/>
  <c r="DC20"/>
  <c r="A21"/>
  <c r="CY21"/>
  <c r="CZ21"/>
  <c r="DA21"/>
  <c r="DB21"/>
  <c r="DC21"/>
  <c r="A22"/>
  <c r="CY22"/>
  <c r="CZ22"/>
  <c r="DB22" s="1"/>
  <c r="DA22"/>
  <c r="DC22"/>
  <c r="A23"/>
  <c r="CY23"/>
  <c r="CZ23"/>
  <c r="DB23" s="1"/>
  <c r="DA23"/>
  <c r="DC23"/>
  <c r="A24"/>
  <c r="CY24"/>
  <c r="CZ24"/>
  <c r="DA24"/>
  <c r="DB24"/>
  <c r="DC24"/>
  <c r="A25"/>
  <c r="CY25"/>
  <c r="CZ25"/>
  <c r="DA25"/>
  <c r="DB25"/>
  <c r="DC25"/>
  <c r="A26"/>
  <c r="CY26"/>
  <c r="CZ26"/>
  <c r="DB26" s="1"/>
  <c r="DA26"/>
  <c r="DC26"/>
  <c r="A27"/>
  <c r="CY27"/>
  <c r="CZ27"/>
  <c r="DB27" s="1"/>
  <c r="DA27"/>
  <c r="DC27"/>
  <c r="A28"/>
  <c r="CY28"/>
  <c r="CZ28"/>
  <c r="DA28"/>
  <c r="DB28"/>
  <c r="DC28"/>
  <c r="A29"/>
  <c r="CY29"/>
  <c r="CZ29"/>
  <c r="DA29"/>
  <c r="DB29"/>
  <c r="DC29"/>
  <c r="A30"/>
  <c r="CY30"/>
  <c r="CZ30"/>
  <c r="DB30" s="1"/>
  <c r="DA30"/>
  <c r="DC30"/>
  <c r="A31"/>
  <c r="CY31"/>
  <c r="CZ31"/>
  <c r="DB31" s="1"/>
  <c r="DA31"/>
  <c r="DC31"/>
  <c r="A32"/>
  <c r="CX32"/>
  <c r="CY32"/>
  <c r="CZ32"/>
  <c r="DA32"/>
  <c r="DB32"/>
  <c r="DC32"/>
  <c r="A33"/>
  <c r="CX33"/>
  <c r="CY33"/>
  <c r="CZ33"/>
  <c r="DA33"/>
  <c r="DB33"/>
  <c r="DC33"/>
  <c r="A34"/>
  <c r="CX34"/>
  <c r="CY34"/>
  <c r="CZ34"/>
  <c r="DB34" s="1"/>
  <c r="DA34"/>
  <c r="DC34"/>
  <c r="A35"/>
  <c r="CX35"/>
  <c r="CY35"/>
  <c r="CZ35"/>
  <c r="DB35" s="1"/>
  <c r="DA35"/>
  <c r="DC35"/>
  <c r="A36"/>
  <c r="CX36"/>
  <c r="CY36"/>
  <c r="CZ36"/>
  <c r="DA36"/>
  <c r="DB36"/>
  <c r="DC36"/>
  <c r="A37"/>
  <c r="CX37"/>
  <c r="CY37"/>
  <c r="CZ37"/>
  <c r="DA37"/>
  <c r="DB37"/>
  <c r="DC37"/>
  <c r="A38"/>
  <c r="CX38"/>
  <c r="CY38"/>
  <c r="CZ38"/>
  <c r="DB38" s="1"/>
  <c r="DA38"/>
  <c r="DC38"/>
  <c r="A39"/>
  <c r="CX39"/>
  <c r="CY39"/>
  <c r="CZ39"/>
  <c r="DB39" s="1"/>
  <c r="DA39"/>
  <c r="DC39"/>
  <c r="A40"/>
  <c r="CX40"/>
  <c r="CY40"/>
  <c r="CZ40"/>
  <c r="DA40"/>
  <c r="DB40"/>
  <c r="DC40"/>
  <c r="A41"/>
  <c r="CY41"/>
  <c r="CZ41"/>
  <c r="DA41"/>
  <c r="DB41"/>
  <c r="DC41"/>
  <c r="A42"/>
  <c r="CY42"/>
  <c r="CZ42"/>
  <c r="DB42" s="1"/>
  <c r="DA42"/>
  <c r="DC42"/>
  <c r="A43"/>
  <c r="CY43"/>
  <c r="CZ43"/>
  <c r="DB43" s="1"/>
  <c r="DA43"/>
  <c r="DC43"/>
  <c r="A44"/>
  <c r="CY44"/>
  <c r="CZ44"/>
  <c r="DA44"/>
  <c r="DB44"/>
  <c r="DC44"/>
  <c r="A45"/>
  <c r="CY45"/>
  <c r="CZ45"/>
  <c r="DB45" s="1"/>
  <c r="DA45"/>
  <c r="DC45"/>
  <c r="A46"/>
  <c r="CY46"/>
  <c r="CZ46"/>
  <c r="DB46" s="1"/>
  <c r="DA46"/>
  <c r="DC46"/>
  <c r="A47"/>
  <c r="CY47"/>
  <c r="CZ47"/>
  <c r="DA47"/>
  <c r="DB47"/>
  <c r="DC47"/>
  <c r="A48"/>
  <c r="CY48"/>
  <c r="CZ48"/>
  <c r="DA48"/>
  <c r="DB48"/>
  <c r="DC48"/>
  <c r="D12" i="1"/>
  <c r="E18"/>
  <c r="Z18"/>
  <c r="AA18"/>
  <c r="AB18"/>
  <c r="AC18"/>
  <c r="AD18"/>
  <c r="AE18"/>
  <c r="AF18"/>
  <c r="AG18"/>
  <c r="AH18"/>
  <c r="AI18"/>
  <c r="AJ18"/>
  <c r="AK18"/>
  <c r="AL18"/>
  <c r="AM18"/>
  <c r="AN18"/>
  <c r="BE18"/>
  <c r="BF18"/>
  <c r="BG18"/>
  <c r="BH18"/>
  <c r="BI18"/>
  <c r="BJ18"/>
  <c r="BK18"/>
  <c r="BL18"/>
  <c r="BM18"/>
  <c r="BN18"/>
  <c r="BO18"/>
  <c r="BP18"/>
  <c r="BQ18"/>
  <c r="BR18"/>
  <c r="BS18"/>
  <c r="BT18"/>
  <c r="BU18"/>
  <c r="BV18"/>
  <c r="BW18"/>
  <c r="BX18"/>
  <c r="BY18"/>
  <c r="BZ18"/>
  <c r="CA18"/>
  <c r="CB18"/>
  <c r="CC18"/>
  <c r="CD18"/>
  <c r="CE18"/>
  <c r="CF18"/>
  <c r="CG18"/>
  <c r="CH18"/>
  <c r="CI18"/>
  <c r="CJ18"/>
  <c r="CK18"/>
  <c r="CL18"/>
  <c r="CM18"/>
  <c r="CN18"/>
  <c r="CO18"/>
  <c r="CP18"/>
  <c r="CQ18"/>
  <c r="CR18"/>
  <c r="CS18"/>
  <c r="CT18"/>
  <c r="CU18"/>
  <c r="CV18"/>
  <c r="CW18"/>
  <c r="CX18"/>
  <c r="CY18"/>
  <c r="CZ18"/>
  <c r="DA18"/>
  <c r="DB18"/>
  <c r="DC18"/>
  <c r="DD18"/>
  <c r="DE18"/>
  <c r="DF18"/>
  <c r="DG18"/>
  <c r="DH18"/>
  <c r="DI18"/>
  <c r="DJ18"/>
  <c r="DK18"/>
  <c r="DL18"/>
  <c r="DM18"/>
  <c r="DN18"/>
  <c r="DO18"/>
  <c r="DP18"/>
  <c r="DQ18"/>
  <c r="DR18"/>
  <c r="DS18"/>
  <c r="DT18"/>
  <c r="DU18"/>
  <c r="DV18"/>
  <c r="DW18"/>
  <c r="DX18"/>
  <c r="DY18"/>
  <c r="DZ18"/>
  <c r="EA18"/>
  <c r="EB18"/>
  <c r="EC18"/>
  <c r="ED18"/>
  <c r="EE18"/>
  <c r="EF18"/>
  <c r="EG18"/>
  <c r="EH18"/>
  <c r="EI18"/>
  <c r="EJ18"/>
  <c r="EK18"/>
  <c r="EL18"/>
  <c r="EM18"/>
  <c r="EN18"/>
  <c r="EO18"/>
  <c r="EP18"/>
  <c r="EQ18"/>
  <c r="ER18"/>
  <c r="ES18"/>
  <c r="ET18"/>
  <c r="EU18"/>
  <c r="EV18"/>
  <c r="EW18"/>
  <c r="EX18"/>
  <c r="EY18"/>
  <c r="EZ18"/>
  <c r="FA18"/>
  <c r="FB18"/>
  <c r="FC18"/>
  <c r="FD18"/>
  <c r="FE18"/>
  <c r="FF18"/>
  <c r="FG18"/>
  <c r="FH18"/>
  <c r="FI18"/>
  <c r="FJ18"/>
  <c r="FK18"/>
  <c r="FL18"/>
  <c r="FM18"/>
  <c r="FN18"/>
  <c r="FO18"/>
  <c r="FP18"/>
  <c r="FQ18"/>
  <c r="FR18"/>
  <c r="FS18"/>
  <c r="FT18"/>
  <c r="FU18"/>
  <c r="FV18"/>
  <c r="FW18"/>
  <c r="FX18"/>
  <c r="FY18"/>
  <c r="FZ18"/>
  <c r="GA18"/>
  <c r="GB18"/>
  <c r="GC18"/>
  <c r="GD18"/>
  <c r="GE18"/>
  <c r="GF18"/>
  <c r="GG18"/>
  <c r="GH18"/>
  <c r="GI18"/>
  <c r="GJ18"/>
  <c r="GK18"/>
  <c r="GL18"/>
  <c r="GM18"/>
  <c r="GN18"/>
  <c r="GO18"/>
  <c r="GP18"/>
  <c r="GQ18"/>
  <c r="GR18"/>
  <c r="GS18"/>
  <c r="GT18"/>
  <c r="GU18"/>
  <c r="GV18"/>
  <c r="GW18"/>
  <c r="GX18"/>
  <c r="D20"/>
  <c r="E22"/>
  <c r="Z22"/>
  <c r="AA22"/>
  <c r="AM22"/>
  <c r="AN22"/>
  <c r="BE22"/>
  <c r="BF22"/>
  <c r="BG22"/>
  <c r="BH22"/>
  <c r="BI22"/>
  <c r="BJ22"/>
  <c r="BK22"/>
  <c r="BL22"/>
  <c r="BM22"/>
  <c r="BN22"/>
  <c r="BO22"/>
  <c r="BP22"/>
  <c r="BQ22"/>
  <c r="BR22"/>
  <c r="BS22"/>
  <c r="BT22"/>
  <c r="BU22"/>
  <c r="BV22"/>
  <c r="BW22"/>
  <c r="CN22"/>
  <c r="CO22"/>
  <c r="CP22"/>
  <c r="CQ22"/>
  <c r="CR22"/>
  <c r="CS22"/>
  <c r="CT22"/>
  <c r="CU22"/>
  <c r="CV22"/>
  <c r="CW22"/>
  <c r="CX22"/>
  <c r="CY22"/>
  <c r="CZ22"/>
  <c r="DA22"/>
  <c r="DB22"/>
  <c r="DC22"/>
  <c r="DD22"/>
  <c r="DE22"/>
  <c r="DF22"/>
  <c r="DG22"/>
  <c r="DH22"/>
  <c r="DI22"/>
  <c r="DJ22"/>
  <c r="DK22"/>
  <c r="DL22"/>
  <c r="DM22"/>
  <c r="DN22"/>
  <c r="DO22"/>
  <c r="DP22"/>
  <c r="DQ22"/>
  <c r="DR22"/>
  <c r="DS22"/>
  <c r="DT22"/>
  <c r="DU22"/>
  <c r="DV22"/>
  <c r="DW22"/>
  <c r="DX22"/>
  <c r="DY22"/>
  <c r="DZ22"/>
  <c r="EA22"/>
  <c r="EB22"/>
  <c r="EC22"/>
  <c r="ED22"/>
  <c r="EE22"/>
  <c r="EF22"/>
  <c r="EG22"/>
  <c r="EH22"/>
  <c r="EI22"/>
  <c r="EJ22"/>
  <c r="EK22"/>
  <c r="EL22"/>
  <c r="EM22"/>
  <c r="EN22"/>
  <c r="EO22"/>
  <c r="EP22"/>
  <c r="EQ22"/>
  <c r="ER22"/>
  <c r="ES22"/>
  <c r="ET22"/>
  <c r="EU22"/>
  <c r="EV22"/>
  <c r="EW22"/>
  <c r="EX22"/>
  <c r="EY22"/>
  <c r="EZ22"/>
  <c r="FA22"/>
  <c r="FB22"/>
  <c r="FC22"/>
  <c r="FD22"/>
  <c r="FE22"/>
  <c r="FF22"/>
  <c r="FG22"/>
  <c r="FH22"/>
  <c r="FI22"/>
  <c r="FJ22"/>
  <c r="FK22"/>
  <c r="FL22"/>
  <c r="FM22"/>
  <c r="FN22"/>
  <c r="FO22"/>
  <c r="FP22"/>
  <c r="FQ22"/>
  <c r="FR22"/>
  <c r="FS22"/>
  <c r="FT22"/>
  <c r="FU22"/>
  <c r="FV22"/>
  <c r="FW22"/>
  <c r="FX22"/>
  <c r="FY22"/>
  <c r="FZ22"/>
  <c r="GA22"/>
  <c r="GB22"/>
  <c r="GC22"/>
  <c r="GD22"/>
  <c r="GE22"/>
  <c r="GF22"/>
  <c r="GG22"/>
  <c r="GH22"/>
  <c r="GI22"/>
  <c r="GJ22"/>
  <c r="GK22"/>
  <c r="GL22"/>
  <c r="GM22"/>
  <c r="GN22"/>
  <c r="GO22"/>
  <c r="GP22"/>
  <c r="GQ22"/>
  <c r="GR22"/>
  <c r="GS22"/>
  <c r="GT22"/>
  <c r="GU22"/>
  <c r="GV22"/>
  <c r="GW22"/>
  <c r="GX22"/>
  <c r="C24"/>
  <c r="D24"/>
  <c r="AC24"/>
  <c r="AE24"/>
  <c r="AD24" s="1"/>
  <c r="AF24"/>
  <c r="CT24" s="1"/>
  <c r="S24" s="1"/>
  <c r="AG24"/>
  <c r="AH24"/>
  <c r="AI24"/>
  <c r="CW24" s="1"/>
  <c r="V24" s="1"/>
  <c r="AJ24"/>
  <c r="CX24" s="1"/>
  <c r="W24" s="1"/>
  <c r="CQ24"/>
  <c r="P24" s="1"/>
  <c r="CU24"/>
  <c r="T24" s="1"/>
  <c r="CV24"/>
  <c r="U24" s="1"/>
  <c r="FR24"/>
  <c r="GL24"/>
  <c r="GN24"/>
  <c r="GP24"/>
  <c r="GV24"/>
  <c r="GX24"/>
  <c r="HC24"/>
  <c r="I25"/>
  <c r="AC25"/>
  <c r="AD25"/>
  <c r="AB25" s="1"/>
  <c r="AE25"/>
  <c r="CS25" s="1"/>
  <c r="R25" s="1"/>
  <c r="AF25"/>
  <c r="CT25" s="1"/>
  <c r="S25" s="1"/>
  <c r="AG25"/>
  <c r="AH25"/>
  <c r="CV25" s="1"/>
  <c r="U25" s="1"/>
  <c r="AI25"/>
  <c r="CW25" s="1"/>
  <c r="V25" s="1"/>
  <c r="AJ25"/>
  <c r="CX25" s="1"/>
  <c r="W25" s="1"/>
  <c r="CQ25"/>
  <c r="P25" s="1"/>
  <c r="CU25"/>
  <c r="T25" s="1"/>
  <c r="FR25"/>
  <c r="GL25"/>
  <c r="GN25"/>
  <c r="GP25"/>
  <c r="GV25"/>
  <c r="HC25" s="1"/>
  <c r="GX25" s="1"/>
  <c r="C26"/>
  <c r="D26"/>
  <c r="AC26"/>
  <c r="CQ26" s="1"/>
  <c r="P26" s="1"/>
  <c r="AD26"/>
  <c r="CR26" s="1"/>
  <c r="Q26" s="1"/>
  <c r="AE26"/>
  <c r="AF26"/>
  <c r="CT26" s="1"/>
  <c r="S26" s="1"/>
  <c r="AG26"/>
  <c r="CU26" s="1"/>
  <c r="T26" s="1"/>
  <c r="AH26"/>
  <c r="CV26" s="1"/>
  <c r="U26" s="1"/>
  <c r="AI26"/>
  <c r="AJ26"/>
  <c r="CX26" s="1"/>
  <c r="W26" s="1"/>
  <c r="CS26"/>
  <c r="R26" s="1"/>
  <c r="CW26"/>
  <c r="V26" s="1"/>
  <c r="FR26"/>
  <c r="GL26"/>
  <c r="GN26"/>
  <c r="GP26"/>
  <c r="GV26"/>
  <c r="HC26"/>
  <c r="GX26" s="1"/>
  <c r="AC27"/>
  <c r="CQ27" s="1"/>
  <c r="P27" s="1"/>
  <c r="CP27" s="1"/>
  <c r="O27" s="1"/>
  <c r="AD27"/>
  <c r="CR27" s="1"/>
  <c r="Q27" s="1"/>
  <c r="AE27"/>
  <c r="AF27"/>
  <c r="CT27" s="1"/>
  <c r="S27" s="1"/>
  <c r="AG27"/>
  <c r="CU27" s="1"/>
  <c r="T27" s="1"/>
  <c r="AH27"/>
  <c r="CV27" s="1"/>
  <c r="U27" s="1"/>
  <c r="AI27"/>
  <c r="AJ27"/>
  <c r="CX27" s="1"/>
  <c r="W27" s="1"/>
  <c r="CS27"/>
  <c r="R27" s="1"/>
  <c r="CW27"/>
  <c r="V27" s="1"/>
  <c r="FR27"/>
  <c r="GL27"/>
  <c r="GN27"/>
  <c r="GP27"/>
  <c r="GV27"/>
  <c r="HC27"/>
  <c r="GX27" s="1"/>
  <c r="C28"/>
  <c r="D28"/>
  <c r="I28"/>
  <c r="CX17" i="3" s="1"/>
  <c r="AC28" i="1"/>
  <c r="AB28" s="1"/>
  <c r="AD28"/>
  <c r="CR28" s="1"/>
  <c r="Q28" s="1"/>
  <c r="AE28"/>
  <c r="CS28" s="1"/>
  <c r="R28" s="1"/>
  <c r="AF28"/>
  <c r="AG28"/>
  <c r="CU28" s="1"/>
  <c r="T28" s="1"/>
  <c r="AH28"/>
  <c r="CV28" s="1"/>
  <c r="U28" s="1"/>
  <c r="AI28"/>
  <c r="CW28" s="1"/>
  <c r="V28" s="1"/>
  <c r="AJ28"/>
  <c r="CT28"/>
  <c r="S28" s="1"/>
  <c r="CX28"/>
  <c r="W28" s="1"/>
  <c r="FR28"/>
  <c r="GL28"/>
  <c r="GN28"/>
  <c r="GP28"/>
  <c r="GV28"/>
  <c r="HC28" s="1"/>
  <c r="GX28" s="1"/>
  <c r="C29"/>
  <c r="D29"/>
  <c r="I29"/>
  <c r="CX25" i="3" s="1"/>
  <c r="AC29" i="1"/>
  <c r="AB29" s="1"/>
  <c r="AD29"/>
  <c r="CR29" s="1"/>
  <c r="Q29" s="1"/>
  <c r="AE29"/>
  <c r="CS29" s="1"/>
  <c r="R29" s="1"/>
  <c r="AF29"/>
  <c r="AG29"/>
  <c r="AH29"/>
  <c r="CV29" s="1"/>
  <c r="U29" s="1"/>
  <c r="AI29"/>
  <c r="CW29" s="1"/>
  <c r="V29" s="1"/>
  <c r="AJ29"/>
  <c r="CQ29"/>
  <c r="P29" s="1"/>
  <c r="CP29" s="1"/>
  <c r="O29" s="1"/>
  <c r="CT29"/>
  <c r="S29" s="1"/>
  <c r="CU29"/>
  <c r="T29" s="1"/>
  <c r="CX29"/>
  <c r="W29" s="1"/>
  <c r="FR29"/>
  <c r="GL29"/>
  <c r="GN29"/>
  <c r="GP29"/>
  <c r="GV29"/>
  <c r="HC29" s="1"/>
  <c r="GX29" s="1"/>
  <c r="C30"/>
  <c r="D30"/>
  <c r="AC30"/>
  <c r="CQ30" s="1"/>
  <c r="P30" s="1"/>
  <c r="AE30"/>
  <c r="AD30" s="1"/>
  <c r="AF30"/>
  <c r="CT30" s="1"/>
  <c r="S30" s="1"/>
  <c r="AG30"/>
  <c r="CU30" s="1"/>
  <c r="T30" s="1"/>
  <c r="AH30"/>
  <c r="AI30"/>
  <c r="AJ30"/>
  <c r="CX30" s="1"/>
  <c r="W30" s="1"/>
  <c r="CS30"/>
  <c r="R30" s="1"/>
  <c r="CV30"/>
  <c r="U30" s="1"/>
  <c r="CW30"/>
  <c r="V30" s="1"/>
  <c r="FR30"/>
  <c r="GL30"/>
  <c r="GN30"/>
  <c r="GP30"/>
  <c r="GV30"/>
  <c r="HC30"/>
  <c r="GX30" s="1"/>
  <c r="I31"/>
  <c r="AC31"/>
  <c r="AE31"/>
  <c r="AD31" s="1"/>
  <c r="AF31"/>
  <c r="CT31" s="1"/>
  <c r="S31" s="1"/>
  <c r="AG31"/>
  <c r="AH31"/>
  <c r="AI31"/>
  <c r="CW31" s="1"/>
  <c r="V31" s="1"/>
  <c r="AJ31"/>
  <c r="CX31" s="1"/>
  <c r="W31" s="1"/>
  <c r="CQ31"/>
  <c r="P31" s="1"/>
  <c r="CU31"/>
  <c r="T31" s="1"/>
  <c r="CV31"/>
  <c r="U31" s="1"/>
  <c r="FR31"/>
  <c r="GL31"/>
  <c r="GN31"/>
  <c r="GP31"/>
  <c r="GV31"/>
  <c r="GX31"/>
  <c r="HC31"/>
  <c r="C32"/>
  <c r="D32"/>
  <c r="I32"/>
  <c r="CX41" i="3" s="1"/>
  <c r="AC32" i="1"/>
  <c r="CQ32" s="1"/>
  <c r="P32" s="1"/>
  <c r="CP32" s="1"/>
  <c r="O32" s="1"/>
  <c r="AD32"/>
  <c r="CR32" s="1"/>
  <c r="Q32" s="1"/>
  <c r="AE32"/>
  <c r="AF32"/>
  <c r="CT32" s="1"/>
  <c r="S32" s="1"/>
  <c r="AG32"/>
  <c r="CU32" s="1"/>
  <c r="T32" s="1"/>
  <c r="AH32"/>
  <c r="CV32" s="1"/>
  <c r="U32" s="1"/>
  <c r="AI32"/>
  <c r="AJ32"/>
  <c r="CX32" s="1"/>
  <c r="W32" s="1"/>
  <c r="CS32"/>
  <c r="R32" s="1"/>
  <c r="CW32"/>
  <c r="V32" s="1"/>
  <c r="FR32"/>
  <c r="GL32"/>
  <c r="GN32"/>
  <c r="GP32"/>
  <c r="GV32"/>
  <c r="HC32"/>
  <c r="GX32" s="1"/>
  <c r="AC33"/>
  <c r="CQ33" s="1"/>
  <c r="P33" s="1"/>
  <c r="CP33" s="1"/>
  <c r="O33" s="1"/>
  <c r="AD33"/>
  <c r="CR33" s="1"/>
  <c r="Q33" s="1"/>
  <c r="AE33"/>
  <c r="AF33"/>
  <c r="CT33" s="1"/>
  <c r="S33" s="1"/>
  <c r="AG33"/>
  <c r="CU33" s="1"/>
  <c r="T33" s="1"/>
  <c r="AH33"/>
  <c r="CV33" s="1"/>
  <c r="U33" s="1"/>
  <c r="AI33"/>
  <c r="AJ33"/>
  <c r="CX33" s="1"/>
  <c r="W33" s="1"/>
  <c r="CS33"/>
  <c r="R33" s="1"/>
  <c r="CW33"/>
  <c r="V33" s="1"/>
  <c r="FR33"/>
  <c r="GL33"/>
  <c r="GN33"/>
  <c r="GP33"/>
  <c r="GV33"/>
  <c r="HC33"/>
  <c r="GX33" s="1"/>
  <c r="AC34"/>
  <c r="CQ34" s="1"/>
  <c r="P34" s="1"/>
  <c r="CP34" s="1"/>
  <c r="O34" s="1"/>
  <c r="AD34"/>
  <c r="CR34" s="1"/>
  <c r="Q34" s="1"/>
  <c r="AE34"/>
  <c r="AF34"/>
  <c r="CT34" s="1"/>
  <c r="S34" s="1"/>
  <c r="AG34"/>
  <c r="CU34" s="1"/>
  <c r="T34" s="1"/>
  <c r="AH34"/>
  <c r="CV34" s="1"/>
  <c r="U34" s="1"/>
  <c r="AI34"/>
  <c r="AJ34"/>
  <c r="CX34" s="1"/>
  <c r="W34" s="1"/>
  <c r="CS34"/>
  <c r="R34" s="1"/>
  <c r="CW34"/>
  <c r="V34" s="1"/>
  <c r="FR34"/>
  <c r="GL34"/>
  <c r="GO34"/>
  <c r="GP34"/>
  <c r="GV34"/>
  <c r="HC34"/>
  <c r="GX34" s="1"/>
  <c r="I35"/>
  <c r="AC35"/>
  <c r="CQ35" s="1"/>
  <c r="P35" s="1"/>
  <c r="AE35"/>
  <c r="AD35" s="1"/>
  <c r="AF35"/>
  <c r="CT35" s="1"/>
  <c r="S35" s="1"/>
  <c r="AG35"/>
  <c r="CU35" s="1"/>
  <c r="T35" s="1"/>
  <c r="AH35"/>
  <c r="AI35"/>
  <c r="CW35" s="1"/>
  <c r="V35" s="1"/>
  <c r="AJ35"/>
  <c r="CX35" s="1"/>
  <c r="W35" s="1"/>
  <c r="CV35"/>
  <c r="U35" s="1"/>
  <c r="FR35"/>
  <c r="GL35"/>
  <c r="GN35"/>
  <c r="GP35"/>
  <c r="GV35"/>
  <c r="GX35"/>
  <c r="HC35"/>
  <c r="AC36"/>
  <c r="CQ36" s="1"/>
  <c r="P36" s="1"/>
  <c r="AE36"/>
  <c r="AD36" s="1"/>
  <c r="AF36"/>
  <c r="CT36" s="1"/>
  <c r="S36" s="1"/>
  <c r="AG36"/>
  <c r="CU36" s="1"/>
  <c r="T36" s="1"/>
  <c r="AH36"/>
  <c r="AI36"/>
  <c r="CW36" s="1"/>
  <c r="V36" s="1"/>
  <c r="AJ36"/>
  <c r="CX36" s="1"/>
  <c r="W36" s="1"/>
  <c r="CV36"/>
  <c r="U36" s="1"/>
  <c r="FR36"/>
  <c r="GL36"/>
  <c r="GO36"/>
  <c r="GP36"/>
  <c r="GV36"/>
  <c r="GX36"/>
  <c r="HC36"/>
  <c r="AC37"/>
  <c r="CQ37" s="1"/>
  <c r="P37" s="1"/>
  <c r="AE37"/>
  <c r="AD37" s="1"/>
  <c r="AF37"/>
  <c r="CT37" s="1"/>
  <c r="S37" s="1"/>
  <c r="AG37"/>
  <c r="CU37" s="1"/>
  <c r="T37" s="1"/>
  <c r="AH37"/>
  <c r="AI37"/>
  <c r="CW37" s="1"/>
  <c r="V37" s="1"/>
  <c r="AJ37"/>
  <c r="CX37" s="1"/>
  <c r="W37" s="1"/>
  <c r="CV37"/>
  <c r="U37" s="1"/>
  <c r="FR37"/>
  <c r="GL37"/>
  <c r="GN37"/>
  <c r="GP37"/>
  <c r="GV37"/>
  <c r="GX37"/>
  <c r="HC37"/>
  <c r="B39"/>
  <c r="B22" s="1"/>
  <c r="C39"/>
  <c r="C22" s="1"/>
  <c r="D39"/>
  <c r="D22" s="1"/>
  <c r="F39"/>
  <c r="F22" s="1"/>
  <c r="G39"/>
  <c r="G22" s="1"/>
  <c r="BX39"/>
  <c r="BX22" s="1"/>
  <c r="BY39"/>
  <c r="BY22" s="1"/>
  <c r="BZ39"/>
  <c r="BZ22" s="1"/>
  <c r="CD39"/>
  <c r="CD22" s="1"/>
  <c r="CG39"/>
  <c r="CG22" s="1"/>
  <c r="CI39"/>
  <c r="CI22" s="1"/>
  <c r="CK39"/>
  <c r="CK22" s="1"/>
  <c r="CL39"/>
  <c r="CL22" s="1"/>
  <c r="CM39"/>
  <c r="CM22" s="1"/>
  <c r="B69"/>
  <c r="B18" s="1"/>
  <c r="C69"/>
  <c r="C18" s="1"/>
  <c r="D69"/>
  <c r="D18" s="1"/>
  <c r="F69"/>
  <c r="F18" s="1"/>
  <c r="G69"/>
  <c r="G18" s="1"/>
  <c r="X100" i="5" l="1"/>
  <c r="G104"/>
  <c r="O104" s="1"/>
  <c r="J90"/>
  <c r="P90" s="1"/>
  <c r="G111"/>
  <c r="O111" s="1"/>
  <c r="X81"/>
  <c r="J51"/>
  <c r="P51" s="1"/>
  <c r="G30"/>
  <c r="G29"/>
  <c r="R44"/>
  <c r="G58"/>
  <c r="O58" s="1"/>
  <c r="G61"/>
  <c r="O61" s="1"/>
  <c r="R74"/>
  <c r="X90"/>
  <c r="X51"/>
  <c r="L117"/>
  <c r="J58"/>
  <c r="P58" s="1"/>
  <c r="J81"/>
  <c r="P81" s="1"/>
  <c r="J113" s="1"/>
  <c r="J100"/>
  <c r="P100" s="1"/>
  <c r="G71"/>
  <c r="O71" s="1"/>
  <c r="G117" s="1"/>
  <c r="G90"/>
  <c r="O90" s="1"/>
  <c r="R64"/>
  <c r="L113"/>
  <c r="X71"/>
  <c r="X102"/>
  <c r="R53"/>
  <c r="G32" s="1"/>
  <c r="X58"/>
  <c r="X107"/>
  <c r="W109"/>
  <c r="G27" s="1"/>
  <c r="AB35" i="1"/>
  <c r="CR35"/>
  <c r="Q35" s="1"/>
  <c r="CZ28"/>
  <c r="Y28" s="1"/>
  <c r="CY28"/>
  <c r="X28" s="1"/>
  <c r="CZ27"/>
  <c r="Y27" s="1"/>
  <c r="CY27"/>
  <c r="X27" s="1"/>
  <c r="CZ26"/>
  <c r="Y26" s="1"/>
  <c r="CY26"/>
  <c r="X26" s="1"/>
  <c r="AF39"/>
  <c r="AJ39"/>
  <c r="CZ34"/>
  <c r="Y34" s="1"/>
  <c r="CY34"/>
  <c r="X34" s="1"/>
  <c r="GN34" s="1"/>
  <c r="CZ33"/>
  <c r="Y33" s="1"/>
  <c r="CY33"/>
  <c r="X33" s="1"/>
  <c r="CZ32"/>
  <c r="Y32" s="1"/>
  <c r="CY32"/>
  <c r="X32" s="1"/>
  <c r="GM32" s="1"/>
  <c r="GM27"/>
  <c r="GO27"/>
  <c r="CP30"/>
  <c r="O30" s="1"/>
  <c r="CP26"/>
  <c r="O26" s="1"/>
  <c r="AB37"/>
  <c r="CR37"/>
  <c r="Q37" s="1"/>
  <c r="CP37" s="1"/>
  <c r="O37" s="1"/>
  <c r="GM34"/>
  <c r="GM33"/>
  <c r="GO33"/>
  <c r="GO32"/>
  <c r="CR30"/>
  <c r="Q30" s="1"/>
  <c r="AB30"/>
  <c r="CJ39"/>
  <c r="AG39"/>
  <c r="AB36"/>
  <c r="CR36"/>
  <c r="Q36" s="1"/>
  <c r="CP36" s="1"/>
  <c r="O36" s="1"/>
  <c r="AB31"/>
  <c r="CR31"/>
  <c r="Q31" s="1"/>
  <c r="CP31" s="1"/>
  <c r="O31" s="1"/>
  <c r="CZ30"/>
  <c r="Y30" s="1"/>
  <c r="CY30"/>
  <c r="X30" s="1"/>
  <c r="CZ29"/>
  <c r="Y29" s="1"/>
  <c r="CY29"/>
  <c r="X29" s="1"/>
  <c r="GM29" s="1"/>
  <c r="CZ25"/>
  <c r="Y25" s="1"/>
  <c r="CY25"/>
  <c r="X25" s="1"/>
  <c r="AB24"/>
  <c r="CR24"/>
  <c r="Q24" s="1"/>
  <c r="AD39" s="1"/>
  <c r="CP35"/>
  <c r="O35" s="1"/>
  <c r="AH39"/>
  <c r="AI39"/>
  <c r="BD39"/>
  <c r="AZ39"/>
  <c r="AB34"/>
  <c r="AB33"/>
  <c r="AB32"/>
  <c r="AB27"/>
  <c r="AB26"/>
  <c r="CX48" i="3"/>
  <c r="CX44"/>
  <c r="CX28"/>
  <c r="CX24"/>
  <c r="CX20"/>
  <c r="CX16"/>
  <c r="AO39" i="1"/>
  <c r="CS37"/>
  <c r="R37" s="1"/>
  <c r="CZ37" s="1"/>
  <c r="Y37" s="1"/>
  <c r="CS36"/>
  <c r="R36" s="1"/>
  <c r="CZ36" s="1"/>
  <c r="Y36" s="1"/>
  <c r="CS35"/>
  <c r="R35" s="1"/>
  <c r="CZ35" s="1"/>
  <c r="Y35" s="1"/>
  <c r="CS31"/>
  <c r="R31" s="1"/>
  <c r="CZ31" s="1"/>
  <c r="Y31" s="1"/>
  <c r="CQ28"/>
  <c r="P28" s="1"/>
  <c r="CP28" s="1"/>
  <c r="O28" s="1"/>
  <c r="CR25"/>
  <c r="Q25" s="1"/>
  <c r="CP25" s="1"/>
  <c r="O25" s="1"/>
  <c r="CS24"/>
  <c r="R24" s="1"/>
  <c r="AE39" s="1"/>
  <c r="CX47" i="3"/>
  <c r="CX43"/>
  <c r="CX31"/>
  <c r="CX27"/>
  <c r="CX23"/>
  <c r="CX19"/>
  <c r="BB39" i="1"/>
  <c r="AX39"/>
  <c r="AP39"/>
  <c r="CX46" i="3"/>
  <c r="CX42"/>
  <c r="CX30"/>
  <c r="CX26"/>
  <c r="CX22"/>
  <c r="CX18"/>
  <c r="BC39" i="1"/>
  <c r="AU39"/>
  <c r="AQ39"/>
  <c r="CX45" i="3"/>
  <c r="CX29"/>
  <c r="CX21"/>
  <c r="G28" i="5" l="1"/>
  <c r="G113"/>
  <c r="J117"/>
  <c r="G26"/>
  <c r="GO25" i="1"/>
  <c r="GM25"/>
  <c r="AQ69"/>
  <c r="F49"/>
  <c r="AQ22"/>
  <c r="BB22"/>
  <c r="BB69"/>
  <c r="F52"/>
  <c r="V39"/>
  <c r="AI22"/>
  <c r="GM30"/>
  <c r="GO30"/>
  <c r="CY37"/>
  <c r="X37" s="1"/>
  <c r="GO37" s="1"/>
  <c r="GO29"/>
  <c r="AC39"/>
  <c r="CY24"/>
  <c r="X24" s="1"/>
  <c r="CY31"/>
  <c r="X31" s="1"/>
  <c r="GO31" s="1"/>
  <c r="CY36"/>
  <c r="X36" s="1"/>
  <c r="GN36" s="1"/>
  <c r="CB39" s="1"/>
  <c r="AD22"/>
  <c r="Q39"/>
  <c r="GM26"/>
  <c r="GO26"/>
  <c r="W39"/>
  <c r="AJ22"/>
  <c r="S39"/>
  <c r="AF22"/>
  <c r="CP24"/>
  <c r="O24" s="1"/>
  <c r="F55"/>
  <c r="BC69"/>
  <c r="BC22"/>
  <c r="AX22"/>
  <c r="F46"/>
  <c r="AX69"/>
  <c r="BD69"/>
  <c r="BD22"/>
  <c r="F64"/>
  <c r="F58"/>
  <c r="AU69"/>
  <c r="AU22"/>
  <c r="AP22"/>
  <c r="AP69"/>
  <c r="F48"/>
  <c r="G16" i="2" s="1"/>
  <c r="G18" s="1"/>
  <c r="F43" i="1"/>
  <c r="AO22"/>
  <c r="AO69"/>
  <c r="AZ69"/>
  <c r="F50"/>
  <c r="AZ22"/>
  <c r="GO35"/>
  <c r="CJ22"/>
  <c r="BA39"/>
  <c r="CY35"/>
  <c r="X35" s="1"/>
  <c r="GM35" s="1"/>
  <c r="CZ24"/>
  <c r="Y24" s="1"/>
  <c r="AL39" s="1"/>
  <c r="R39"/>
  <c r="AE22"/>
  <c r="GO28"/>
  <c r="GM28"/>
  <c r="AH22"/>
  <c r="U39"/>
  <c r="AG22"/>
  <c r="T39"/>
  <c r="CB22" l="1"/>
  <c r="AS39"/>
  <c r="AL22"/>
  <c r="Y39"/>
  <c r="AU18"/>
  <c r="F88"/>
  <c r="GM36"/>
  <c r="CH39"/>
  <c r="AC22"/>
  <c r="CF39"/>
  <c r="P39"/>
  <c r="CE39"/>
  <c r="F82"/>
  <c r="BB18"/>
  <c r="AQ18"/>
  <c r="F79"/>
  <c r="T69"/>
  <c r="T22"/>
  <c r="F60"/>
  <c r="R22"/>
  <c r="F53"/>
  <c r="R69"/>
  <c r="GM24"/>
  <c r="AB39"/>
  <c r="GO24"/>
  <c r="CC39" s="1"/>
  <c r="F59"/>
  <c r="H16" i="2" s="1"/>
  <c r="H18" s="1"/>
  <c r="BA22" i="1"/>
  <c r="BA69"/>
  <c r="AK39"/>
  <c r="GM31"/>
  <c r="GM37"/>
  <c r="AZ18"/>
  <c r="F80"/>
  <c r="F94"/>
  <c r="BD18"/>
  <c r="F63"/>
  <c r="W69"/>
  <c r="W22"/>
  <c r="U69"/>
  <c r="U22"/>
  <c r="F61"/>
  <c r="F51"/>
  <c r="Q69"/>
  <c r="Q22"/>
  <c r="AO18"/>
  <c r="F73"/>
  <c r="F78"/>
  <c r="I29" i="5" s="1"/>
  <c r="AP18" i="1"/>
  <c r="F76"/>
  <c r="AX18"/>
  <c r="F85"/>
  <c r="BC18"/>
  <c r="F54"/>
  <c r="J16" i="2" s="1"/>
  <c r="J18" s="1"/>
  <c r="S69" i="1"/>
  <c r="S22"/>
  <c r="V22"/>
  <c r="F62"/>
  <c r="V69"/>
  <c r="I30" i="5" l="1"/>
  <c r="CC22" i="1"/>
  <c r="AT39"/>
  <c r="F90"/>
  <c r="T18"/>
  <c r="AK22"/>
  <c r="X39"/>
  <c r="F92"/>
  <c r="V18"/>
  <c r="S18"/>
  <c r="F84"/>
  <c r="I32" i="5" s="1"/>
  <c r="R18" i="1"/>
  <c r="F83"/>
  <c r="CF22"/>
  <c r="AW39"/>
  <c r="AS22"/>
  <c r="F56"/>
  <c r="E16" i="2" s="1"/>
  <c r="AS69" i="1"/>
  <c r="F93"/>
  <c r="W18"/>
  <c r="U18"/>
  <c r="F91"/>
  <c r="I31" i="5" s="1"/>
  <c r="G31" s="1"/>
  <c r="F42" i="1"/>
  <c r="P69"/>
  <c r="P22"/>
  <c r="CA39"/>
  <c r="Q18"/>
  <c r="F81"/>
  <c r="BA18"/>
  <c r="F89"/>
  <c r="O39"/>
  <c r="AB22"/>
  <c r="CE22"/>
  <c r="AV39"/>
  <c r="CH22"/>
  <c r="AY39"/>
  <c r="Y69"/>
  <c r="Y22"/>
  <c r="F66"/>
  <c r="CA22" l="1"/>
  <c r="AR39"/>
  <c r="AS18"/>
  <c r="F86"/>
  <c r="I27" i="5" s="1"/>
  <c r="F41" i="1"/>
  <c r="O69"/>
  <c r="O22"/>
  <c r="X69"/>
  <c r="X22"/>
  <c r="F65"/>
  <c r="AT22"/>
  <c r="F57"/>
  <c r="F16" i="2" s="1"/>
  <c r="F18" s="1"/>
  <c r="AT69" i="1"/>
  <c r="F47"/>
  <c r="AY69"/>
  <c r="AY22"/>
  <c r="P18"/>
  <c r="F72"/>
  <c r="AV69"/>
  <c r="AV22"/>
  <c r="F44"/>
  <c r="AW22"/>
  <c r="F45"/>
  <c r="AW69"/>
  <c r="Y18"/>
  <c r="F96"/>
  <c r="E18" i="2"/>
  <c r="I16" l="1"/>
  <c r="I18" s="1"/>
  <c r="F87" i="1"/>
  <c r="I28" i="5" s="1"/>
  <c r="AT18" i="1"/>
  <c r="O18"/>
  <c r="F71"/>
  <c r="F67"/>
  <c r="AR69"/>
  <c r="AR22"/>
  <c r="F74"/>
  <c r="AV18"/>
  <c r="F77"/>
  <c r="AY18"/>
  <c r="AW18"/>
  <c r="F75"/>
  <c r="X18"/>
  <c r="F95"/>
  <c r="AR18" l="1"/>
  <c r="F97"/>
  <c r="F98" l="1"/>
  <c r="F99" l="1"/>
  <c r="J119" i="5"/>
  <c r="J120" l="1"/>
  <c r="I26"/>
</calcChain>
</file>

<file path=xl/sharedStrings.xml><?xml version="1.0" encoding="utf-8"?>
<sst xmlns="http://schemas.openxmlformats.org/spreadsheetml/2006/main" count="1789" uniqueCount="336">
  <si>
    <t>Smeta.RU  (495) 974-1589</t>
  </si>
  <si>
    <t>_PS_</t>
  </si>
  <si>
    <t>Smeta.RU</t>
  </si>
  <si>
    <t/>
  </si>
  <si>
    <t>Новый объект</t>
  </si>
  <si>
    <t>охрана Мисцево</t>
  </si>
  <si>
    <t>Сметные нормы списания</t>
  </si>
  <si>
    <t>Коды ценников</t>
  </si>
  <si>
    <t>ТСНБ-2001 Московской области (Версия 15.0)</t>
  </si>
  <si>
    <t>ТР для Версии 10: Центральные регионы (с уч. п-ма 2536-ИП/12/ГС от 27.11.12, 01/57049-ЮЛ от 27.04.2018) от 30.08.2018 г</t>
  </si>
  <si>
    <t>ТСНБ-2001 Московской области (редакция 2014 г версия 15.0)</t>
  </si>
  <si>
    <t>Поправки  для НБ 2014 года от 28.11.2019</t>
  </si>
  <si>
    <t>Новая локальная смета</t>
  </si>
  <si>
    <t>1</t>
  </si>
  <si>
    <t>м10-08-001-13</t>
  </si>
  <si>
    <t>Устройства промежуточные на количество лучей 1</t>
  </si>
  <si>
    <t>1  ШТ.</t>
  </si>
  <si>
    <t>ТЕРм Московской обл., м10-08-001-13, приказ Минстроя России №675/пр от 21.09.2015 г.</t>
  </si>
  <si>
    <t>Монтажные работы</t>
  </si>
  <si>
    <t>Связь: пожарно-охранная сигнализация и пром. телевиз. установки  ( отделы 8 и 9 ) (при устройстве средств посадки самолетов : НР=95%, СП=55% - {АВИА}=1)</t>
  </si>
  <si>
    <t>мФЕР-10</t>
  </si>
  <si>
    <t>1,1</t>
  </si>
  <si>
    <t>цена пастовщика</t>
  </si>
  <si>
    <t>РИП 12 исп 16 блок питания</t>
  </si>
  <si>
    <t>занесена вручную</t>
  </si>
  <si>
    <t>4</t>
  </si>
  <si>
    <t>м10-08-002-4</t>
  </si>
  <si>
    <t>Извещатель ОС автоматический контактный, магнитоконтактный на открывание окон, дверей</t>
  </si>
  <si>
    <t>ТЕРм Московской обл., м10-08-002-4, приказ Минстроя России №675/пр от 21.09.2015 г.</t>
  </si>
  <si>
    <t>5</t>
  </si>
  <si>
    <t>509-1902</t>
  </si>
  <si>
    <t>Извещатель охранный контактный ИО-102-4 (СМК-4)</t>
  </si>
  <si>
    <t>шт.</t>
  </si>
  <si>
    <t>ТССЦ Московской обл., 509-1902, приказ Минстроя России №675/пр от 21.09.2015 г.</t>
  </si>
  <si>
    <t>Материалы монтажные</t>
  </si>
  <si>
    <t>Материалы и конструкции ( монтажные )  по ценникам и каталогам</t>
  </si>
  <si>
    <t>ФССЦм</t>
  </si>
  <si>
    <t>7</t>
  </si>
  <si>
    <t>м08-02-390-1</t>
  </si>
  <si>
    <t>Короба пластмассовые шириной до 40 мм</t>
  </si>
  <si>
    <t>100 м</t>
  </si>
  <si>
    <t>ТЕРм Московской обл., м08-02-390-1, приказ Минстроя России №675/пр от 21.09.2015 г.</t>
  </si>
  <si>
    <t>Электромонтажные работы ,  отдел 01-03 : ( на АЭС  НР = 110% ) - (работы по упр. авиа.- движением:  СП=55% (  {АВИА}=1; обычные работы : СП=65 - {AВИА}=0), при работе на АЭС СП= 68% )</t>
  </si>
  <si>
    <t>мФЕР-08</t>
  </si>
  <si>
    <t>8</t>
  </si>
  <si>
    <t>м08-02-398-1</t>
  </si>
  <si>
    <t>Провод в лотках, сечением до 6 мм2</t>
  </si>
  <si>
    <t>ТЕРм Московской обл., м08-02-398-1, приказ Минстроя России №675/пр от 21.09.2015 г.</t>
  </si>
  <si>
    <t>9</t>
  </si>
  <si>
    <t>м10-08-002-1</t>
  </si>
  <si>
    <t>Извещатель ПС автоматический тепловой электро-контактный, магнитоконтактный в нормальном исполнении</t>
  </si>
  <si>
    <t>ТЕРм Московской обл., м10-08-002-1, приказ Минстроя России №675/пр от 21.09.2015 г.</t>
  </si>
  <si>
    <t>9,1</t>
  </si>
  <si>
    <t>цена постовщика</t>
  </si>
  <si>
    <t>Орлан Д извещатель охраннныйй оптико-электронный</t>
  </si>
  <si>
    <t>14</t>
  </si>
  <si>
    <t>м08-03-593-9</t>
  </si>
  <si>
    <t>Светильник местного освещения</t>
  </si>
  <si>
    <t>100 шт.</t>
  </si>
  <si>
    <t>ТЕРм Московской обл., м08-03-593-9, приказ Минстроя России №675/пр от 21.09.2015 г.</t>
  </si>
  <si>
    <t>16</t>
  </si>
  <si>
    <t>509-1830</t>
  </si>
  <si>
    <t>Кабель-канал (короб) "Электропласт" 20x10 мм</t>
  </si>
  <si>
    <t>м</t>
  </si>
  <si>
    <t>ТССЦ Московской обл., 509-1830, приказ Минстроя России №675/пр от 21.09.2015 г.</t>
  </si>
  <si>
    <t>17</t>
  </si>
  <si>
    <t>цена поставщик</t>
  </si>
  <si>
    <t>КСПВ 6х0,5 (базисная стоимость 13,00=13)</t>
  </si>
  <si>
    <t>Материалы строительные</t>
  </si>
  <si>
    <t>Материалы, изделия и конструкции</t>
  </si>
  <si>
    <t>материалы (03)</t>
  </si>
  <si>
    <t>19</t>
  </si>
  <si>
    <t>502-0904</t>
  </si>
  <si>
    <t>Шнуры на напряжение до 380 В с параллельными жилами, с изоляцией и оболочкой из ПВХ, марки ШВВП 2х0,75</t>
  </si>
  <si>
    <t>1000 м</t>
  </si>
  <si>
    <t>ТССЦ Московской обл., 502-0904, приказ Минстроя России №675/пр от 21.09.2015 г.</t>
  </si>
  <si>
    <t>1000 М</t>
  </si>
  <si>
    <t>20</t>
  </si>
  <si>
    <t>цена поставщика</t>
  </si>
  <si>
    <t>БИГ 09 контрольный геркон (базисная стоимость 250,00=250)</t>
  </si>
  <si>
    <t>ШТ</t>
  </si>
  <si>
    <t>21</t>
  </si>
  <si>
    <t>509-1929</t>
  </si>
  <si>
    <t>Оповещатель комбинированный светозвуковой МАЯК 12К</t>
  </si>
  <si>
    <t>ТССЦ Московской обл., 509-1929, приказ Минстроя России №675/пр от 21.09.2015 г.</t>
  </si>
  <si>
    <t>ПЗ</t>
  </si>
  <si>
    <t>Прямые затраты</t>
  </si>
  <si>
    <t>СтМатОб</t>
  </si>
  <si>
    <t>Стоимость материальных ресурсов (всего)</t>
  </si>
  <si>
    <t>СтМатОбЗак</t>
  </si>
  <si>
    <t>Стоимость материалов и оборудования заказчика</t>
  </si>
  <si>
    <t>СтМатОбПод</t>
  </si>
  <si>
    <t>Стоимость материалов и оборудования подрядчика</t>
  </si>
  <si>
    <t>СтМат</t>
  </si>
  <si>
    <t>Стоимость материалов (всего)</t>
  </si>
  <si>
    <t>СтМатЗак</t>
  </si>
  <si>
    <t>Стоимость материалов заказчика</t>
  </si>
  <si>
    <t>СтМатПод</t>
  </si>
  <si>
    <t>Стоимость материалов подрядчика</t>
  </si>
  <si>
    <t>Оборуд</t>
  </si>
  <si>
    <t>Стоимость оборудования (всего)</t>
  </si>
  <si>
    <t>ОборудЗак</t>
  </si>
  <si>
    <t>Стоимость оборудования заказчика</t>
  </si>
  <si>
    <t>ОборудПод</t>
  </si>
  <si>
    <t>Стоимость оборудования подрядчика</t>
  </si>
  <si>
    <t>ЭММ</t>
  </si>
  <si>
    <t>Эксплуатация машин</t>
  </si>
  <si>
    <t>ЭММсНРиСП</t>
  </si>
  <si>
    <t>Эксплуатация машин по ТСН-2001.16</t>
  </si>
  <si>
    <t>ЗПМ</t>
  </si>
  <si>
    <t>ЗП машинистов</t>
  </si>
  <si>
    <t>ОЗП</t>
  </si>
  <si>
    <t>Основная ЗП рабочих</t>
  </si>
  <si>
    <t>ОЗПсНРиСП</t>
  </si>
  <si>
    <t>Основная ЗП рабочих по ТСН-2001.16</t>
  </si>
  <si>
    <t>Строит</t>
  </si>
  <si>
    <t>Строительные работы с НР и СП</t>
  </si>
  <si>
    <t>Монтаж</t>
  </si>
  <si>
    <t>Монтажные работы с НР и СП</t>
  </si>
  <si>
    <t>Прочие</t>
  </si>
  <si>
    <t>Прочие работы с НР и СП</t>
  </si>
  <si>
    <t>ПрочиеЗатр</t>
  </si>
  <si>
    <t>Прочие затраты по ТСН-2001.16</t>
  </si>
  <si>
    <t>ВозврМат</t>
  </si>
  <si>
    <t>Возврат материалов</t>
  </si>
  <si>
    <t>ТрудСтр</t>
  </si>
  <si>
    <t>Трудозатраты строителей</t>
  </si>
  <si>
    <t>ТрудМаш</t>
  </si>
  <si>
    <t>Трудозатраты машинистов</t>
  </si>
  <si>
    <t>ТранспМат</t>
  </si>
  <si>
    <t>Транспорт материалов</t>
  </si>
  <si>
    <t>Перевозка</t>
  </si>
  <si>
    <t>Перевозка грузов</t>
  </si>
  <si>
    <t>НР</t>
  </si>
  <si>
    <t>Накладные расходы</t>
  </si>
  <si>
    <t>СмПриб</t>
  </si>
  <si>
    <t>Сметная прибыль</t>
  </si>
  <si>
    <t>Всего</t>
  </si>
  <si>
    <t>Всего с НР и СП</t>
  </si>
  <si>
    <t>НДС</t>
  </si>
  <si>
    <t>НДС 20%</t>
  </si>
  <si>
    <t>Всего с ндс 20%</t>
  </si>
  <si>
    <t>СТР_РЕК</t>
  </si>
  <si>
    <t>СТРОИТЕЛЬСТВО и РЕКОНСТРУКЦИЯ  зданий и сооружений всех назначений</t>
  </si>
  <si>
    <t>РЕМ_ЖИЛ</t>
  </si>
  <si>
    <t>КАП. РЕМ. ЖИЛЫХ И ОБЩЕСТВЕННЫХ ЗДАНИЙ</t>
  </si>
  <si>
    <t>РЕМ_ПР</t>
  </si>
  <si>
    <t>КАП. РЕМ. ПРОИЗВОДСТВЕННЫХ ЗД, и СООРУЖЕНИЙ,  НАРУЖНЫХ ИНЖЕНЕРНЫХ СЕТЕЙ, УЛИЦ И ДОРОГ МЕСТНОГО ЗНАЧЕНИЯ, МОСТОВ И ПУТЕПРОВОДОВ</t>
  </si>
  <si>
    <t>УПР</t>
  </si>
  <si>
    <t>{вкл} - УПРОЩЕННОЕ НАЛОГООБЛОЖЕНИЕ</t>
  </si>
  <si>
    <t>Для всех  расценок. (  при применении упрощенной системы налогообложения)  · {УПР} - ( вкл.)    -  при упрощенной системе   ;  к = 0,9 к СП ( к= 0,7 к НР отменен с 1.01.11)  · {УПР} - ( выкл.) -  при  обычной системе налогообложения</t>
  </si>
  <si>
    <t>ХОЗ</t>
  </si>
  <si>
    <t>{вкл} - ХОЗЯЙСТВЕННЫЙ СПОСОБ</t>
  </si>
  <si>
    <t>Для всех  расценок. (  при хозяйственном способе производства работ):  · {ХОЗ} - ( вкл.)    -  при  хоз. способе (к=0,6 к НР )  · {ХОЗ} - ( выкл.) -  при обычном способе производства работ</t>
  </si>
  <si>
    <t>СЛЖ</t>
  </si>
  <si>
    <t>{вкл} -  При  РЕКОНСТРУКЦИИ сложных объектов, РЕКОНСТРУКЦИИ и КАП. РЕМОНТЕ объектов с дейст. яд. реакторами</t>
  </si>
  <si>
    <t>Для сборников ФЕР ( при производстве работ на технически сложных объектах ):  ·  { СЛЖ } - (вкл.)    - работа на сложных объектах  (к=1,2 к НР)           ·  { СЛЖ } - (выкл.) - работа на обычных объектах</t>
  </si>
  <si>
    <t>ТЕК_М/Т/Я</t>
  </si>
  <si>
    <t>При работе в тек. уровне цен с 27.04.2018 г. (письмо № 01/57049-ЮЛ от 27.04.2018 Минюст РФ), коэффициенты к НР =0,85 и к СП-0,8 не назначаются. До 27.04.2018 г. только для мостов, тоннелей, метро, АЭС, объектов с ядерным топливом (см. прим.)</t>
  </si>
  <si>
    <t>ОПТ/В</t>
  </si>
  <si>
    <t>{вкл}    - Прокладка  МЕЖДУГОРОДНИХ  ВОЛОКОННО-ОПТИЧЕСКИХ ЛИНИЙ (для ФЕРм10, отд. 6 разд.3)  {выкл} - Прокладка  ГОРОДСКИХ               ВОЛОКОННО-ОПТИТЕСКИХ ЛИНИЙ  (для ФЕРм10, отд. 6 разд.3)</t>
  </si>
  <si>
    <t>Для сборников ФЕРм-10  ( волоконно-оптические линии связи ): ·  {М_ГОР_опт} -  ( вкл.)  - междугородные сети связи ( НР=120% , СП=70% )           ·  {М_ГОР_опт} - ( выкл.) - городские сети связи  ( НР=100%; СП=65%)</t>
  </si>
  <si>
    <t>ЗАКР</t>
  </si>
  <si>
    <t>{вкл}   -  Обслуживающие и сопутстующие работы в тоннелях при  производве работ ЗАКРЫТЫМ СПОСОБОМ   {выкл} - Обслуживающие и сопутстующие работы в тоннелях при  производве работ  ОТКРЫТЫМ                       (ФЕР-29, разд.04 )</t>
  </si>
  <si>
    <t>Для сборника ФЕР -29 ( сопутствующие работы в тоннелях и метро. ): ·  {ЗАКР} - (вкл.)     -  при выполнении работ в тоннелях  и метро закрытым способом  (НР=145% , СП=75%); ·                {ЗАКР} - (выкл.) -   при выполнении работ в тоннелях и метро  отк</t>
  </si>
  <si>
    <t>АВИ</t>
  </si>
  <si>
    <t>(вкл)   -  При работах по ДИСПЕТЧЕРЕЗАЦИИ управления движением АВИАТРАНСПОРТОМ {вкл}  (монтажные работы )</t>
  </si>
  <si>
    <t>Для сборников ФЕРм 08;10;11 :    · {мАВИА} -  (вкл.)     -  производство монтажных  работы по диспетчеризации управления  движением авиатранспортном (НР=95%, СП=55%) ;    ·            {мАВИА} -  (выкл. ) -  при производстве работ на прочих объектах , кром</t>
  </si>
  <si>
    <t>АЭС</t>
  </si>
  <si>
    <t>(вкл)  -  Производство эл./монт. работ на АЭС ( ФЕРм -08 , отдел 01-03 ),  и контроль свар. швов  на АЭС {вкл}  (ФЕРм-39, отд. 02 и 03 )  (вык) -  Произовдство эл./монт. работ  и и контроль свар. швов на ОБЫЧНЫХ СООРУЖ,</t>
  </si>
  <si>
    <t>Для сборника ФЕРм -39  и ФЕРМ-08  ( при работах по контролю сварных соединений) :    {мАЭС} - ( вкл.)  -     при выполнении работ по на АЭС  (HР=101%; СП= 68%;             {мАЭС} - (выкл.) -  при выполнении работ  на обычных объектах</t>
  </si>
  <si>
    <t>Инд_исп.Сводный</t>
  </si>
  <si>
    <t>Используется Индекс "по сводному"</t>
  </si>
  <si>
    <t>К_НР_РЕМ</t>
  </si>
  <si>
    <t>при ремонте жилых и общественных зданий если  ( если {РЕМ_ЖИЛ}= [вкл.]</t>
  </si>
  <si>
    <t>Для сборников  ФЕР и  ФЕРмр :  · Значение {_МДСрем_НР}= 0,90 -  при ремонте зданий жилого и гражданского назначений ( 0,90 к НР) ;  · Значение {_МДСрем_НР}= 1,00  - при строительстве  и реконструкции  объектов всех назначений</t>
  </si>
  <si>
    <t>К_СП_РЕМ</t>
  </si>
  <si>
    <t>к нормам СП при капитальном ремонте зданий и сооружений всех назначений ( если или {РЕМ_ЖИЛ}=[вкл] , или (РЕМ_ПР}=[вкл] )</t>
  </si>
  <si>
    <t>Для сборников  ФЕР и  ФЕРмр :   · Значение {_МДСрем_СП} = 0.85  -  при ремонте зданий всех назначений ( 0,85 к СП);   · Значение {_МДСрем_СП} = 1,00 -  при строительстве  и реконструкции  объектов всех назначений</t>
  </si>
  <si>
    <t>К_НР_05</t>
  </si>
  <si>
    <t>К нормам НР  с 1.01.2005 по 1.01.2011</t>
  </si>
  <si>
    <t>Для норм НР с 1.01.2011 года:  · {_ТЕК_НР} = 0.85  -  Коэффициент   учитывающий изменение нормы страховых взносов с  1.01.1 - (при расчете в текущем уровне цен  индексами по статьям затрат )  · {_ТЕК_НР} = 1,00  -  при расчет в текущем уровне цен и при уп</t>
  </si>
  <si>
    <t>К_НР_11</t>
  </si>
  <si>
    <t>Коэфф.  к НР для текущего уровня цен с 01.01.2011  при обычном и упрощенном налогообложении  при постатейной индексации</t>
  </si>
  <si>
    <t>К_СП_11</t>
  </si>
  <si>
    <t>Коэф. к  СП в текущем уровне цен  с 01.01.2011</t>
  </si>
  <si>
    <t>Для норм СП с 1.01.2011 года:  · {_ТЕК_СП} = 0.80  -  Коэффициент   учитывающий изменение нормы страховых взносов с  1.01.11 - (при расчете в текущем уровне цен  индексами по статьям затрат )  · {_ТЕК_СП} = 1,00  -  без учета</t>
  </si>
  <si>
    <t>К_НР_12</t>
  </si>
  <si>
    <t>Корректировка НР с 03.12.12 до 27.04.18 если (ТЕК_М/Т/Я) = {выкл.}</t>
  </si>
  <si>
    <t>К_СП_12</t>
  </si>
  <si>
    <t>Корректировка СП с 03.12.12 до 27.04.18 в текущем уровне цен по письму  2536-ИП/12/ГС от 27.11.12  ( если (ТЕК_М/Т/Я) = {выкл.} )</t>
  </si>
  <si>
    <t>К_НР_УПР</t>
  </si>
  <si>
    <t>Коэф. к  НР при упрощенном налогообложении    ( если {УПР} = [вкл] )</t>
  </si>
  <si>
    <t>К_СП_УПР</t>
  </si>
  <si>
    <t>Коэф. к СП при упрощенном налогообложении    ( если {УПР} = [вкл] )</t>
  </si>
  <si>
    <t>К_НР_ХОЗ</t>
  </si>
  <si>
    <t>Коэф. к НР при хозяйственном способе производства работ   ( если {ХОЗ}= {вкл} )</t>
  </si>
  <si>
    <t>К_НР_СЛЖ</t>
  </si>
  <si>
    <t>Коэф.  при реконструкции сложных объектов (мосты, метро, путепроводы)  и  кап. ремонте АЭС, объектов с яд. реакторами   ( если {СЛЖ} = [вкл] )</t>
  </si>
  <si>
    <t>Р_ОКР</t>
  </si>
  <si>
    <t>Разрядность округления результата расчета НР и СП  ( с 01.01.2011 - до целых )</t>
  </si>
  <si>
    <t>К_НР_УПР_ПУ</t>
  </si>
  <si>
    <t>Коэф. к НР при упрощенном налогообложении ( если {УПР} = [вкл] ) для расценок на изготовление материалов, полуфабрикатов, а также металлических и трубопроводных заготовок, изготовляемых в построечных условиях</t>
  </si>
  <si>
    <t>Уровень цен</t>
  </si>
  <si>
    <t>Сборник индексов</t>
  </si>
  <si>
    <t>ТСНБ-2001 МО (редакция 2014 г)</t>
  </si>
  <si>
    <t>Вид цен</t>
  </si>
  <si>
    <t>Московская область Каталог текущих цен на материалы, март 2019 г</t>
  </si>
  <si>
    <t>_OBSM_</t>
  </si>
  <si>
    <t>1-2044-90</t>
  </si>
  <si>
    <t>Рабочий монтажник среднего разряда 4,4</t>
  </si>
  <si>
    <t>чел.-ч</t>
  </si>
  <si>
    <t>330206</t>
  </si>
  <si>
    <t>ТСЭМ Московской обл., 330206, приказ Минстроя России №675/пр от 21.09.2015 г.</t>
  </si>
  <si>
    <t>Дрели электрические</t>
  </si>
  <si>
    <t>маш.-ч</t>
  </si>
  <si>
    <t>101-1963</t>
  </si>
  <si>
    <t>ТССЦ Московской обл., 101-1963, приказ Минстроя России №675/пр от 21.09.2015 г.</t>
  </si>
  <si>
    <t>Канифоль сосновая</t>
  </si>
  <si>
    <t>кг</t>
  </si>
  <si>
    <t>101-2206</t>
  </si>
  <si>
    <t>ТССЦ Московской обл., 101-2206, приказ Минстроя России №675/пр от 21.09.2015 г.</t>
  </si>
  <si>
    <t>Дюбели пластмассовые с шурупами 12х70 мм</t>
  </si>
  <si>
    <t>10 шт.</t>
  </si>
  <si>
    <t>405-0219</t>
  </si>
  <si>
    <t>ТССЦ Московской обл., 405-0219, приказ Минстроя России №675/пр от 21.09.2015 г.</t>
  </si>
  <si>
    <t>Гипсовые вяжущие, марка Г3</t>
  </si>
  <si>
    <t>т</t>
  </si>
  <si>
    <t>506-1361</t>
  </si>
  <si>
    <t>ТССЦ Московской обл., 506-1361, приказ Минстроя России №675/пр от 21.09.2015 г.</t>
  </si>
  <si>
    <t>Припои оловянно-свинцовые бессурьмянистые марки ПОС40</t>
  </si>
  <si>
    <t>999-9950</t>
  </si>
  <si>
    <t>ТССЦ Московской обл., 999-9950, приказ Минстроя России №675/пр от 21.09.2015 г.</t>
  </si>
  <si>
    <t>Вспомогательные ненормируемые материалы (2% от ОЗП)</t>
  </si>
  <si>
    <t>РУБ</t>
  </si>
  <si>
    <t>1-2040-90</t>
  </si>
  <si>
    <t>Рабочий монтажник среднего разряда 4</t>
  </si>
  <si>
    <t>101-0329</t>
  </si>
  <si>
    <t>ТССЦ Московской обл., 101-0329, приказ Минстроя России №675/пр от 21.09.2015 г.</t>
  </si>
  <si>
    <t>Клей 88-СА</t>
  </si>
  <si>
    <t>101-1482</t>
  </si>
  <si>
    <t>ТССЦ Московской обл., 101-1482, приказ Минстроя России №675/пр от 21.09.2015 г.</t>
  </si>
  <si>
    <t>Шурупы с полукруглой головкой 5х70 мм</t>
  </si>
  <si>
    <t>507-0702</t>
  </si>
  <si>
    <t>ТССЦ Московской обл., 507-0702, приказ Минстроя России №675/пр от 21.09.2015 г.</t>
  </si>
  <si>
    <t>Трубка полихлорвиниловая ПХВ-305 диаметром 6-10 мм</t>
  </si>
  <si>
    <t>1-1039-90</t>
  </si>
  <si>
    <t>Рабочий строитель среднего разряда 3,9</t>
  </si>
  <si>
    <t>2</t>
  </si>
  <si>
    <t>Затраты труда машинистов</t>
  </si>
  <si>
    <t>чел.час</t>
  </si>
  <si>
    <t>030954</t>
  </si>
  <si>
    <t>ТСЭМ Московской обл., 030954, приказ Минстроя России №675/пр от 21.09.2015 г.</t>
  </si>
  <si>
    <t>Подъемники грузоподъемностью до 500 кг одномачтовые, высота подъема 45 м</t>
  </si>
  <si>
    <t>134041</t>
  </si>
  <si>
    <t>ТСЭМ Московской обл., 134041, приказ Минстроя России №675/пр от 21.09.2015 г.</t>
  </si>
  <si>
    <t>Шуруповерт</t>
  </si>
  <si>
    <t>331451</t>
  </si>
  <si>
    <t>ТСЭМ Московской обл., 331451, приказ Минстроя России №675/пр от 21.09.2015 г.</t>
  </si>
  <si>
    <t>Перфораторы электрические</t>
  </si>
  <si>
    <t>101-1481</t>
  </si>
  <si>
    <t>ТССЦ Московской обл., 101-1481, приказ Минстроя России №675/пр от 21.09.2015 г.</t>
  </si>
  <si>
    <t>Шурупы с полукруглой головкой 4x40 мм</t>
  </si>
  <si>
    <t>101-2202</t>
  </si>
  <si>
    <t>ТССЦ Московской обл., 101-2202, приказ Минстроя России №675/пр от 21.09.2015 г.</t>
  </si>
  <si>
    <t>Дюбели распорные полиэтиленовые 6х40 мм</t>
  </si>
  <si>
    <t>1-2038-90</t>
  </si>
  <si>
    <t>Рабочий монтажник среднего разряда 3,8</t>
  </si>
  <si>
    <t>021102</t>
  </si>
  <si>
    <t>ТСЭМ Московской обл., 021102, приказ Минстроя России №675/пр от 21.09.2015 г.</t>
  </si>
  <si>
    <t>Краны на автомобильном ходу при работе на монтаже технологического оборудования 10 т</t>
  </si>
  <si>
    <t>400001</t>
  </si>
  <si>
    <t>ТСЭМ Московской обл., 400001, приказ Минстроя России №675/пр от 21.09.2015 г.</t>
  </si>
  <si>
    <t>Автомобили бортовые, грузоподъемность до 5 т</t>
  </si>
  <si>
    <t>101-2143</t>
  </si>
  <si>
    <t>ТССЦ Московской обл., 101-2143, приказ Минстроя России №675/пр от 21.09.2015 г.</t>
  </si>
  <si>
    <t>Краска</t>
  </si>
  <si>
    <t>101-2478</t>
  </si>
  <si>
    <t>ТССЦ Московской обл., 101-2478, приказ Минстроя России №675/пр от 21.09.2015 г.</t>
  </si>
  <si>
    <t>Лента К226</t>
  </si>
  <si>
    <t>101-2499</t>
  </si>
  <si>
    <t>ТССЦ Московской обл., 101-2499, приказ Минстроя России №675/пр от 21.09.2015 г.</t>
  </si>
  <si>
    <t>Лента изоляционная прорезиненная односторонняя ширина 20 мм, толщина 0,25-0,35 мм</t>
  </si>
  <si>
    <t>1-2042-90</t>
  </si>
  <si>
    <t>Рабочий монтажник среднего разряда 4,2</t>
  </si>
  <si>
    <t>101-0115</t>
  </si>
  <si>
    <t>ТССЦ Московской обл., 101-0115, приказ Минстроя России №675/пр от 21.09.2015 г.</t>
  </si>
  <si>
    <t>Винты с полукруглой головкой длиной 50 мм</t>
  </si>
  <si>
    <t>101-3914</t>
  </si>
  <si>
    <t>ТССЦ Московской обл., 101-3914, приказ Минстроя России №675/пр от 21.09.2015 г.</t>
  </si>
  <si>
    <t>Дюбели распорные полипропиленовые</t>
  </si>
  <si>
    <t>"СОГЛАСОВАНО"</t>
  </si>
  <si>
    <t>"УТВЕРЖДАЮ"</t>
  </si>
  <si>
    <t>"_____"________________ 2021 г.</t>
  </si>
  <si>
    <t>(наименование стройки)</t>
  </si>
  <si>
    <t xml:space="preserve">Номер заказа   </t>
  </si>
  <si>
    <t>(наименование работ и затрат, наименование объекта)</t>
  </si>
  <si>
    <t>базовая цена</t>
  </si>
  <si>
    <t>текущая цена</t>
  </si>
  <si>
    <t>Сметная стоимость</t>
  </si>
  <si>
    <t>тыс. руб.</t>
  </si>
  <si>
    <t xml:space="preserve">     Строительные работы</t>
  </si>
  <si>
    <t xml:space="preserve">     Монтажные работы</t>
  </si>
  <si>
    <t xml:space="preserve">     Оборудование</t>
  </si>
  <si>
    <t xml:space="preserve">     Прочие работы</t>
  </si>
  <si>
    <t>Нормативная трудоемкость</t>
  </si>
  <si>
    <t>чел. -ч.</t>
  </si>
  <si>
    <t>Средства на оплату труда</t>
  </si>
  <si>
    <t>Строительный объем:</t>
  </si>
  <si>
    <t>Стоимость ед.стр.объема:</t>
  </si>
  <si>
    <t>№ п/п</t>
  </si>
  <si>
    <t>Шифр расценки и коды ресурсов</t>
  </si>
  <si>
    <t>Наименование работ и затрат</t>
  </si>
  <si>
    <t>Ед. изм.</t>
  </si>
  <si>
    <t>Кол-во единиц</t>
  </si>
  <si>
    <t>Цена на ед. изм.</t>
  </si>
  <si>
    <t>Попра-вочные коэфф.</t>
  </si>
  <si>
    <t>Стоимость в ценах 2001г.</t>
  </si>
  <si>
    <t>Пункт коэфф. пересчета</t>
  </si>
  <si>
    <t>Коэфф. пересчета</t>
  </si>
  <si>
    <t>Стоимость в текущих ценах</t>
  </si>
  <si>
    <t>ЗТР всего чел.-час</t>
  </si>
  <si>
    <t>Составлена в ценах ТСНБ-2001 МО (редакция 2014 г) февраль 2020 года и Московская область Каталог текущих цен на материалы, март 2019 г</t>
  </si>
  <si>
    <t>Зарплата</t>
  </si>
  <si>
    <t>Материальные ресурсы</t>
  </si>
  <si>
    <t>НР от ФОТ</t>
  </si>
  <si>
    <t>%</t>
  </si>
  <si>
    <t>СП от ФОТ</t>
  </si>
  <si>
    <t>Затраты труда</t>
  </si>
  <si>
    <t>чел-ч</t>
  </si>
  <si>
    <t>в т.ч. зарплата машинистов</t>
  </si>
  <si>
    <t xml:space="preserve">   </t>
  </si>
  <si>
    <t xml:space="preserve">Объемы согласовал  </t>
  </si>
  <si>
    <t>[должность,подпись(инициалы,фамилия)]</t>
  </si>
  <si>
    <t xml:space="preserve">Составил  </t>
  </si>
  <si>
    <t xml:space="preserve">Проверил  </t>
  </si>
</sst>
</file>

<file path=xl/styles.xml><?xml version="1.0" encoding="utf-8"?>
<styleSheet xmlns="http://schemas.openxmlformats.org/spreadsheetml/2006/main">
  <numFmts count="2">
    <numFmt numFmtId="164" formatCode="#,##0.00;[Red]\-\ #,##0.00"/>
    <numFmt numFmtId="165" formatCode="#,##0.00####;[Red]\-\ #,##0.00####"/>
  </numFmts>
  <fonts count="19">
    <font>
      <sz val="10"/>
      <name val="Arial"/>
      <charset val="204"/>
    </font>
    <font>
      <b/>
      <sz val="10"/>
      <color indexed="12"/>
      <name val="Arial"/>
      <charset val="204"/>
    </font>
    <font>
      <b/>
      <sz val="10"/>
      <color indexed="16"/>
      <name val="Arial"/>
      <charset val="204"/>
    </font>
    <font>
      <b/>
      <sz val="10"/>
      <color indexed="20"/>
      <name val="Arial"/>
      <charset val="204"/>
    </font>
    <font>
      <b/>
      <sz val="10"/>
      <color indexed="17"/>
      <name val="Arial"/>
      <charset val="204"/>
    </font>
    <font>
      <sz val="10"/>
      <color indexed="17"/>
      <name val="Arial"/>
      <charset val="204"/>
    </font>
    <font>
      <sz val="10"/>
      <color indexed="12"/>
      <name val="Arial"/>
      <charset val="204"/>
    </font>
    <font>
      <sz val="10"/>
      <color indexed="14"/>
      <name val="Arial"/>
      <charset val="204"/>
    </font>
    <font>
      <b/>
      <sz val="10"/>
      <color indexed="14"/>
      <name val="Arial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sz val="11"/>
      <name val="Arial"/>
      <family val="2"/>
      <charset val="204"/>
    </font>
    <font>
      <b/>
      <sz val="13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b/>
      <sz val="14"/>
      <name val="Arial"/>
      <family val="2"/>
      <charset val="204"/>
    </font>
    <font>
      <sz val="12"/>
      <name val="Arial"/>
      <family val="2"/>
      <charset val="204"/>
    </font>
    <font>
      <b/>
      <sz val="9"/>
      <name val="Arial"/>
      <family val="2"/>
      <charset val="204"/>
    </font>
    <font>
      <i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10" fillId="0" borderId="0" xfId="0" applyFont="1"/>
    <xf numFmtId="0" fontId="11" fillId="0" borderId="0" xfId="0" applyFont="1" applyAlignment="1">
      <alignment horizontal="right"/>
    </xf>
    <xf numFmtId="0" fontId="11" fillId="0" borderId="0" xfId="0" applyFont="1"/>
    <xf numFmtId="0" fontId="12" fillId="0" borderId="0" xfId="0" applyFont="1" applyAlignment="1"/>
    <xf numFmtId="0" fontId="11" fillId="0" borderId="0" xfId="0" applyFont="1" applyAlignment="1"/>
    <xf numFmtId="0" fontId="11" fillId="0" borderId="0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 applyBorder="1" applyAlignment="1">
      <alignment wrapText="1"/>
    </xf>
    <xf numFmtId="0" fontId="11" fillId="0" borderId="0" xfId="0" applyFont="1" applyBorder="1"/>
    <xf numFmtId="0" fontId="11" fillId="0" borderId="0" xfId="0" applyFont="1" applyAlignment="1">
      <alignment wrapText="1"/>
    </xf>
    <xf numFmtId="0" fontId="14" fillId="0" borderId="0" xfId="0" applyFont="1" applyAlignment="1">
      <alignment vertical="center" wrapText="1"/>
    </xf>
    <xf numFmtId="0" fontId="13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wrapText="1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 vertical="top"/>
    </xf>
    <xf numFmtId="0" fontId="14" fillId="0" borderId="0" xfId="0" applyFont="1" applyAlignment="1">
      <alignment horizontal="right"/>
    </xf>
    <xf numFmtId="0" fontId="11" fillId="0" borderId="0" xfId="0" applyFont="1" applyAlignment="1">
      <alignment horizontal="right" vertical="top"/>
    </xf>
    <xf numFmtId="0" fontId="16" fillId="0" borderId="0" xfId="0" applyFont="1" applyAlignment="1">
      <alignment horizontal="right" vertical="top"/>
    </xf>
    <xf numFmtId="0" fontId="16" fillId="0" borderId="0" xfId="0" applyFont="1" applyAlignment="1">
      <alignment horizontal="left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164" fontId="0" fillId="0" borderId="0" xfId="0" applyNumberFormat="1"/>
    <xf numFmtId="0" fontId="11" fillId="0" borderId="2" xfId="0" applyFont="1" applyBorder="1"/>
    <xf numFmtId="0" fontId="9" fillId="0" borderId="0" xfId="0" applyFont="1" applyAlignment="1">
      <alignment vertical="top" wrapText="1"/>
    </xf>
    <xf numFmtId="0" fontId="0" fillId="0" borderId="2" xfId="0" applyBorder="1"/>
    <xf numFmtId="0" fontId="9" fillId="0" borderId="2" xfId="0" applyFont="1" applyBorder="1" applyAlignment="1">
      <alignment vertical="top" wrapText="1"/>
    </xf>
    <xf numFmtId="0" fontId="11" fillId="0" borderId="0" xfId="0" applyFont="1" applyAlignment="1">
      <alignment vertical="center"/>
    </xf>
    <xf numFmtId="0" fontId="14" fillId="0" borderId="0" xfId="0" applyFont="1"/>
    <xf numFmtId="0" fontId="11" fillId="0" borderId="0" xfId="0" applyFont="1" applyAlignment="1">
      <alignment horizontal="left" wrapText="1"/>
    </xf>
    <xf numFmtId="0" fontId="18" fillId="0" borderId="0" xfId="0" applyFont="1" applyAlignment="1">
      <alignment horizontal="right" wrapText="1"/>
    </xf>
    <xf numFmtId="165" fontId="11" fillId="0" borderId="0" xfId="0" applyNumberFormat="1" applyFont="1" applyAlignment="1">
      <alignment horizontal="right"/>
    </xf>
    <xf numFmtId="0" fontId="11" fillId="0" borderId="0" xfId="0" applyFont="1" applyAlignment="1">
      <alignment horizontal="right" wrapText="1"/>
    </xf>
    <xf numFmtId="164" fontId="11" fillId="0" borderId="0" xfId="0" applyNumberFormat="1" applyFont="1" applyAlignment="1">
      <alignment horizontal="right"/>
    </xf>
    <xf numFmtId="0" fontId="10" fillId="0" borderId="0" xfId="0" applyFont="1" applyAlignment="1">
      <alignment horizontal="right"/>
    </xf>
    <xf numFmtId="0" fontId="9" fillId="0" borderId="0" xfId="0" applyFont="1" applyAlignment="1">
      <alignment horizontal="right" wrapText="1"/>
    </xf>
    <xf numFmtId="164" fontId="10" fillId="0" borderId="0" xfId="0" applyNumberFormat="1" applyFont="1" applyAlignment="1">
      <alignment horizontal="right"/>
    </xf>
    <xf numFmtId="0" fontId="18" fillId="0" borderId="2" xfId="0" applyFont="1" applyBorder="1" applyAlignment="1">
      <alignment horizontal="right" wrapText="1"/>
    </xf>
    <xf numFmtId="0" fontId="11" fillId="0" borderId="2" xfId="0" applyFont="1" applyBorder="1" applyAlignment="1">
      <alignment horizontal="right"/>
    </xf>
    <xf numFmtId="165" fontId="11" fillId="0" borderId="2" xfId="0" applyNumberFormat="1" applyFont="1" applyBorder="1" applyAlignment="1">
      <alignment horizontal="right"/>
    </xf>
    <xf numFmtId="0" fontId="11" fillId="0" borderId="2" xfId="0" quotePrefix="1" applyFont="1" applyBorder="1" applyAlignment="1">
      <alignment horizontal="right" wrapText="1"/>
    </xf>
    <xf numFmtId="164" fontId="11" fillId="0" borderId="2" xfId="0" applyNumberFormat="1" applyFont="1" applyBorder="1" applyAlignment="1">
      <alignment horizontal="right"/>
    </xf>
    <xf numFmtId="0" fontId="11" fillId="0" borderId="2" xfId="0" applyFont="1" applyBorder="1" applyAlignment="1">
      <alignment horizontal="right" wrapText="1"/>
    </xf>
    <xf numFmtId="0" fontId="10" fillId="0" borderId="2" xfId="0" applyFont="1" applyBorder="1" applyAlignment="1">
      <alignment horizontal="right"/>
    </xf>
    <xf numFmtId="164" fontId="17" fillId="0" borderId="0" xfId="0" applyNumberFormat="1" applyFont="1" applyAlignment="1">
      <alignment horizontal="right"/>
    </xf>
    <xf numFmtId="164" fontId="10" fillId="0" borderId="2" xfId="0" applyNumberFormat="1" applyFont="1" applyBorder="1" applyAlignment="1">
      <alignment horizontal="right"/>
    </xf>
    <xf numFmtId="164" fontId="18" fillId="0" borderId="0" xfId="0" applyNumberFormat="1" applyFont="1" applyAlignment="1">
      <alignment horizontal="right"/>
    </xf>
    <xf numFmtId="0" fontId="11" fillId="0" borderId="0" xfId="0" applyFont="1" applyAlignment="1">
      <alignment horizontal="left" vertical="top" wrapText="1"/>
    </xf>
    <xf numFmtId="0" fontId="11" fillId="0" borderId="2" xfId="0" applyFont="1" applyBorder="1" applyAlignment="1">
      <alignment horizontal="left" vertical="top"/>
    </xf>
    <xf numFmtId="0" fontId="11" fillId="0" borderId="2" xfId="0" applyFont="1" applyBorder="1" applyAlignment="1">
      <alignment horizontal="left" vertical="top" wrapText="1"/>
    </xf>
    <xf numFmtId="165" fontId="9" fillId="0" borderId="0" xfId="0" applyNumberFormat="1" applyFont="1" applyAlignment="1">
      <alignment horizontal="left"/>
    </xf>
    <xf numFmtId="0" fontId="12" fillId="0" borderId="0" xfId="0" applyFont="1" applyAlignment="1">
      <alignment horizontal="center" wrapText="1"/>
    </xf>
    <xf numFmtId="164" fontId="14" fillId="0" borderId="0" xfId="0" applyNumberFormat="1" applyFont="1" applyAlignment="1">
      <alignment horizontal="right"/>
    </xf>
    <xf numFmtId="0" fontId="14" fillId="0" borderId="0" xfId="0" applyFont="1" applyAlignment="1">
      <alignment horizontal="left" wrapText="1"/>
    </xf>
    <xf numFmtId="164" fontId="14" fillId="0" borderId="1" xfId="0" applyNumberFormat="1" applyFont="1" applyBorder="1" applyAlignment="1">
      <alignment horizontal="right"/>
    </xf>
    <xf numFmtId="0" fontId="10" fillId="0" borderId="1" xfId="0" applyFont="1" applyBorder="1" applyAlignment="1">
      <alignment horizontal="center" vertical="top"/>
    </xf>
    <xf numFmtId="0" fontId="11" fillId="0" borderId="2" xfId="0" applyFont="1" applyBorder="1" applyAlignment="1">
      <alignment horizontal="left"/>
    </xf>
    <xf numFmtId="0" fontId="11" fillId="0" borderId="0" xfId="0" applyFont="1" applyAlignment="1">
      <alignment horizontal="left" wrapText="1"/>
    </xf>
    <xf numFmtId="164" fontId="11" fillId="0" borderId="0" xfId="0" applyNumberFormat="1" applyFont="1" applyAlignment="1">
      <alignment horizontal="right"/>
    </xf>
    <xf numFmtId="0" fontId="14" fillId="0" borderId="0" xfId="0" applyFont="1" applyAlignment="1">
      <alignment horizontal="right"/>
    </xf>
    <xf numFmtId="0" fontId="11" fillId="0" borderId="0" xfId="0" applyFont="1"/>
    <xf numFmtId="0" fontId="11" fillId="0" borderId="0" xfId="0" applyFont="1" applyAlignment="1">
      <alignment horizontal="right"/>
    </xf>
    <xf numFmtId="0" fontId="13" fillId="0" borderId="0" xfId="0" applyFont="1" applyBorder="1" applyAlignment="1">
      <alignment horizontal="center" wrapText="1"/>
    </xf>
    <xf numFmtId="0" fontId="15" fillId="0" borderId="0" xfId="0" applyFont="1" applyBorder="1" applyAlignment="1">
      <alignment horizontal="center" wrapText="1"/>
    </xf>
    <xf numFmtId="0" fontId="15" fillId="0" borderId="2" xfId="0" applyFont="1" applyBorder="1" applyAlignment="1">
      <alignment horizontal="center" wrapText="1"/>
    </xf>
    <xf numFmtId="0" fontId="10" fillId="0" borderId="0" xfId="0" applyFont="1" applyBorder="1" applyAlignment="1">
      <alignment horizontal="center" vertical="top" wrapText="1"/>
    </xf>
    <xf numFmtId="0" fontId="11" fillId="0" borderId="0" xfId="0" applyFont="1" applyAlignment="1">
      <alignment horizontal="center" vertical="top"/>
    </xf>
    <xf numFmtId="0" fontId="11" fillId="0" borderId="0" xfId="0" applyFont="1" applyBorder="1" applyAlignment="1">
      <alignment horizontal="left" wrapText="1"/>
    </xf>
    <xf numFmtId="0" fontId="10" fillId="0" borderId="1" xfId="0" applyFont="1" applyBorder="1" applyAlignment="1">
      <alignment horizontal="center" vertical="top" wrapText="1"/>
    </xf>
    <xf numFmtId="0" fontId="11" fillId="0" borderId="0" xfId="0" applyFont="1" applyAlignment="1">
      <alignment horizontal="right" wrapText="1"/>
    </xf>
    <xf numFmtId="0" fontId="13" fillId="0" borderId="0" xfId="0" applyFont="1" applyAlignment="1">
      <alignment horizontal="left"/>
    </xf>
    <xf numFmtId="0" fontId="11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130"/>
  <sheetViews>
    <sheetView tabSelected="1" topLeftCell="A86" zoomScaleNormal="100" workbookViewId="0">
      <selection activeCell="C82" sqref="C82"/>
    </sheetView>
  </sheetViews>
  <sheetFormatPr defaultRowHeight="12.75"/>
  <cols>
    <col min="1" max="1" width="5.7109375" customWidth="1"/>
    <col min="2" max="2" width="11.7109375" customWidth="1"/>
    <col min="3" max="3" width="40.7109375" customWidth="1"/>
    <col min="4" max="5" width="10.7109375" customWidth="1"/>
    <col min="6" max="8" width="12.7109375" customWidth="1"/>
    <col min="9" max="9" width="17.7109375" customWidth="1"/>
    <col min="10" max="10" width="8.7109375" customWidth="1"/>
    <col min="11" max="11" width="12.7109375" customWidth="1"/>
    <col min="12" max="12" width="9.7109375" customWidth="1"/>
    <col min="15" max="36" width="0" hidden="1" customWidth="1"/>
  </cols>
  <sheetData>
    <row r="1" spans="1:12">
      <c r="A1" s="9" t="str">
        <f>Source!B1</f>
        <v>Smeta.RU  (495) 974-1589</v>
      </c>
    </row>
    <row r="2" spans="1:12" ht="14.25">
      <c r="A2" s="10"/>
      <c r="B2" s="10"/>
      <c r="C2" s="10"/>
      <c r="D2" s="10"/>
      <c r="E2" s="10"/>
      <c r="F2" s="10"/>
      <c r="G2" s="10"/>
      <c r="H2" s="10"/>
      <c r="I2" s="10"/>
      <c r="J2" s="10"/>
      <c r="K2" s="11"/>
      <c r="L2" s="11"/>
    </row>
    <row r="3" spans="1:12" ht="16.5">
      <c r="A3" s="12"/>
      <c r="B3" s="79" t="s">
        <v>291</v>
      </c>
      <c r="C3" s="79"/>
      <c r="D3" s="79"/>
      <c r="E3" s="79"/>
      <c r="F3" s="11"/>
      <c r="G3" s="11"/>
      <c r="H3" s="79" t="s">
        <v>292</v>
      </c>
      <c r="I3" s="79"/>
      <c r="J3" s="79"/>
      <c r="K3" s="79"/>
      <c r="L3" s="79"/>
    </row>
    <row r="4" spans="1:12" ht="14.25">
      <c r="A4" s="11"/>
      <c r="B4" s="80"/>
      <c r="C4" s="80"/>
      <c r="D4" s="80"/>
      <c r="E4" s="80"/>
      <c r="F4" s="11"/>
      <c r="G4" s="11"/>
      <c r="H4" s="80"/>
      <c r="I4" s="80"/>
      <c r="J4" s="80"/>
      <c r="K4" s="80"/>
      <c r="L4" s="80"/>
    </row>
    <row r="5" spans="1:12" ht="14.25">
      <c r="A5" s="13"/>
      <c r="B5" s="13"/>
      <c r="C5" s="14"/>
      <c r="D5" s="14"/>
      <c r="E5" s="14"/>
      <c r="F5" s="11"/>
      <c r="G5" s="11"/>
      <c r="H5" s="15"/>
      <c r="I5" s="14"/>
      <c r="J5" s="14"/>
      <c r="K5" s="14"/>
      <c r="L5" s="15"/>
    </row>
    <row r="6" spans="1:12" ht="14.25">
      <c r="A6" s="15"/>
      <c r="B6" s="80" t="str">
        <f>CONCATENATE("______________________ ", IF(Source!AL12&lt;&gt;"", Source!AL12, ""))</f>
        <v xml:space="preserve">______________________ </v>
      </c>
      <c r="C6" s="80"/>
      <c r="D6" s="80"/>
      <c r="E6" s="80"/>
      <c r="F6" s="11"/>
      <c r="G6" s="11"/>
      <c r="H6" s="80" t="str">
        <f>CONCATENATE("______________________ ", IF(Source!AH12&lt;&gt;"", Source!AH12, ""))</f>
        <v xml:space="preserve">______________________ </v>
      </c>
      <c r="I6" s="80"/>
      <c r="J6" s="80"/>
      <c r="K6" s="80"/>
      <c r="L6" s="80"/>
    </row>
    <row r="7" spans="1:12" ht="14.25">
      <c r="A7" s="16"/>
      <c r="B7" s="76" t="s">
        <v>293</v>
      </c>
      <c r="C7" s="76"/>
      <c r="D7" s="76"/>
      <c r="E7" s="76"/>
      <c r="F7" s="11"/>
      <c r="G7" s="11"/>
      <c r="H7" s="76" t="s">
        <v>293</v>
      </c>
      <c r="I7" s="76"/>
      <c r="J7" s="76"/>
      <c r="K7" s="76"/>
      <c r="L7" s="76"/>
    </row>
    <row r="10" spans="1:12" ht="15.75">
      <c r="A10" s="16"/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16"/>
    </row>
    <row r="11" spans="1:12" ht="14.25">
      <c r="A11" s="17"/>
      <c r="B11" s="77" t="s">
        <v>294</v>
      </c>
      <c r="C11" s="77"/>
      <c r="D11" s="77"/>
      <c r="E11" s="77"/>
      <c r="F11" s="77"/>
      <c r="G11" s="77"/>
      <c r="H11" s="77"/>
      <c r="I11" s="77"/>
      <c r="J11" s="77"/>
      <c r="K11" s="77"/>
      <c r="L11" s="16"/>
    </row>
    <row r="12" spans="1:12" ht="14.2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</row>
    <row r="13" spans="1:12" ht="14.25">
      <c r="A13" s="11"/>
      <c r="B13" s="11"/>
      <c r="C13" s="11"/>
      <c r="D13" s="11"/>
      <c r="E13" s="11"/>
      <c r="F13" s="78" t="s">
        <v>295</v>
      </c>
      <c r="G13" s="78"/>
      <c r="H13" s="66" t="str">
        <f>IF(Source!F12&lt;&gt;"Новый объект", Source!F12, "")</f>
        <v/>
      </c>
      <c r="I13" s="66"/>
      <c r="J13" s="66"/>
      <c r="K13" s="66"/>
      <c r="L13" s="18"/>
    </row>
    <row r="14" spans="1:12" ht="14.2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</row>
    <row r="15" spans="1:12" ht="15.75">
      <c r="A15" s="19"/>
      <c r="B15" s="71" t="str">
        <f>CONCATENATE( "ЛОКАЛЬНАЯ СМЕТА № ",IF(Source!F12&lt;&gt;"Новый объект", Source!F12, ""))</f>
        <v xml:space="preserve">ЛОКАЛЬНАЯ СМЕТА № </v>
      </c>
      <c r="C15" s="71"/>
      <c r="D15" s="71"/>
      <c r="E15" s="71"/>
      <c r="F15" s="71"/>
      <c r="G15" s="71"/>
      <c r="H15" s="71"/>
      <c r="I15" s="71"/>
      <c r="J15" s="71"/>
      <c r="K15" s="71"/>
      <c r="L15" s="19"/>
    </row>
    <row r="16" spans="1:12" ht="15.75">
      <c r="A16" s="19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19"/>
    </row>
    <row r="17" spans="1:12" ht="18" hidden="1">
      <c r="A17" s="19"/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19"/>
    </row>
    <row r="18" spans="1:12" ht="14.25" hidden="1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</row>
    <row r="19" spans="1:12" ht="18">
      <c r="A19" s="11"/>
      <c r="B19" s="73" t="str">
        <f>IF(Source!G12&lt;&gt;"Новый объект", Source!G12, "")</f>
        <v>охрана Мисцево</v>
      </c>
      <c r="C19" s="73"/>
      <c r="D19" s="73"/>
      <c r="E19" s="73"/>
      <c r="F19" s="73"/>
      <c r="G19" s="73"/>
      <c r="H19" s="73"/>
      <c r="I19" s="73"/>
      <c r="J19" s="73"/>
      <c r="K19" s="73"/>
      <c r="L19" s="21"/>
    </row>
    <row r="20" spans="1:12" ht="14.25">
      <c r="A20" s="11"/>
      <c r="B20" s="74" t="s">
        <v>296</v>
      </c>
      <c r="C20" s="74"/>
      <c r="D20" s="74"/>
      <c r="E20" s="74"/>
      <c r="F20" s="74"/>
      <c r="G20" s="74"/>
      <c r="H20" s="74"/>
      <c r="I20" s="74"/>
      <c r="J20" s="74"/>
      <c r="K20" s="74"/>
      <c r="L20" s="16"/>
    </row>
    <row r="21" spans="1:12" ht="14.2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</row>
    <row r="22" spans="1:12" ht="14.25">
      <c r="A22" s="66" t="str">
        <f>CONCATENATE("Основание: ", Source!J12)</f>
        <v xml:space="preserve">Основание: </v>
      </c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</row>
    <row r="23" spans="1:12" ht="14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</row>
    <row r="24" spans="1:12" ht="14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</row>
    <row r="25" spans="1:12" ht="14.25">
      <c r="A25" s="11"/>
      <c r="B25" s="11"/>
      <c r="C25" s="11"/>
      <c r="D25" s="11"/>
      <c r="E25" s="22"/>
      <c r="F25" s="22"/>
      <c r="G25" s="75" t="s">
        <v>297</v>
      </c>
      <c r="H25" s="75"/>
      <c r="I25" s="75" t="s">
        <v>298</v>
      </c>
      <c r="J25" s="75"/>
      <c r="K25" s="11"/>
      <c r="L25" s="11"/>
    </row>
    <row r="26" spans="1:12" ht="15">
      <c r="A26" s="11"/>
      <c r="B26" s="11"/>
      <c r="C26" s="68" t="s">
        <v>299</v>
      </c>
      <c r="D26" s="68"/>
      <c r="E26" s="68"/>
      <c r="F26" s="68"/>
      <c r="G26" s="67">
        <f>SUM(O1:O118)/1000</f>
        <v>22.666229999999999</v>
      </c>
      <c r="H26" s="67"/>
      <c r="I26" s="67">
        <f>(Source!F99/1000)</f>
        <v>64.368769999999998</v>
      </c>
      <c r="J26" s="67"/>
      <c r="K26" s="69" t="s">
        <v>300</v>
      </c>
      <c r="L26" s="69"/>
    </row>
    <row r="27" spans="1:12" ht="14.25">
      <c r="A27" s="11"/>
      <c r="B27" s="11"/>
      <c r="C27" s="70" t="s">
        <v>301</v>
      </c>
      <c r="D27" s="70"/>
      <c r="E27" s="70"/>
      <c r="F27" s="70"/>
      <c r="G27" s="67">
        <f>SUM(W1:W118)/1000</f>
        <v>1.4464999999999999</v>
      </c>
      <c r="H27" s="67"/>
      <c r="I27" s="67">
        <f>(Source!F86)/1000</f>
        <v>1.4464999999999999</v>
      </c>
      <c r="J27" s="67"/>
      <c r="K27" s="69" t="s">
        <v>300</v>
      </c>
      <c r="L27" s="69"/>
    </row>
    <row r="28" spans="1:12" ht="14.25">
      <c r="A28" s="11"/>
      <c r="B28" s="11"/>
      <c r="C28" s="70" t="s">
        <v>302</v>
      </c>
      <c r="D28" s="70"/>
      <c r="E28" s="70"/>
      <c r="F28" s="70"/>
      <c r="G28" s="67">
        <f>SUM(X1:X118)/1000</f>
        <v>21.219730000000002</v>
      </c>
      <c r="H28" s="67"/>
      <c r="I28" s="67">
        <f>(Source!F87)/1000</f>
        <v>52.194139999999997</v>
      </c>
      <c r="J28" s="67"/>
      <c r="K28" s="69" t="s">
        <v>300</v>
      </c>
      <c r="L28" s="69"/>
    </row>
    <row r="29" spans="1:12" ht="14.25">
      <c r="A29" s="11"/>
      <c r="B29" s="11"/>
      <c r="C29" s="70" t="s">
        <v>303</v>
      </c>
      <c r="D29" s="70"/>
      <c r="E29" s="70"/>
      <c r="F29" s="70"/>
      <c r="G29" s="67">
        <f>SUM(Y1:Y118)/1000</f>
        <v>0</v>
      </c>
      <c r="H29" s="67"/>
      <c r="I29" s="67">
        <f>(Source!F78)/1000</f>
        <v>0</v>
      </c>
      <c r="J29" s="67"/>
      <c r="K29" s="69" t="s">
        <v>300</v>
      </c>
      <c r="L29" s="69"/>
    </row>
    <row r="30" spans="1:12" ht="14.25">
      <c r="A30" s="11"/>
      <c r="B30" s="11"/>
      <c r="C30" s="70" t="s">
        <v>304</v>
      </c>
      <c r="D30" s="70"/>
      <c r="E30" s="70"/>
      <c r="F30" s="70"/>
      <c r="G30" s="67">
        <f>SUM(Z1:Z118)/1000</f>
        <v>0</v>
      </c>
      <c r="H30" s="67"/>
      <c r="I30" s="67">
        <f>(Source!F88+Source!F89)/1000</f>
        <v>0</v>
      </c>
      <c r="J30" s="67"/>
      <c r="K30" s="69" t="s">
        <v>300</v>
      </c>
      <c r="L30" s="69"/>
    </row>
    <row r="31" spans="1:12" ht="15">
      <c r="A31" s="11"/>
      <c r="B31" s="11"/>
      <c r="C31" s="68" t="s">
        <v>305</v>
      </c>
      <c r="D31" s="68"/>
      <c r="E31" s="68"/>
      <c r="F31" s="68"/>
      <c r="G31" s="67">
        <f>I31</f>
        <v>40.223400000000005</v>
      </c>
      <c r="H31" s="67"/>
      <c r="I31" s="67">
        <f>(Source!F91+Source!F92)</f>
        <v>40.223400000000005</v>
      </c>
      <c r="J31" s="67"/>
      <c r="K31" s="69" t="s">
        <v>306</v>
      </c>
      <c r="L31" s="69"/>
    </row>
    <row r="32" spans="1:12" ht="15">
      <c r="A32" s="11"/>
      <c r="B32" s="11"/>
      <c r="C32" s="68" t="s">
        <v>307</v>
      </c>
      <c r="D32" s="68"/>
      <c r="E32" s="68"/>
      <c r="F32" s="68"/>
      <c r="G32" s="67">
        <f>SUM(R1:R118)/1000</f>
        <v>0.38590999999999992</v>
      </c>
      <c r="H32" s="67"/>
      <c r="I32" s="67">
        <f>(Source!F84+ Source!F83)/1000</f>
        <v>11.689309999999999</v>
      </c>
      <c r="J32" s="67"/>
      <c r="K32" s="69" t="s">
        <v>300</v>
      </c>
      <c r="L32" s="69"/>
    </row>
    <row r="33" spans="1:22" ht="14.25" hidden="1">
      <c r="A33" s="11"/>
      <c r="B33" s="11"/>
      <c r="C33" s="70" t="s">
        <v>124</v>
      </c>
      <c r="D33" s="70"/>
      <c r="E33" s="70"/>
      <c r="F33" s="70"/>
      <c r="G33" s="67"/>
      <c r="H33" s="67"/>
      <c r="I33" s="67"/>
      <c r="J33" s="67"/>
      <c r="K33" s="23" t="s">
        <v>300</v>
      </c>
      <c r="L33" s="11"/>
    </row>
    <row r="34" spans="1:22" ht="15">
      <c r="A34" s="11"/>
      <c r="B34" s="11"/>
      <c r="C34" s="24"/>
      <c r="D34" s="24"/>
      <c r="E34" s="24"/>
      <c r="F34" s="15"/>
      <c r="G34" s="25"/>
      <c r="H34" s="25"/>
      <c r="I34" s="25"/>
      <c r="J34" s="25"/>
      <c r="K34" s="25"/>
      <c r="L34" s="25"/>
    </row>
    <row r="35" spans="1:22" ht="15" hidden="1">
      <c r="A35" s="15" t="s">
        <v>308</v>
      </c>
      <c r="B35" s="11"/>
      <c r="C35" s="11"/>
      <c r="D35" s="13"/>
      <c r="E35" s="11"/>
      <c r="F35" s="11"/>
      <c r="G35" s="26"/>
      <c r="H35" s="26"/>
      <c r="I35" s="27"/>
      <c r="J35" s="26"/>
      <c r="K35" s="26"/>
      <c r="L35" s="26"/>
    </row>
    <row r="36" spans="1:22" ht="15" hidden="1">
      <c r="A36" s="15" t="s">
        <v>309</v>
      </c>
      <c r="B36" s="11"/>
      <c r="C36" s="11"/>
      <c r="D36" s="13"/>
      <c r="E36" s="11"/>
      <c r="F36" s="11"/>
      <c r="G36" s="26"/>
      <c r="H36" s="26"/>
      <c r="I36" s="27"/>
      <c r="J36" s="26"/>
      <c r="K36" s="26"/>
      <c r="L36" s="26"/>
    </row>
    <row r="37" spans="1:22" ht="15" hidden="1">
      <c r="A37" s="11"/>
      <c r="B37" s="11"/>
      <c r="C37" s="10"/>
      <c r="D37" s="10"/>
      <c r="E37" s="10"/>
      <c r="F37" s="10"/>
      <c r="G37" s="26"/>
      <c r="H37" s="26"/>
      <c r="I37" s="27"/>
      <c r="J37" s="26"/>
      <c r="K37" s="26"/>
      <c r="L37" s="26"/>
    </row>
    <row r="38" spans="1:22" ht="14.25">
      <c r="A38" s="65" t="s">
        <v>322</v>
      </c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</row>
    <row r="39" spans="1:22" ht="57">
      <c r="A39" s="28" t="s">
        <v>310</v>
      </c>
      <c r="B39" s="28" t="s">
        <v>311</v>
      </c>
      <c r="C39" s="28" t="s">
        <v>312</v>
      </c>
      <c r="D39" s="28" t="s">
        <v>313</v>
      </c>
      <c r="E39" s="28" t="s">
        <v>314</v>
      </c>
      <c r="F39" s="28" t="s">
        <v>315</v>
      </c>
      <c r="G39" s="28" t="s">
        <v>316</v>
      </c>
      <c r="H39" s="28" t="s">
        <v>317</v>
      </c>
      <c r="I39" s="28" t="s">
        <v>318</v>
      </c>
      <c r="J39" s="28" t="s">
        <v>319</v>
      </c>
      <c r="K39" s="28" t="s">
        <v>320</v>
      </c>
      <c r="L39" s="28" t="s">
        <v>321</v>
      </c>
    </row>
    <row r="40" spans="1:22" ht="14.25">
      <c r="A40" s="29">
        <v>1</v>
      </c>
      <c r="B40" s="29">
        <v>2</v>
      </c>
      <c r="C40" s="29">
        <v>3</v>
      </c>
      <c r="D40" s="29">
        <v>4</v>
      </c>
      <c r="E40" s="29">
        <v>5</v>
      </c>
      <c r="F40" s="29">
        <v>6</v>
      </c>
      <c r="G40" s="29">
        <v>7</v>
      </c>
      <c r="H40" s="29">
        <v>8</v>
      </c>
      <c r="I40" s="29">
        <v>9</v>
      </c>
      <c r="J40" s="29">
        <v>10</v>
      </c>
      <c r="K40" s="29">
        <v>11</v>
      </c>
      <c r="L40" s="30">
        <v>12</v>
      </c>
    </row>
    <row r="42" spans="1:22" ht="16.5">
      <c r="A42" s="60" t="str">
        <f>CONCATENATE("Локальная смета: ",IF(Source!G20&lt;&gt;"Новая локальная смета", Source!G20, ""))</f>
        <v xml:space="preserve">Локальная смета: </v>
      </c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</row>
    <row r="43" spans="1:22" ht="28.5">
      <c r="A43" s="23" t="str">
        <f>Source!E24</f>
        <v>1</v>
      </c>
      <c r="B43" s="56" t="str">
        <f>Source!F24</f>
        <v>м10-08-001-13</v>
      </c>
      <c r="C43" s="56" t="str">
        <f>Source!G24</f>
        <v>Устройства промежуточные на количество лучей 1</v>
      </c>
      <c r="D43" s="39" t="str">
        <f>Source!H24</f>
        <v>1  ШТ.</v>
      </c>
      <c r="E43" s="10">
        <f>Source!I24</f>
        <v>1</v>
      </c>
      <c r="F43" s="40">
        <f>Source!AL24+Source!AM24+Source!AO24</f>
        <v>15.79</v>
      </c>
      <c r="G43" s="41"/>
      <c r="H43" s="42"/>
      <c r="I43" s="41" t="str">
        <f>Source!BO24</f>
        <v>м10-08-001-13</v>
      </c>
      <c r="J43" s="41"/>
      <c r="K43" s="42"/>
      <c r="L43" s="43"/>
      <c r="S43">
        <f>ROUND((Source!FX24/100)*((ROUND(Source!AF24*Source!I24, 2)+ROUND(Source!AE24*Source!I24, 2))), 2)</f>
        <v>9.8000000000000007</v>
      </c>
      <c r="T43">
        <f>Source!X24</f>
        <v>296.83999999999997</v>
      </c>
      <c r="U43">
        <f>ROUND((Source!FY24/100)*((ROUND(Source!AF24*Source!I24, 2)+ROUND(Source!AE24*Source!I24, 2))), 2)</f>
        <v>7.35</v>
      </c>
      <c r="V43">
        <f>Source!Y24</f>
        <v>222.63</v>
      </c>
    </row>
    <row r="44" spans="1:22" ht="14.25">
      <c r="A44" s="23"/>
      <c r="B44" s="56"/>
      <c r="C44" s="56" t="s">
        <v>323</v>
      </c>
      <c r="D44" s="39"/>
      <c r="E44" s="10"/>
      <c r="F44" s="40">
        <f>Source!AO24</f>
        <v>12.25</v>
      </c>
      <c r="G44" s="41" t="str">
        <f>Source!DG24</f>
        <v/>
      </c>
      <c r="H44" s="42">
        <f>ROUND(Source!AF24*Source!I24, 2)</f>
        <v>12.25</v>
      </c>
      <c r="I44" s="41"/>
      <c r="J44" s="41">
        <f>IF(Source!BA24&lt;&gt; 0, Source!BA24, 1)</f>
        <v>30.29</v>
      </c>
      <c r="K44" s="42">
        <f>Source!S24</f>
        <v>371.05</v>
      </c>
      <c r="L44" s="43"/>
      <c r="R44">
        <f>H44</f>
        <v>12.25</v>
      </c>
    </row>
    <row r="45" spans="1:22" ht="14.25">
      <c r="A45" s="23"/>
      <c r="B45" s="56"/>
      <c r="C45" s="56" t="s">
        <v>106</v>
      </c>
      <c r="D45" s="39"/>
      <c r="E45" s="10"/>
      <c r="F45" s="40">
        <f>Source!AM24</f>
        <v>0.25</v>
      </c>
      <c r="G45" s="41" t="str">
        <f>Source!DE24</f>
        <v/>
      </c>
      <c r="H45" s="42">
        <f>ROUND(Source!AD24*Source!I24, 2)</f>
        <v>0.25</v>
      </c>
      <c r="I45" s="41"/>
      <c r="J45" s="41">
        <f>IF(Source!BB24&lt;&gt; 0, Source!BB24, 1)</f>
        <v>3.76</v>
      </c>
      <c r="K45" s="42">
        <f>Source!Q24</f>
        <v>0.94</v>
      </c>
      <c r="L45" s="43"/>
    </row>
    <row r="46" spans="1:22" ht="14.25">
      <c r="A46" s="23"/>
      <c r="B46" s="56"/>
      <c r="C46" s="56" t="s">
        <v>324</v>
      </c>
      <c r="D46" s="39"/>
      <c r="E46" s="10"/>
      <c r="F46" s="40">
        <f>Source!AL24</f>
        <v>3.29</v>
      </c>
      <c r="G46" s="41" t="str">
        <f>Source!DD24</f>
        <v/>
      </c>
      <c r="H46" s="42">
        <f>ROUND(Source!AC24*Source!I24, 2)</f>
        <v>3.29</v>
      </c>
      <c r="I46" s="41"/>
      <c r="J46" s="41">
        <f>IF(Source!BC24&lt;&gt; 0, Source!BC24, 1)</f>
        <v>6.48</v>
      </c>
      <c r="K46" s="42">
        <f>Source!P24</f>
        <v>21.32</v>
      </c>
      <c r="L46" s="43"/>
    </row>
    <row r="47" spans="1:22" ht="14.25">
      <c r="A47" s="23"/>
      <c r="B47" s="56"/>
      <c r="C47" s="56" t="s">
        <v>325</v>
      </c>
      <c r="D47" s="39" t="s">
        <v>326</v>
      </c>
      <c r="E47" s="10">
        <f>Source!BZ24</f>
        <v>80</v>
      </c>
      <c r="F47" s="59"/>
      <c r="G47" s="41"/>
      <c r="H47" s="42">
        <f>SUM(S43:S50)</f>
        <v>9.8000000000000007</v>
      </c>
      <c r="I47" s="44"/>
      <c r="J47" s="38">
        <f>Source!AT24</f>
        <v>80</v>
      </c>
      <c r="K47" s="42">
        <f>SUM(T43:T50)</f>
        <v>296.83999999999997</v>
      </c>
      <c r="L47" s="43"/>
    </row>
    <row r="48" spans="1:22" ht="14.25">
      <c r="A48" s="23"/>
      <c r="B48" s="56"/>
      <c r="C48" s="56" t="s">
        <v>327</v>
      </c>
      <c r="D48" s="39" t="s">
        <v>326</v>
      </c>
      <c r="E48" s="10">
        <f>Source!CA24</f>
        <v>60</v>
      </c>
      <c r="F48" s="59"/>
      <c r="G48" s="41"/>
      <c r="H48" s="42">
        <f>SUM(U43:U50)</f>
        <v>7.35</v>
      </c>
      <c r="I48" s="44"/>
      <c r="J48" s="38">
        <f>Source!AU24</f>
        <v>60</v>
      </c>
      <c r="K48" s="42">
        <f>SUM(V43:V50)</f>
        <v>222.63</v>
      </c>
      <c r="L48" s="43"/>
    </row>
    <row r="49" spans="1:26" ht="14.25">
      <c r="A49" s="23"/>
      <c r="B49" s="56"/>
      <c r="C49" s="56" t="s">
        <v>328</v>
      </c>
      <c r="D49" s="39" t="s">
        <v>329</v>
      </c>
      <c r="E49" s="10">
        <f>Source!AQ24</f>
        <v>1.2</v>
      </c>
      <c r="F49" s="40"/>
      <c r="G49" s="41" t="str">
        <f>Source!DI24</f>
        <v/>
      </c>
      <c r="H49" s="42"/>
      <c r="I49" s="41"/>
      <c r="J49" s="41"/>
      <c r="K49" s="42"/>
      <c r="L49" s="45">
        <f>Source!U24</f>
        <v>1.2</v>
      </c>
    </row>
    <row r="50" spans="1:26" ht="42.75">
      <c r="A50" s="57" t="str">
        <f>Source!E25</f>
        <v>1,1</v>
      </c>
      <c r="B50" s="58" t="str">
        <f>Source!F25</f>
        <v>цена пастовщика</v>
      </c>
      <c r="C50" s="58" t="str">
        <f>Source!G25</f>
        <v>РИП 12 исп 16 блок питания</v>
      </c>
      <c r="D50" s="46" t="str">
        <f>Source!H25</f>
        <v/>
      </c>
      <c r="E50" s="47">
        <f>Source!I25</f>
        <v>1</v>
      </c>
      <c r="F50" s="48">
        <f>Source!AL25+Source!AM25+Source!AO25</f>
        <v>3822.33</v>
      </c>
      <c r="G50" s="49" t="s">
        <v>3</v>
      </c>
      <c r="H50" s="50">
        <f>ROUND(Source!AC25*Source!I25, 2)+ROUND(Source!AD25*Source!I25, 2)+ROUND(Source!AF25*Source!I25, 2)</f>
        <v>3822.33</v>
      </c>
      <c r="I50" s="51"/>
      <c r="J50" s="51">
        <f>IF(Source!BC25&lt;&gt; 0, Source!BC25, 1)</f>
        <v>1</v>
      </c>
      <c r="K50" s="50">
        <f>Source!O25</f>
        <v>3822.33</v>
      </c>
      <c r="L50" s="52"/>
      <c r="S50">
        <f>ROUND((Source!FX25/100)*((ROUND(Source!AF25*Source!I25, 2)+ROUND(Source!AE25*Source!I25, 2))), 2)</f>
        <v>0</v>
      </c>
      <c r="T50">
        <f>Source!X25</f>
        <v>0</v>
      </c>
      <c r="U50">
        <f>ROUND((Source!FY25/100)*((ROUND(Source!AF25*Source!I25, 2)+ROUND(Source!AE25*Source!I25, 2))), 2)</f>
        <v>0</v>
      </c>
      <c r="V50">
        <f>Source!Y25</f>
        <v>0</v>
      </c>
      <c r="W50">
        <f>IF(Source!BI25&lt;=1,H50, 0)</f>
        <v>0</v>
      </c>
      <c r="X50">
        <f>IF(Source!BI25=2,H50, 0)</f>
        <v>3822.33</v>
      </c>
      <c r="Y50">
        <f>IF(Source!BI25=3,H50, 0)</f>
        <v>0</v>
      </c>
      <c r="Z50">
        <f>IF(Source!BI25=4,H50, 0)</f>
        <v>0</v>
      </c>
    </row>
    <row r="51" spans="1:26" ht="15">
      <c r="G51" s="63">
        <f>H44+H45+H46+H47+H48+SUM(H50:H50)</f>
        <v>3855.27</v>
      </c>
      <c r="H51" s="63"/>
      <c r="J51" s="63">
        <f>K44+K45+K46+K47+K48+SUM(K50:K50)</f>
        <v>4735.1099999999997</v>
      </c>
      <c r="K51" s="63"/>
      <c r="L51" s="53">
        <f>Source!U24</f>
        <v>1.2</v>
      </c>
      <c r="O51" s="31">
        <f>G51</f>
        <v>3855.27</v>
      </c>
      <c r="P51" s="31">
        <f>J51</f>
        <v>4735.1099999999997</v>
      </c>
      <c r="Q51" s="31">
        <f>L51</f>
        <v>1.2</v>
      </c>
      <c r="W51">
        <f>IF(Source!BI24&lt;=1,H44+H45+H46+H47+H48, 0)</f>
        <v>0</v>
      </c>
      <c r="X51">
        <f>IF(Source!BI24=2,H44+H45+H46+H47+H48, 0)</f>
        <v>32.94</v>
      </c>
      <c r="Y51">
        <f>IF(Source!BI24=3,H44+H45+H46+H47+H48, 0)</f>
        <v>0</v>
      </c>
      <c r="Z51">
        <f>IF(Source!BI24=4,H44+H45+H46+H47+H48, 0)</f>
        <v>0</v>
      </c>
    </row>
    <row r="52" spans="1:26" ht="42.75">
      <c r="A52" s="23" t="str">
        <f>Source!E26</f>
        <v>4</v>
      </c>
      <c r="B52" s="56" t="str">
        <f>Source!F26</f>
        <v>м10-08-002-4</v>
      </c>
      <c r="C52" s="56" t="str">
        <f>Source!G26</f>
        <v>Извещатель ОС автоматический контактный, магнитоконтактный на открывание окон, дверей</v>
      </c>
      <c r="D52" s="39" t="str">
        <f>Source!H26</f>
        <v>1  ШТ.</v>
      </c>
      <c r="E52" s="10">
        <f>Source!I26</f>
        <v>10</v>
      </c>
      <c r="F52" s="40">
        <f>Source!AL26+Source!AM26+Source!AO26</f>
        <v>9.9600000000000009</v>
      </c>
      <c r="G52" s="41"/>
      <c r="H52" s="42"/>
      <c r="I52" s="41" t="str">
        <f>Source!BO26</f>
        <v>м10-08-002-4</v>
      </c>
      <c r="J52" s="41"/>
      <c r="K52" s="42"/>
      <c r="L52" s="43"/>
      <c r="S52">
        <f>ROUND((Source!FX26/100)*((ROUND(Source!AF26*Source!I26, 2)+ROUND(Source!AE26*Source!I26, 2))), 2)</f>
        <v>64.64</v>
      </c>
      <c r="T52">
        <f>Source!X26</f>
        <v>1957.94</v>
      </c>
      <c r="U52">
        <f>ROUND((Source!FY26/100)*((ROUND(Source!AF26*Source!I26, 2)+ROUND(Source!AE26*Source!I26, 2))), 2)</f>
        <v>48.48</v>
      </c>
      <c r="V52">
        <f>Source!Y26</f>
        <v>1468.46</v>
      </c>
    </row>
    <row r="53" spans="1:26" ht="14.25">
      <c r="A53" s="23"/>
      <c r="B53" s="56"/>
      <c r="C53" s="56" t="s">
        <v>323</v>
      </c>
      <c r="D53" s="39"/>
      <c r="E53" s="10"/>
      <c r="F53" s="40">
        <f>Source!AO26</f>
        <v>8.08</v>
      </c>
      <c r="G53" s="41" t="str">
        <f>Source!DG26</f>
        <v/>
      </c>
      <c r="H53" s="42">
        <f>ROUND(Source!AF26*Source!I26, 2)</f>
        <v>80.8</v>
      </c>
      <c r="I53" s="41"/>
      <c r="J53" s="41">
        <f>IF(Source!BA26&lt;&gt; 0, Source!BA26, 1)</f>
        <v>30.29</v>
      </c>
      <c r="K53" s="42">
        <f>Source!S26</f>
        <v>2447.4299999999998</v>
      </c>
      <c r="L53" s="43"/>
      <c r="R53">
        <f>H53</f>
        <v>80.8</v>
      </c>
    </row>
    <row r="54" spans="1:26" ht="14.25">
      <c r="A54" s="23"/>
      <c r="B54" s="56"/>
      <c r="C54" s="56" t="s">
        <v>324</v>
      </c>
      <c r="D54" s="39"/>
      <c r="E54" s="10"/>
      <c r="F54" s="40">
        <f>Source!AL26</f>
        <v>1.88</v>
      </c>
      <c r="G54" s="41" t="str">
        <f>Source!DD26</f>
        <v/>
      </c>
      <c r="H54" s="42">
        <f>ROUND(Source!AC26*Source!I26, 2)</f>
        <v>18.8</v>
      </c>
      <c r="I54" s="41"/>
      <c r="J54" s="41">
        <f>IF(Source!BC26&lt;&gt; 0, Source!BC26, 1)</f>
        <v>9.6</v>
      </c>
      <c r="K54" s="42">
        <f>Source!P26</f>
        <v>180.48</v>
      </c>
      <c r="L54" s="43"/>
    </row>
    <row r="55" spans="1:26" ht="14.25">
      <c r="A55" s="23"/>
      <c r="B55" s="56"/>
      <c r="C55" s="56" t="s">
        <v>325</v>
      </c>
      <c r="D55" s="39" t="s">
        <v>326</v>
      </c>
      <c r="E55" s="10">
        <f>Source!BZ26</f>
        <v>80</v>
      </c>
      <c r="F55" s="59"/>
      <c r="G55" s="41"/>
      <c r="H55" s="42">
        <f>SUM(S52:S57)</f>
        <v>64.64</v>
      </c>
      <c r="I55" s="44"/>
      <c r="J55" s="38">
        <f>Source!AT26</f>
        <v>80</v>
      </c>
      <c r="K55" s="42">
        <f>SUM(T52:T57)</f>
        <v>1957.94</v>
      </c>
      <c r="L55" s="43"/>
    </row>
    <row r="56" spans="1:26" ht="14.25">
      <c r="A56" s="23"/>
      <c r="B56" s="56"/>
      <c r="C56" s="56" t="s">
        <v>327</v>
      </c>
      <c r="D56" s="39" t="s">
        <v>326</v>
      </c>
      <c r="E56" s="10">
        <f>Source!CA26</f>
        <v>60</v>
      </c>
      <c r="F56" s="59"/>
      <c r="G56" s="41"/>
      <c r="H56" s="42">
        <f>SUM(U52:U57)</f>
        <v>48.48</v>
      </c>
      <c r="I56" s="44"/>
      <c r="J56" s="38">
        <f>Source!AU26</f>
        <v>60</v>
      </c>
      <c r="K56" s="42">
        <f>SUM(V52:V57)</f>
        <v>1468.46</v>
      </c>
      <c r="L56" s="43"/>
    </row>
    <row r="57" spans="1:26" ht="14.25">
      <c r="A57" s="57"/>
      <c r="B57" s="58"/>
      <c r="C57" s="58" t="s">
        <v>328</v>
      </c>
      <c r="D57" s="46" t="s">
        <v>329</v>
      </c>
      <c r="E57" s="47">
        <f>Source!AQ26</f>
        <v>0.84</v>
      </c>
      <c r="F57" s="48"/>
      <c r="G57" s="51" t="str">
        <f>Source!DI26</f>
        <v/>
      </c>
      <c r="H57" s="50"/>
      <c r="I57" s="51"/>
      <c r="J57" s="51"/>
      <c r="K57" s="50"/>
      <c r="L57" s="54">
        <f>Source!U26</f>
        <v>8.4</v>
      </c>
    </row>
    <row r="58" spans="1:26" ht="15">
      <c r="G58" s="63">
        <f>H53+H54+H55+H56</f>
        <v>212.72</v>
      </c>
      <c r="H58" s="63"/>
      <c r="J58" s="63">
        <f>K53+K54+K55+K56</f>
        <v>6054.31</v>
      </c>
      <c r="K58" s="63"/>
      <c r="L58" s="53">
        <f>Source!U26</f>
        <v>8.4</v>
      </c>
      <c r="O58" s="31">
        <f>G58</f>
        <v>212.72</v>
      </c>
      <c r="P58" s="31">
        <f>J58</f>
        <v>6054.31</v>
      </c>
      <c r="Q58" s="31">
        <f>L58</f>
        <v>8.4</v>
      </c>
      <c r="W58">
        <f>IF(Source!BI26&lt;=1,H53+H54+H55+H56, 0)</f>
        <v>0</v>
      </c>
      <c r="X58">
        <f>IF(Source!BI26=2,H53+H54+H55+H56, 0)</f>
        <v>212.72</v>
      </c>
      <c r="Y58">
        <f>IF(Source!BI26=3,H53+H54+H55+H56, 0)</f>
        <v>0</v>
      </c>
      <c r="Z58">
        <f>IF(Source!BI26=4,H53+H54+H55+H56, 0)</f>
        <v>0</v>
      </c>
    </row>
    <row r="59" spans="1:26" ht="28.5">
      <c r="A59" s="23" t="str">
        <f>Source!E27</f>
        <v>5</v>
      </c>
      <c r="B59" s="56" t="str">
        <f>Source!F27</f>
        <v>509-1902</v>
      </c>
      <c r="C59" s="56" t="str">
        <f>Source!G27</f>
        <v>Извещатель охранный контактный ИО-102-4 (СМК-4)</v>
      </c>
      <c r="D59" s="39" t="str">
        <f>Source!H27</f>
        <v>шт.</v>
      </c>
      <c r="E59" s="10">
        <f>Source!I27</f>
        <v>10</v>
      </c>
      <c r="F59" s="40">
        <f>Source!AL27+Source!AM27+Source!AO27</f>
        <v>17.93</v>
      </c>
      <c r="G59" s="41"/>
      <c r="H59" s="42"/>
      <c r="I59" s="41" t="str">
        <f>Source!BO27</f>
        <v>509-1902</v>
      </c>
      <c r="J59" s="41"/>
      <c r="K59" s="42"/>
      <c r="L59" s="43"/>
      <c r="S59">
        <f>ROUND((Source!FX27/100)*((ROUND(Source!AF27*Source!I27, 2)+ROUND(Source!AE27*Source!I27, 2))), 2)</f>
        <v>0</v>
      </c>
      <c r="T59">
        <f>Source!X27</f>
        <v>0</v>
      </c>
      <c r="U59">
        <f>ROUND((Source!FY27/100)*((ROUND(Source!AF27*Source!I27, 2)+ROUND(Source!AE27*Source!I27, 2))), 2)</f>
        <v>0</v>
      </c>
      <c r="V59">
        <f>Source!Y27</f>
        <v>0</v>
      </c>
    </row>
    <row r="60" spans="1:26" ht="14.25">
      <c r="A60" s="57"/>
      <c r="B60" s="58"/>
      <c r="C60" s="58" t="s">
        <v>324</v>
      </c>
      <c r="D60" s="46"/>
      <c r="E60" s="47"/>
      <c r="F60" s="48">
        <f>Source!AL27</f>
        <v>17.93</v>
      </c>
      <c r="G60" s="51" t="str">
        <f>Source!DD27</f>
        <v/>
      </c>
      <c r="H60" s="50">
        <f>ROUND(Source!AC27*Source!I27, 2)</f>
        <v>179.3</v>
      </c>
      <c r="I60" s="51"/>
      <c r="J60" s="51">
        <f>IF(Source!BC27&lt;&gt; 0, Source!BC27, 1)</f>
        <v>4.49</v>
      </c>
      <c r="K60" s="50">
        <f>Source!P27</f>
        <v>805.06</v>
      </c>
      <c r="L60" s="52"/>
    </row>
    <row r="61" spans="1:26" ht="15">
      <c r="G61" s="63">
        <f>H60</f>
        <v>179.3</v>
      </c>
      <c r="H61" s="63"/>
      <c r="J61" s="63">
        <f>K60</f>
        <v>805.06</v>
      </c>
      <c r="K61" s="63"/>
      <c r="L61" s="53">
        <f>Source!U27</f>
        <v>0</v>
      </c>
      <c r="O61" s="31">
        <f>G61</f>
        <v>179.3</v>
      </c>
      <c r="P61" s="31">
        <f>J61</f>
        <v>805.06</v>
      </c>
      <c r="Q61" s="31">
        <f>L61</f>
        <v>0</v>
      </c>
      <c r="W61">
        <f>IF(Source!BI27&lt;=1,H60, 0)</f>
        <v>0</v>
      </c>
      <c r="X61">
        <f>IF(Source!BI27=2,H60, 0)</f>
        <v>179.3</v>
      </c>
      <c r="Y61">
        <f>IF(Source!BI27=3,H60, 0)</f>
        <v>0</v>
      </c>
      <c r="Z61">
        <f>IF(Source!BI27=4,H60, 0)</f>
        <v>0</v>
      </c>
    </row>
    <row r="62" spans="1:26" ht="28.5">
      <c r="A62" s="23" t="str">
        <f>Source!E28</f>
        <v>7</v>
      </c>
      <c r="B62" s="56" t="str">
        <f>Source!F28</f>
        <v>м08-02-390-1</v>
      </c>
      <c r="C62" s="56" t="str">
        <f>Source!G28</f>
        <v>Короба пластмассовые шириной до 40 мм</v>
      </c>
      <c r="D62" s="39" t="str">
        <f>Source!H28</f>
        <v>100 м</v>
      </c>
      <c r="E62" s="10">
        <f>Source!I28</f>
        <v>1</v>
      </c>
      <c r="F62" s="40">
        <f>Source!AL28+Source!AM28+Source!AO28</f>
        <v>237.45</v>
      </c>
      <c r="G62" s="41"/>
      <c r="H62" s="42"/>
      <c r="I62" s="41" t="str">
        <f>Source!BO28</f>
        <v>м08-02-390-1</v>
      </c>
      <c r="J62" s="41"/>
      <c r="K62" s="42"/>
      <c r="L62" s="43"/>
      <c r="S62">
        <f>ROUND((Source!FX28/100)*((ROUND(Source!AF28*Source!I28, 2)+ROUND(Source!AE28*Source!I28, 2))), 2)</f>
        <v>147.31</v>
      </c>
      <c r="T62">
        <f>Source!X28</f>
        <v>4461.93</v>
      </c>
      <c r="U62">
        <f>ROUND((Source!FY28/100)*((ROUND(Source!AF28*Source!I28, 2)+ROUND(Source!AE28*Source!I28, 2))), 2)</f>
        <v>100.79</v>
      </c>
      <c r="V62">
        <f>Source!Y28</f>
        <v>3052.9</v>
      </c>
    </row>
    <row r="63" spans="1:26">
      <c r="C63" s="33" t="str">
        <f>"Объем: "&amp;Source!I28&amp;"=100/"&amp;"100"</f>
        <v>Объем: 1=100/100</v>
      </c>
    </row>
    <row r="64" spans="1:26" ht="14.25">
      <c r="A64" s="23"/>
      <c r="B64" s="56"/>
      <c r="C64" s="56" t="s">
        <v>323</v>
      </c>
      <c r="D64" s="39"/>
      <c r="E64" s="10"/>
      <c r="F64" s="40">
        <f>Source!AO28</f>
        <v>154.91999999999999</v>
      </c>
      <c r="G64" s="41" t="str">
        <f>Source!DG28</f>
        <v/>
      </c>
      <c r="H64" s="42">
        <f>ROUND(Source!AF28*Source!I28, 2)</f>
        <v>154.91999999999999</v>
      </c>
      <c r="I64" s="41"/>
      <c r="J64" s="41">
        <f>IF(Source!BA28&lt;&gt; 0, Source!BA28, 1)</f>
        <v>30.29</v>
      </c>
      <c r="K64" s="42">
        <f>Source!S28</f>
        <v>4692.53</v>
      </c>
      <c r="L64" s="43"/>
      <c r="R64">
        <f>H64</f>
        <v>154.91999999999999</v>
      </c>
    </row>
    <row r="65" spans="1:26" ht="14.25">
      <c r="A65" s="23"/>
      <c r="B65" s="56"/>
      <c r="C65" s="56" t="s">
        <v>106</v>
      </c>
      <c r="D65" s="39"/>
      <c r="E65" s="10"/>
      <c r="F65" s="40">
        <f>Source!AM28</f>
        <v>31.2</v>
      </c>
      <c r="G65" s="41" t="str">
        <f>Source!DE28</f>
        <v/>
      </c>
      <c r="H65" s="42">
        <f>ROUND(Source!AD28*Source!I28, 2)</f>
        <v>31.2</v>
      </c>
      <c r="I65" s="41"/>
      <c r="J65" s="41">
        <f>IF(Source!BB28&lt;&gt; 0, Source!BB28, 1)</f>
        <v>8.7899999999999991</v>
      </c>
      <c r="K65" s="42">
        <f>Source!Q28</f>
        <v>274.25</v>
      </c>
      <c r="L65" s="43"/>
    </row>
    <row r="66" spans="1:26" ht="14.25">
      <c r="A66" s="23"/>
      <c r="B66" s="56"/>
      <c r="C66" s="56" t="s">
        <v>330</v>
      </c>
      <c r="D66" s="39"/>
      <c r="E66" s="10"/>
      <c r="F66" s="40">
        <f>Source!AN28</f>
        <v>0.14000000000000001</v>
      </c>
      <c r="G66" s="41" t="str">
        <f>Source!DF28</f>
        <v/>
      </c>
      <c r="H66" s="55">
        <f>ROUND(Source!AE28*Source!I28, 2)</f>
        <v>0.14000000000000001</v>
      </c>
      <c r="I66" s="41"/>
      <c r="J66" s="41">
        <f>IF(Source!BS28&lt;&gt; 0, Source!BS28, 1)</f>
        <v>30.29</v>
      </c>
      <c r="K66" s="55">
        <f>Source!R28</f>
        <v>4.24</v>
      </c>
      <c r="L66" s="43"/>
      <c r="R66">
        <f>H66</f>
        <v>0.14000000000000001</v>
      </c>
    </row>
    <row r="67" spans="1:26" ht="14.25">
      <c r="A67" s="23"/>
      <c r="B67" s="56"/>
      <c r="C67" s="56" t="s">
        <v>324</v>
      </c>
      <c r="D67" s="39"/>
      <c r="E67" s="10"/>
      <c r="F67" s="40">
        <f>Source!AL28</f>
        <v>51.33</v>
      </c>
      <c r="G67" s="41" t="str">
        <f>Source!DD28</f>
        <v/>
      </c>
      <c r="H67" s="42">
        <f>ROUND(Source!AC28*Source!I28, 2)</f>
        <v>51.33</v>
      </c>
      <c r="I67" s="41"/>
      <c r="J67" s="41">
        <f>IF(Source!BC28&lt;&gt; 0, Source!BC28, 1)</f>
        <v>4.42</v>
      </c>
      <c r="K67" s="42">
        <f>Source!P28</f>
        <v>226.88</v>
      </c>
      <c r="L67" s="43"/>
    </row>
    <row r="68" spans="1:26" ht="14.25">
      <c r="A68" s="23"/>
      <c r="B68" s="56"/>
      <c r="C68" s="56" t="s">
        <v>325</v>
      </c>
      <c r="D68" s="39" t="s">
        <v>326</v>
      </c>
      <c r="E68" s="10">
        <f>Source!BZ28</f>
        <v>95</v>
      </c>
      <c r="F68" s="59"/>
      <c r="G68" s="41"/>
      <c r="H68" s="42">
        <f>SUM(S62:S70)</f>
        <v>147.31</v>
      </c>
      <c r="I68" s="44"/>
      <c r="J68" s="38">
        <f>Source!AT28</f>
        <v>95</v>
      </c>
      <c r="K68" s="42">
        <f>SUM(T62:T70)</f>
        <v>4461.93</v>
      </c>
      <c r="L68" s="43"/>
    </row>
    <row r="69" spans="1:26" ht="14.25">
      <c r="A69" s="23"/>
      <c r="B69" s="56"/>
      <c r="C69" s="56" t="s">
        <v>327</v>
      </c>
      <c r="D69" s="39" t="s">
        <v>326</v>
      </c>
      <c r="E69" s="10">
        <f>Source!CA28</f>
        <v>65</v>
      </c>
      <c r="F69" s="59"/>
      <c r="G69" s="41"/>
      <c r="H69" s="42">
        <f>SUM(U62:U70)</f>
        <v>100.79</v>
      </c>
      <c r="I69" s="44"/>
      <c r="J69" s="38">
        <f>Source!AU28</f>
        <v>65</v>
      </c>
      <c r="K69" s="42">
        <f>SUM(V62:V70)</f>
        <v>3052.9</v>
      </c>
      <c r="L69" s="43"/>
    </row>
    <row r="70" spans="1:26" ht="14.25">
      <c r="A70" s="57"/>
      <c r="B70" s="58"/>
      <c r="C70" s="58" t="s">
        <v>328</v>
      </c>
      <c r="D70" s="46" t="s">
        <v>329</v>
      </c>
      <c r="E70" s="47">
        <f>Source!AQ28</f>
        <v>16.29</v>
      </c>
      <c r="F70" s="48"/>
      <c r="G70" s="51" t="str">
        <f>Source!DI28</f>
        <v/>
      </c>
      <c r="H70" s="50"/>
      <c r="I70" s="51"/>
      <c r="J70" s="51"/>
      <c r="K70" s="50"/>
      <c r="L70" s="54">
        <f>Source!U28</f>
        <v>16.29</v>
      </c>
    </row>
    <row r="71" spans="1:26" ht="15">
      <c r="G71" s="63">
        <f>H64+H65+H67+H68+H69</f>
        <v>485.55</v>
      </c>
      <c r="H71" s="63"/>
      <c r="J71" s="63">
        <f>K64+K65+K67+K68+K69</f>
        <v>12708.49</v>
      </c>
      <c r="K71" s="63"/>
      <c r="L71" s="53">
        <f>Source!U28</f>
        <v>16.29</v>
      </c>
      <c r="O71" s="31">
        <f>G71</f>
        <v>485.55</v>
      </c>
      <c r="P71" s="31">
        <f>J71</f>
        <v>12708.49</v>
      </c>
      <c r="Q71" s="31">
        <f>L71</f>
        <v>16.29</v>
      </c>
      <c r="W71">
        <f>IF(Source!BI28&lt;=1,H64+H65+H67+H68+H69, 0)</f>
        <v>0</v>
      </c>
      <c r="X71">
        <f>IF(Source!BI28=2,H64+H65+H67+H68+H69, 0)</f>
        <v>485.55</v>
      </c>
      <c r="Y71">
        <f>IF(Source!BI28=3,H64+H65+H67+H68+H69, 0)</f>
        <v>0</v>
      </c>
      <c r="Z71">
        <f>IF(Source!BI28=4,H64+H65+H67+H68+H69, 0)</f>
        <v>0</v>
      </c>
    </row>
    <row r="72" spans="1:26" ht="28.5">
      <c r="A72" s="23" t="str">
        <f>Source!E29</f>
        <v>8</v>
      </c>
      <c r="B72" s="56" t="str">
        <f>Source!F29</f>
        <v>м08-02-398-1</v>
      </c>
      <c r="C72" s="56" t="str">
        <f>Source!G29</f>
        <v>Провод в лотках, сечением до 6 мм2</v>
      </c>
      <c r="D72" s="39" t="str">
        <f>Source!H29</f>
        <v>100 м</v>
      </c>
      <c r="E72" s="10">
        <f>Source!I29</f>
        <v>1</v>
      </c>
      <c r="F72" s="40">
        <f>Source!AL29+Source!AM29+Source!AO29</f>
        <v>24.42</v>
      </c>
      <c r="G72" s="41"/>
      <c r="H72" s="42"/>
      <c r="I72" s="41" t="str">
        <f>Source!BO29</f>
        <v>м08-02-398-1</v>
      </c>
      <c r="J72" s="41"/>
      <c r="K72" s="42"/>
      <c r="L72" s="43"/>
      <c r="S72">
        <f>ROUND((Source!FX29/100)*((ROUND(Source!AF29*Source!I29, 2)+ROUND(Source!AE29*Source!I29, 2))), 2)</f>
        <v>9.33</v>
      </c>
      <c r="T72">
        <f>Source!X29</f>
        <v>282.58</v>
      </c>
      <c r="U72">
        <f>ROUND((Source!FY29/100)*((ROUND(Source!AF29*Source!I29, 2)+ROUND(Source!AE29*Source!I29, 2))), 2)</f>
        <v>6.38</v>
      </c>
      <c r="V72">
        <f>Source!Y29</f>
        <v>193.34</v>
      </c>
    </row>
    <row r="73" spans="1:26">
      <c r="C73" s="33" t="str">
        <f>"Объем: "&amp;Source!I29&amp;"=100/"&amp;"100"</f>
        <v>Объем: 1=100/100</v>
      </c>
    </row>
    <row r="74" spans="1:26" ht="14.25">
      <c r="A74" s="23"/>
      <c r="B74" s="56"/>
      <c r="C74" s="56" t="s">
        <v>323</v>
      </c>
      <c r="D74" s="39"/>
      <c r="E74" s="10"/>
      <c r="F74" s="40">
        <f>Source!AO29</f>
        <v>9.68</v>
      </c>
      <c r="G74" s="41" t="str">
        <f>Source!DG29</f>
        <v/>
      </c>
      <c r="H74" s="42">
        <f>ROUND(Source!AF29*Source!I29, 2)</f>
        <v>9.68</v>
      </c>
      <c r="I74" s="41"/>
      <c r="J74" s="41">
        <f>IF(Source!BA29&lt;&gt; 0, Source!BA29, 1)</f>
        <v>30.29</v>
      </c>
      <c r="K74" s="42">
        <f>Source!S29</f>
        <v>293.20999999999998</v>
      </c>
      <c r="L74" s="43"/>
      <c r="R74">
        <f>H74</f>
        <v>9.68</v>
      </c>
    </row>
    <row r="75" spans="1:26" ht="14.25">
      <c r="A75" s="23"/>
      <c r="B75" s="56"/>
      <c r="C75" s="56" t="s">
        <v>106</v>
      </c>
      <c r="D75" s="39"/>
      <c r="E75" s="10"/>
      <c r="F75" s="40">
        <f>Source!AM29</f>
        <v>2.2200000000000002</v>
      </c>
      <c r="G75" s="41" t="str">
        <f>Source!DE29</f>
        <v/>
      </c>
      <c r="H75" s="42">
        <f>ROUND(Source!AD29*Source!I29, 2)</f>
        <v>2.2200000000000002</v>
      </c>
      <c r="I75" s="41"/>
      <c r="J75" s="41">
        <f>IF(Source!BB29&lt;&gt; 0, Source!BB29, 1)</f>
        <v>8.77</v>
      </c>
      <c r="K75" s="42">
        <f>Source!Q29</f>
        <v>19.47</v>
      </c>
      <c r="L75" s="43"/>
    </row>
    <row r="76" spans="1:26" ht="14.25">
      <c r="A76" s="23"/>
      <c r="B76" s="56"/>
      <c r="C76" s="56" t="s">
        <v>330</v>
      </c>
      <c r="D76" s="39"/>
      <c r="E76" s="10"/>
      <c r="F76" s="40">
        <f>Source!AN29</f>
        <v>0.14000000000000001</v>
      </c>
      <c r="G76" s="41" t="str">
        <f>Source!DF29</f>
        <v/>
      </c>
      <c r="H76" s="55">
        <f>ROUND(Source!AE29*Source!I29, 2)</f>
        <v>0.14000000000000001</v>
      </c>
      <c r="I76" s="41"/>
      <c r="J76" s="41">
        <f>IF(Source!BS29&lt;&gt; 0, Source!BS29, 1)</f>
        <v>30.29</v>
      </c>
      <c r="K76" s="55">
        <f>Source!R29</f>
        <v>4.24</v>
      </c>
      <c r="L76" s="43"/>
      <c r="R76">
        <f>H76</f>
        <v>0.14000000000000001</v>
      </c>
    </row>
    <row r="77" spans="1:26" ht="14.25">
      <c r="A77" s="23"/>
      <c r="B77" s="56"/>
      <c r="C77" s="56" t="s">
        <v>324</v>
      </c>
      <c r="D77" s="39"/>
      <c r="E77" s="10"/>
      <c r="F77" s="40">
        <f>Source!AL29</f>
        <v>12.52</v>
      </c>
      <c r="G77" s="41" t="str">
        <f>Source!DD29</f>
        <v/>
      </c>
      <c r="H77" s="42">
        <f>ROUND(Source!AC29*Source!I29, 2)</f>
        <v>12.52</v>
      </c>
      <c r="I77" s="41"/>
      <c r="J77" s="41">
        <f>IF(Source!BC29&lt;&gt; 0, Source!BC29, 1)</f>
        <v>4.26</v>
      </c>
      <c r="K77" s="42">
        <f>Source!P29</f>
        <v>53.34</v>
      </c>
      <c r="L77" s="43"/>
    </row>
    <row r="78" spans="1:26" ht="14.25">
      <c r="A78" s="23"/>
      <c r="B78" s="56"/>
      <c r="C78" s="56" t="s">
        <v>325</v>
      </c>
      <c r="D78" s="39" t="s">
        <v>326</v>
      </c>
      <c r="E78" s="10">
        <f>Source!BZ29</f>
        <v>95</v>
      </c>
      <c r="F78" s="59"/>
      <c r="G78" s="41"/>
      <c r="H78" s="42">
        <f>SUM(S72:S80)</f>
        <v>9.33</v>
      </c>
      <c r="I78" s="44"/>
      <c r="J78" s="38">
        <f>Source!AT29</f>
        <v>95</v>
      </c>
      <c r="K78" s="42">
        <f>SUM(T72:T80)</f>
        <v>282.58</v>
      </c>
      <c r="L78" s="43"/>
    </row>
    <row r="79" spans="1:26" ht="14.25">
      <c r="A79" s="23"/>
      <c r="B79" s="56"/>
      <c r="C79" s="56" t="s">
        <v>327</v>
      </c>
      <c r="D79" s="39" t="s">
        <v>326</v>
      </c>
      <c r="E79" s="10">
        <f>Source!CA29</f>
        <v>65</v>
      </c>
      <c r="F79" s="59"/>
      <c r="G79" s="41"/>
      <c r="H79" s="42">
        <f>SUM(U72:U80)</f>
        <v>6.38</v>
      </c>
      <c r="I79" s="44"/>
      <c r="J79" s="38">
        <f>Source!AU29</f>
        <v>65</v>
      </c>
      <c r="K79" s="42">
        <f>SUM(V72:V80)</f>
        <v>193.34</v>
      </c>
      <c r="L79" s="43"/>
    </row>
    <row r="80" spans="1:26" ht="14.25">
      <c r="A80" s="57"/>
      <c r="B80" s="58"/>
      <c r="C80" s="58" t="s">
        <v>328</v>
      </c>
      <c r="D80" s="46" t="s">
        <v>329</v>
      </c>
      <c r="E80" s="47">
        <f>Source!AQ29</f>
        <v>1.03</v>
      </c>
      <c r="F80" s="48"/>
      <c r="G80" s="51" t="str">
        <f>Source!DI29</f>
        <v/>
      </c>
      <c r="H80" s="50"/>
      <c r="I80" s="51"/>
      <c r="J80" s="51"/>
      <c r="K80" s="50"/>
      <c r="L80" s="54">
        <f>Source!U29</f>
        <v>1.03</v>
      </c>
    </row>
    <row r="81" spans="1:26" ht="15">
      <c r="G81" s="63">
        <f>H74+H75+H77+H78+H79</f>
        <v>40.130000000000003</v>
      </c>
      <c r="H81" s="63"/>
      <c r="J81" s="63">
        <f>K74+K75+K77+K78+K79</f>
        <v>841.93999999999994</v>
      </c>
      <c r="K81" s="63"/>
      <c r="L81" s="53">
        <f>Source!U29</f>
        <v>1.03</v>
      </c>
      <c r="O81" s="31">
        <f>G81</f>
        <v>40.130000000000003</v>
      </c>
      <c r="P81" s="31">
        <f>J81</f>
        <v>841.93999999999994</v>
      </c>
      <c r="Q81" s="31">
        <f>L81</f>
        <v>1.03</v>
      </c>
      <c r="W81">
        <f>IF(Source!BI29&lt;=1,H74+H75+H77+H78+H79, 0)</f>
        <v>0</v>
      </c>
      <c r="X81">
        <f>IF(Source!BI29=2,H74+H75+H77+H78+H79, 0)</f>
        <v>40.130000000000003</v>
      </c>
      <c r="Y81">
        <f>IF(Source!BI29=3,H74+H75+H77+H78+H79, 0)</f>
        <v>0</v>
      </c>
      <c r="Z81">
        <f>IF(Source!BI29=4,H74+H75+H77+H78+H79, 0)</f>
        <v>0</v>
      </c>
    </row>
    <row r="82" spans="1:26" ht="57">
      <c r="A82" s="23" t="str">
        <f>Source!E30</f>
        <v>9</v>
      </c>
      <c r="B82" s="56" t="str">
        <f>Source!F30</f>
        <v>м10-08-002-1</v>
      </c>
      <c r="C82" s="56" t="str">
        <f>Source!G30</f>
        <v>Извещатель ПС автоматический тепловой электро-контактный, магнитоконтактный в нормальном исполнении</v>
      </c>
      <c r="D82" s="39" t="str">
        <f>Source!H30</f>
        <v>1  ШТ.</v>
      </c>
      <c r="E82" s="10">
        <f>Source!I30</f>
        <v>15</v>
      </c>
      <c r="F82" s="40">
        <f>Source!AL30+Source!AM30+Source!AO30</f>
        <v>9.48</v>
      </c>
      <c r="G82" s="41"/>
      <c r="H82" s="42"/>
      <c r="I82" s="41" t="str">
        <f>Source!BO30</f>
        <v>м10-08-002-1</v>
      </c>
      <c r="J82" s="41"/>
      <c r="K82" s="42"/>
      <c r="L82" s="43"/>
      <c r="S82">
        <f>ROUND((Source!FX30/100)*((ROUND(Source!AF30*Source!I30, 2)+ROUND(Source!AE30*Source!I30, 2))), 2)</f>
        <v>96.96</v>
      </c>
      <c r="T82">
        <f>Source!X30</f>
        <v>2936.92</v>
      </c>
      <c r="U82">
        <f>ROUND((Source!FY30/100)*((ROUND(Source!AF30*Source!I30, 2)+ROUND(Source!AE30*Source!I30, 2))), 2)</f>
        <v>72.72</v>
      </c>
      <c r="V82">
        <f>Source!Y30</f>
        <v>2202.69</v>
      </c>
    </row>
    <row r="83" spans="1:26" ht="14.25">
      <c r="A83" s="23"/>
      <c r="B83" s="56"/>
      <c r="C83" s="56" t="s">
        <v>323</v>
      </c>
      <c r="D83" s="39"/>
      <c r="E83" s="10"/>
      <c r="F83" s="40">
        <f>Source!AO30</f>
        <v>8.08</v>
      </c>
      <c r="G83" s="41" t="str">
        <f>Source!DG30</f>
        <v/>
      </c>
      <c r="H83" s="42">
        <f>ROUND(Source!AF30*Source!I30, 2)</f>
        <v>121.2</v>
      </c>
      <c r="I83" s="41"/>
      <c r="J83" s="41">
        <f>IF(Source!BA30&lt;&gt; 0, Source!BA30, 1)</f>
        <v>30.29</v>
      </c>
      <c r="K83" s="42">
        <f>Source!S30</f>
        <v>3671.15</v>
      </c>
      <c r="L83" s="43"/>
      <c r="R83">
        <f>H83</f>
        <v>121.2</v>
      </c>
    </row>
    <row r="84" spans="1:26" ht="14.25">
      <c r="A84" s="23"/>
      <c r="B84" s="56"/>
      <c r="C84" s="56" t="s">
        <v>106</v>
      </c>
      <c r="D84" s="39"/>
      <c r="E84" s="10"/>
      <c r="F84" s="40">
        <f>Source!AM30</f>
        <v>0.12</v>
      </c>
      <c r="G84" s="41" t="str">
        <f>Source!DE30</f>
        <v/>
      </c>
      <c r="H84" s="42">
        <f>ROUND(Source!AD30*Source!I30, 2)</f>
        <v>1.8</v>
      </c>
      <c r="I84" s="41"/>
      <c r="J84" s="41">
        <f>IF(Source!BB30&lt;&gt; 0, Source!BB30, 1)</f>
        <v>3.67</v>
      </c>
      <c r="K84" s="42">
        <f>Source!Q30</f>
        <v>6.61</v>
      </c>
      <c r="L84" s="43"/>
    </row>
    <row r="85" spans="1:26" ht="14.25">
      <c r="A85" s="23"/>
      <c r="B85" s="56"/>
      <c r="C85" s="56" t="s">
        <v>324</v>
      </c>
      <c r="D85" s="39"/>
      <c r="E85" s="10"/>
      <c r="F85" s="40">
        <f>Source!AL30</f>
        <v>1.28</v>
      </c>
      <c r="G85" s="41" t="str">
        <f>Source!DD30</f>
        <v/>
      </c>
      <c r="H85" s="42">
        <f>ROUND(Source!AC30*Source!I30, 2)</f>
        <v>19.2</v>
      </c>
      <c r="I85" s="41"/>
      <c r="J85" s="41">
        <f>IF(Source!BC30&lt;&gt; 0, Source!BC30, 1)</f>
        <v>8.02</v>
      </c>
      <c r="K85" s="42">
        <f>Source!P30</f>
        <v>153.97999999999999</v>
      </c>
      <c r="L85" s="43"/>
    </row>
    <row r="86" spans="1:26" ht="14.25">
      <c r="A86" s="23"/>
      <c r="B86" s="56"/>
      <c r="C86" s="56" t="s">
        <v>325</v>
      </c>
      <c r="D86" s="39" t="s">
        <v>326</v>
      </c>
      <c r="E86" s="10">
        <f>Source!BZ30</f>
        <v>80</v>
      </c>
      <c r="F86" s="59"/>
      <c r="G86" s="41"/>
      <c r="H86" s="42">
        <f>SUM(S82:S89)</f>
        <v>96.96</v>
      </c>
      <c r="I86" s="44"/>
      <c r="J86" s="38">
        <f>Source!AT30</f>
        <v>80</v>
      </c>
      <c r="K86" s="42">
        <f>SUM(T82:T89)</f>
        <v>2936.92</v>
      </c>
      <c r="L86" s="43"/>
    </row>
    <row r="87" spans="1:26" ht="14.25">
      <c r="A87" s="23"/>
      <c r="B87" s="56"/>
      <c r="C87" s="56" t="s">
        <v>327</v>
      </c>
      <c r="D87" s="39" t="s">
        <v>326</v>
      </c>
      <c r="E87" s="10">
        <f>Source!CA30</f>
        <v>60</v>
      </c>
      <c r="F87" s="59"/>
      <c r="G87" s="41"/>
      <c r="H87" s="42">
        <f>SUM(U82:U89)</f>
        <v>72.72</v>
      </c>
      <c r="I87" s="44"/>
      <c r="J87" s="38">
        <f>Source!AU30</f>
        <v>60</v>
      </c>
      <c r="K87" s="42">
        <f>SUM(V82:V89)</f>
        <v>2202.69</v>
      </c>
      <c r="L87" s="43"/>
    </row>
    <row r="88" spans="1:26" ht="14.25">
      <c r="A88" s="23"/>
      <c r="B88" s="56"/>
      <c r="C88" s="56" t="s">
        <v>328</v>
      </c>
      <c r="D88" s="39" t="s">
        <v>329</v>
      </c>
      <c r="E88" s="10">
        <f>Source!AQ30</f>
        <v>0.84</v>
      </c>
      <c r="F88" s="40"/>
      <c r="G88" s="41" t="str">
        <f>Source!DI30</f>
        <v/>
      </c>
      <c r="H88" s="42"/>
      <c r="I88" s="41"/>
      <c r="J88" s="41"/>
      <c r="K88" s="42"/>
      <c r="L88" s="45">
        <f>Source!U30</f>
        <v>12.6</v>
      </c>
    </row>
    <row r="89" spans="1:26" ht="42.75">
      <c r="A89" s="57" t="str">
        <f>Source!E31</f>
        <v>9,1</v>
      </c>
      <c r="B89" s="58" t="str">
        <f>Source!F31</f>
        <v>цена постовщика</v>
      </c>
      <c r="C89" s="58" t="str">
        <f>Source!G31</f>
        <v>Орлан Д извещатель охраннныйй оптико-электронный</v>
      </c>
      <c r="D89" s="46" t="str">
        <f>Source!H31</f>
        <v/>
      </c>
      <c r="E89" s="47">
        <f>Source!I31</f>
        <v>15</v>
      </c>
      <c r="F89" s="48">
        <f>Source!AL31+Source!AM31+Source!AO31</f>
        <v>1047.5999999999999</v>
      </c>
      <c r="G89" s="49" t="s">
        <v>3</v>
      </c>
      <c r="H89" s="50">
        <f>ROUND(Source!AC31*Source!I31, 2)+ROUND(Source!AD31*Source!I31, 2)+ROUND(Source!AF31*Source!I31, 2)</f>
        <v>15714</v>
      </c>
      <c r="I89" s="51"/>
      <c r="J89" s="51">
        <f>IF(Source!BC31&lt;&gt; 0, Source!BC31, 1)</f>
        <v>1</v>
      </c>
      <c r="K89" s="50">
        <f>Source!O31</f>
        <v>15714</v>
      </c>
      <c r="L89" s="52"/>
      <c r="S89">
        <f>ROUND((Source!FX31/100)*((ROUND(Source!AF31*Source!I31, 2)+ROUND(Source!AE31*Source!I31, 2))), 2)</f>
        <v>0</v>
      </c>
      <c r="T89">
        <f>Source!X31</f>
        <v>0</v>
      </c>
      <c r="U89">
        <f>ROUND((Source!FY31/100)*((ROUND(Source!AF31*Source!I31, 2)+ROUND(Source!AE31*Source!I31, 2))), 2)</f>
        <v>0</v>
      </c>
      <c r="V89">
        <f>Source!Y31</f>
        <v>0</v>
      </c>
      <c r="W89">
        <f>IF(Source!BI31&lt;=1,H89, 0)</f>
        <v>0</v>
      </c>
      <c r="X89">
        <f>IF(Source!BI31=2,H89, 0)</f>
        <v>15714</v>
      </c>
      <c r="Y89">
        <f>IF(Source!BI31=3,H89, 0)</f>
        <v>0</v>
      </c>
      <c r="Z89">
        <f>IF(Source!BI31=4,H89, 0)</f>
        <v>0</v>
      </c>
    </row>
    <row r="90" spans="1:26" ht="15">
      <c r="G90" s="63">
        <f>H83+H84+H85+H86+H87+SUM(H89:H89)</f>
        <v>16025.88</v>
      </c>
      <c r="H90" s="63"/>
      <c r="J90" s="63">
        <f>K83+K84+K85+K86+K87+SUM(K89:K89)</f>
        <v>24685.35</v>
      </c>
      <c r="K90" s="63"/>
      <c r="L90" s="53">
        <f>Source!U30</f>
        <v>12.6</v>
      </c>
      <c r="O90" s="31">
        <f>G90</f>
        <v>16025.88</v>
      </c>
      <c r="P90" s="31">
        <f>J90</f>
        <v>24685.35</v>
      </c>
      <c r="Q90" s="31">
        <f>L90</f>
        <v>12.6</v>
      </c>
      <c r="W90">
        <f>IF(Source!BI30&lt;=1,H83+H84+H85+H86+H87, 0)</f>
        <v>0</v>
      </c>
      <c r="X90">
        <f>IF(Source!BI30=2,H83+H84+H85+H86+H87, 0)</f>
        <v>311.88</v>
      </c>
      <c r="Y90">
        <f>IF(Source!BI30=3,H83+H84+H85+H86+H87, 0)</f>
        <v>0</v>
      </c>
      <c r="Z90">
        <f>IF(Source!BI30=4,H83+H84+H85+H86+H87, 0)</f>
        <v>0</v>
      </c>
    </row>
    <row r="91" spans="1:26" ht="28.5">
      <c r="A91" s="23" t="str">
        <f>Source!E32</f>
        <v>14</v>
      </c>
      <c r="B91" s="56" t="str">
        <f>Source!F32</f>
        <v>м08-03-593-9</v>
      </c>
      <c r="C91" s="56" t="str">
        <f>Source!G32</f>
        <v>Светильник местного освещения</v>
      </c>
      <c r="D91" s="39" t="str">
        <f>Source!H32</f>
        <v>100 шт.</v>
      </c>
      <c r="E91" s="10">
        <f>Source!I32</f>
        <v>0.01</v>
      </c>
      <c r="F91" s="40">
        <f>Source!AL32+Source!AM32+Source!AO32</f>
        <v>1112.01</v>
      </c>
      <c r="G91" s="41"/>
      <c r="H91" s="42"/>
      <c r="I91" s="41" t="str">
        <f>Source!BO32</f>
        <v>м08-03-593-9</v>
      </c>
      <c r="J91" s="41"/>
      <c r="K91" s="42"/>
      <c r="L91" s="43"/>
      <c r="S91">
        <f>ROUND((Source!FX32/100)*((ROUND(Source!AF32*Source!I32, 2)+ROUND(Source!AE32*Source!I32, 2))), 2)</f>
        <v>6.44</v>
      </c>
      <c r="T91">
        <f>Source!X32</f>
        <v>195.19</v>
      </c>
      <c r="U91">
        <f>ROUND((Source!FY32/100)*((ROUND(Source!AF32*Source!I32, 2)+ROUND(Source!AE32*Source!I32, 2))), 2)</f>
        <v>4.41</v>
      </c>
      <c r="V91">
        <f>Source!Y32</f>
        <v>133.55000000000001</v>
      </c>
    </row>
    <row r="92" spans="1:26">
      <c r="C92" s="33" t="str">
        <f>"Объем: "&amp;Source!I32&amp;"=1/"&amp;"100"</f>
        <v>Объем: 0,01=1/100</v>
      </c>
    </row>
    <row r="93" spans="1:26" ht="14.25">
      <c r="A93" s="23"/>
      <c r="B93" s="56"/>
      <c r="C93" s="56" t="s">
        <v>323</v>
      </c>
      <c r="D93" s="39"/>
      <c r="E93" s="10"/>
      <c r="F93" s="40">
        <f>Source!AO32</f>
        <v>676.94</v>
      </c>
      <c r="G93" s="41" t="str">
        <f>Source!DG32</f>
        <v/>
      </c>
      <c r="H93" s="42">
        <f>ROUND(Source!AF32*Source!I32, 2)</f>
        <v>6.77</v>
      </c>
      <c r="I93" s="41"/>
      <c r="J93" s="41">
        <f>IF(Source!BA32&lt;&gt; 0, Source!BA32, 1)</f>
        <v>30.29</v>
      </c>
      <c r="K93" s="42">
        <f>Source!S32</f>
        <v>205.05</v>
      </c>
      <c r="L93" s="43"/>
      <c r="R93">
        <f>H93</f>
        <v>6.77</v>
      </c>
    </row>
    <row r="94" spans="1:26" ht="14.25">
      <c r="A94" s="23"/>
      <c r="B94" s="56"/>
      <c r="C94" s="56" t="s">
        <v>106</v>
      </c>
      <c r="D94" s="39"/>
      <c r="E94" s="10"/>
      <c r="F94" s="40">
        <f>Source!AM32</f>
        <v>22.18</v>
      </c>
      <c r="G94" s="41" t="str">
        <f>Source!DE32</f>
        <v/>
      </c>
      <c r="H94" s="42">
        <f>ROUND(Source!AD32*Source!I32, 2)</f>
        <v>0.22</v>
      </c>
      <c r="I94" s="41"/>
      <c r="J94" s="41">
        <f>IF(Source!BB32&lt;&gt; 0, Source!BB32, 1)</f>
        <v>8.77</v>
      </c>
      <c r="K94" s="42">
        <f>Source!Q32</f>
        <v>1.95</v>
      </c>
      <c r="L94" s="43"/>
    </row>
    <row r="95" spans="1:26" ht="14.25">
      <c r="A95" s="23"/>
      <c r="B95" s="56"/>
      <c r="C95" s="56" t="s">
        <v>330</v>
      </c>
      <c r="D95" s="39"/>
      <c r="E95" s="10"/>
      <c r="F95" s="40">
        <f>Source!AN32</f>
        <v>1.35</v>
      </c>
      <c r="G95" s="41" t="str">
        <f>Source!DF32</f>
        <v/>
      </c>
      <c r="H95" s="55">
        <f>ROUND(Source!AE32*Source!I32, 2)</f>
        <v>0.01</v>
      </c>
      <c r="I95" s="41"/>
      <c r="J95" s="41">
        <f>IF(Source!BS32&lt;&gt; 0, Source!BS32, 1)</f>
        <v>30.29</v>
      </c>
      <c r="K95" s="55">
        <f>Source!R32</f>
        <v>0.41</v>
      </c>
      <c r="L95" s="43"/>
      <c r="R95">
        <f>H95</f>
        <v>0.01</v>
      </c>
    </row>
    <row r="96" spans="1:26" ht="14.25">
      <c r="A96" s="23"/>
      <c r="B96" s="56"/>
      <c r="C96" s="56" t="s">
        <v>324</v>
      </c>
      <c r="D96" s="39"/>
      <c r="E96" s="10"/>
      <c r="F96" s="40">
        <f>Source!AL32</f>
        <v>412.89</v>
      </c>
      <c r="G96" s="41" t="str">
        <f>Source!DD32</f>
        <v/>
      </c>
      <c r="H96" s="42">
        <f>ROUND(Source!AC32*Source!I32, 2)</f>
        <v>4.13</v>
      </c>
      <c r="I96" s="41"/>
      <c r="J96" s="41">
        <f>IF(Source!BC32&lt;&gt; 0, Source!BC32, 1)</f>
        <v>2.44</v>
      </c>
      <c r="K96" s="42">
        <f>Source!P32</f>
        <v>10.07</v>
      </c>
      <c r="L96" s="43"/>
    </row>
    <row r="97" spans="1:26" ht="14.25">
      <c r="A97" s="23"/>
      <c r="B97" s="56"/>
      <c r="C97" s="56" t="s">
        <v>325</v>
      </c>
      <c r="D97" s="39" t="s">
        <v>326</v>
      </c>
      <c r="E97" s="10">
        <f>Source!BZ32</f>
        <v>95</v>
      </c>
      <c r="F97" s="59"/>
      <c r="G97" s="41"/>
      <c r="H97" s="42">
        <f>SUM(S91:S99)</f>
        <v>6.44</v>
      </c>
      <c r="I97" s="44"/>
      <c r="J97" s="38">
        <f>Source!AT32</f>
        <v>95</v>
      </c>
      <c r="K97" s="42">
        <f>SUM(T91:T99)</f>
        <v>195.19</v>
      </c>
      <c r="L97" s="43"/>
    </row>
    <row r="98" spans="1:26" ht="14.25">
      <c r="A98" s="23"/>
      <c r="B98" s="56"/>
      <c r="C98" s="56" t="s">
        <v>327</v>
      </c>
      <c r="D98" s="39" t="s">
        <v>326</v>
      </c>
      <c r="E98" s="10">
        <f>Source!CA32</f>
        <v>65</v>
      </c>
      <c r="F98" s="59"/>
      <c r="G98" s="41"/>
      <c r="H98" s="42">
        <f>SUM(U91:U99)</f>
        <v>4.41</v>
      </c>
      <c r="I98" s="44"/>
      <c r="J98" s="38">
        <f>Source!AU32</f>
        <v>65</v>
      </c>
      <c r="K98" s="42">
        <f>SUM(V91:V99)</f>
        <v>133.55000000000001</v>
      </c>
      <c r="L98" s="43"/>
    </row>
    <row r="99" spans="1:26" ht="14.25">
      <c r="A99" s="57"/>
      <c r="B99" s="58"/>
      <c r="C99" s="58" t="s">
        <v>328</v>
      </c>
      <c r="D99" s="46" t="s">
        <v>329</v>
      </c>
      <c r="E99" s="47">
        <f>Source!AQ32</f>
        <v>68.239999999999995</v>
      </c>
      <c r="F99" s="48"/>
      <c r="G99" s="51" t="str">
        <f>Source!DI32</f>
        <v/>
      </c>
      <c r="H99" s="50"/>
      <c r="I99" s="51"/>
      <c r="J99" s="51"/>
      <c r="K99" s="50"/>
      <c r="L99" s="54">
        <f>Source!U32</f>
        <v>0.68240000000000001</v>
      </c>
    </row>
    <row r="100" spans="1:26" ht="15">
      <c r="G100" s="63">
        <f>H93+H94+H96+H97+H98</f>
        <v>21.97</v>
      </c>
      <c r="H100" s="63"/>
      <c r="J100" s="63">
        <f>K93+K94+K96+K97+K98</f>
        <v>545.80999999999995</v>
      </c>
      <c r="K100" s="63"/>
      <c r="L100" s="53">
        <f>Source!U32</f>
        <v>0.68240000000000001</v>
      </c>
      <c r="O100" s="31">
        <f>G100</f>
        <v>21.97</v>
      </c>
      <c r="P100" s="31">
        <f>J100</f>
        <v>545.80999999999995</v>
      </c>
      <c r="Q100" s="31">
        <f>L100</f>
        <v>0.68240000000000001</v>
      </c>
      <c r="W100">
        <f>IF(Source!BI32&lt;=1,H93+H94+H96+H97+H98, 0)</f>
        <v>0</v>
      </c>
      <c r="X100">
        <f>IF(Source!BI32=2,H93+H94+H96+H97+H98, 0)</f>
        <v>21.97</v>
      </c>
      <c r="Y100">
        <f>IF(Source!BI32=3,H93+H94+H96+H97+H98, 0)</f>
        <v>0</v>
      </c>
      <c r="Z100">
        <f>IF(Source!BI32=4,H93+H94+H96+H97+H98, 0)</f>
        <v>0</v>
      </c>
    </row>
    <row r="101" spans="1:26" ht="28.5">
      <c r="A101" s="57" t="str">
        <f>Source!E33</f>
        <v>16</v>
      </c>
      <c r="B101" s="58" t="str">
        <f>Source!F33</f>
        <v>509-1830</v>
      </c>
      <c r="C101" s="58" t="str">
        <f>Source!G33</f>
        <v>Кабель-канал (короб) "Электропласт" 20x10 мм</v>
      </c>
      <c r="D101" s="46" t="str">
        <f>Source!H33</f>
        <v>м</v>
      </c>
      <c r="E101" s="47">
        <f>Source!I33</f>
        <v>100</v>
      </c>
      <c r="F101" s="48">
        <f>Source!AL33</f>
        <v>1.21</v>
      </c>
      <c r="G101" s="51" t="str">
        <f>Source!DD33</f>
        <v/>
      </c>
      <c r="H101" s="50">
        <f>ROUND(Source!AC33*Source!I33, 2)</f>
        <v>121</v>
      </c>
      <c r="I101" s="51" t="str">
        <f>Source!BO33</f>
        <v>509-1830</v>
      </c>
      <c r="J101" s="51">
        <f>IF(Source!BC33&lt;&gt; 0, Source!BC33, 1)</f>
        <v>5.05</v>
      </c>
      <c r="K101" s="50">
        <f>Source!P33</f>
        <v>611.04999999999995</v>
      </c>
      <c r="L101" s="52"/>
      <c r="S101">
        <f>ROUND((Source!FX33/100)*((ROUND(Source!AF33*Source!I33, 2)+ROUND(Source!AE33*Source!I33, 2))), 2)</f>
        <v>0</v>
      </c>
      <c r="T101">
        <f>Source!X33</f>
        <v>0</v>
      </c>
      <c r="U101">
        <f>ROUND((Source!FY33/100)*((ROUND(Source!AF33*Source!I33, 2)+ROUND(Source!AE33*Source!I33, 2))), 2)</f>
        <v>0</v>
      </c>
      <c r="V101">
        <f>Source!Y33</f>
        <v>0</v>
      </c>
    </row>
    <row r="102" spans="1:26" ht="15">
      <c r="G102" s="63">
        <f>H101</f>
        <v>121</v>
      </c>
      <c r="H102" s="63"/>
      <c r="J102" s="63">
        <f>K101</f>
        <v>611.04999999999995</v>
      </c>
      <c r="K102" s="63"/>
      <c r="L102" s="53">
        <f>Source!U33</f>
        <v>0</v>
      </c>
      <c r="O102" s="31">
        <f>G102</f>
        <v>121</v>
      </c>
      <c r="P102" s="31">
        <f>J102</f>
        <v>611.04999999999995</v>
      </c>
      <c r="Q102" s="31">
        <f>L102</f>
        <v>0</v>
      </c>
      <c r="W102">
        <f>IF(Source!BI33&lt;=1,H101, 0)</f>
        <v>0</v>
      </c>
      <c r="X102">
        <f>IF(Source!BI33=2,H101, 0)</f>
        <v>121</v>
      </c>
      <c r="Y102">
        <f>IF(Source!BI33=3,H101, 0)</f>
        <v>0</v>
      </c>
      <c r="Z102">
        <f>IF(Source!BI33=4,H101, 0)</f>
        <v>0</v>
      </c>
    </row>
    <row r="103" spans="1:26" ht="28.5">
      <c r="A103" s="57" t="str">
        <f>Source!E34</f>
        <v>17</v>
      </c>
      <c r="B103" s="58" t="str">
        <f>Source!F34</f>
        <v>цена поставщик</v>
      </c>
      <c r="C103" s="58" t="str">
        <f>Source!G34</f>
        <v>КСПВ 6х0,5 (базисная стоимость 13,00=13)</v>
      </c>
      <c r="D103" s="46" t="str">
        <f>Source!H34</f>
        <v>м</v>
      </c>
      <c r="E103" s="47">
        <f>Source!I34</f>
        <v>100</v>
      </c>
      <c r="F103" s="48">
        <f>Source!AL34</f>
        <v>12.93</v>
      </c>
      <c r="G103" s="51" t="str">
        <f>Source!DD34</f>
        <v/>
      </c>
      <c r="H103" s="50">
        <f>ROUND(Source!AC34*Source!I34, 2)</f>
        <v>1293</v>
      </c>
      <c r="I103" s="51" t="str">
        <f>Source!BO34</f>
        <v/>
      </c>
      <c r="J103" s="51">
        <f>IF(Source!BC34&lt;&gt; 0, Source!BC34, 1)</f>
        <v>1</v>
      </c>
      <c r="K103" s="50">
        <f>Source!P34</f>
        <v>1293</v>
      </c>
      <c r="L103" s="52"/>
      <c r="S103">
        <f>ROUND((Source!FX34/100)*((ROUND(Source!AF34*Source!I34, 2)+ROUND(Source!AE34*Source!I34, 2))), 2)</f>
        <v>0</v>
      </c>
      <c r="T103">
        <f>Source!X34</f>
        <v>0</v>
      </c>
      <c r="U103">
        <f>ROUND((Source!FY34/100)*((ROUND(Source!AF34*Source!I34, 2)+ROUND(Source!AE34*Source!I34, 2))), 2)</f>
        <v>0</v>
      </c>
      <c r="V103">
        <f>Source!Y34</f>
        <v>0</v>
      </c>
    </row>
    <row r="104" spans="1:26" ht="15">
      <c r="G104" s="63">
        <f>H103</f>
        <v>1293</v>
      </c>
      <c r="H104" s="63"/>
      <c r="J104" s="63">
        <f>K103</f>
        <v>1293</v>
      </c>
      <c r="K104" s="63"/>
      <c r="L104" s="53">
        <f>Source!U34</f>
        <v>0</v>
      </c>
      <c r="O104" s="31">
        <f>G104</f>
        <v>1293</v>
      </c>
      <c r="P104" s="31">
        <f>J104</f>
        <v>1293</v>
      </c>
      <c r="Q104" s="31">
        <f>L104</f>
        <v>0</v>
      </c>
      <c r="W104">
        <f>IF(Source!BI34&lt;=1,H103, 0)</f>
        <v>1293</v>
      </c>
      <c r="X104">
        <f>IF(Source!BI34=2,H103, 0)</f>
        <v>0</v>
      </c>
      <c r="Y104">
        <f>IF(Source!BI34=3,H103, 0)</f>
        <v>0</v>
      </c>
      <c r="Z104">
        <f>IF(Source!BI34=4,H103, 0)</f>
        <v>0</v>
      </c>
    </row>
    <row r="105" spans="1:26" ht="42.75">
      <c r="A105" s="23" t="str">
        <f>Source!E35</f>
        <v>19</v>
      </c>
      <c r="B105" s="56" t="str">
        <f>Source!F35</f>
        <v>502-0904</v>
      </c>
      <c r="C105" s="56" t="str">
        <f>Source!G35</f>
        <v>Шнуры на напряжение до 380 В с параллельными жилами, с изоляцией и оболочкой из ПВХ, марки ШВВП 2х0,75</v>
      </c>
      <c r="D105" s="39" t="str">
        <f>Source!H35</f>
        <v>1000 м</v>
      </c>
      <c r="E105" s="10">
        <f>Source!I35</f>
        <v>0.1</v>
      </c>
      <c r="F105" s="40">
        <f>Source!AL35</f>
        <v>2127.33</v>
      </c>
      <c r="G105" s="41" t="str">
        <f>Source!DD35</f>
        <v/>
      </c>
      <c r="H105" s="42">
        <f>ROUND(Source!AC35*Source!I35, 2)</f>
        <v>212.73</v>
      </c>
      <c r="I105" s="41" t="str">
        <f>Source!BO35</f>
        <v>502-0904</v>
      </c>
      <c r="J105" s="41">
        <f>IF(Source!BC35&lt;&gt; 0, Source!BC35, 1)</f>
        <v>4.05</v>
      </c>
      <c r="K105" s="42">
        <f>Source!P35</f>
        <v>861.57</v>
      </c>
      <c r="L105" s="43"/>
      <c r="S105">
        <f>ROUND((Source!FX35/100)*((ROUND(Source!AF35*Source!I35, 2)+ROUND(Source!AE35*Source!I35, 2))), 2)</f>
        <v>0</v>
      </c>
      <c r="T105">
        <f>Source!X35</f>
        <v>0</v>
      </c>
      <c r="U105">
        <f>ROUND((Source!FY35/100)*((ROUND(Source!AF35*Source!I35, 2)+ROUND(Source!AE35*Source!I35, 2))), 2)</f>
        <v>0</v>
      </c>
      <c r="V105">
        <f>Source!Y35</f>
        <v>0</v>
      </c>
    </row>
    <row r="106" spans="1:26">
      <c r="A106" s="34"/>
      <c r="B106" s="34"/>
      <c r="C106" s="35" t="str">
        <f>"Объем: "&amp;Source!I35&amp;"=100/"&amp;"1000"</f>
        <v>Объем: 0,1=100/1000</v>
      </c>
      <c r="D106" s="34"/>
      <c r="E106" s="34"/>
      <c r="F106" s="34"/>
      <c r="G106" s="34"/>
      <c r="H106" s="34"/>
      <c r="I106" s="34"/>
      <c r="J106" s="34"/>
      <c r="K106" s="34"/>
      <c r="L106" s="34"/>
    </row>
    <row r="107" spans="1:26" ht="15">
      <c r="G107" s="63">
        <f>H105</f>
        <v>212.73</v>
      </c>
      <c r="H107" s="63"/>
      <c r="J107" s="63">
        <f>K105</f>
        <v>861.57</v>
      </c>
      <c r="K107" s="63"/>
      <c r="L107" s="53">
        <f>Source!U35</f>
        <v>0</v>
      </c>
      <c r="O107" s="31">
        <f>G107</f>
        <v>212.73</v>
      </c>
      <c r="P107" s="31">
        <f>J107</f>
        <v>861.57</v>
      </c>
      <c r="Q107" s="31">
        <f>L107</f>
        <v>0</v>
      </c>
      <c r="W107">
        <f>IF(Source!BI35&lt;=1,H105, 0)</f>
        <v>0</v>
      </c>
      <c r="X107">
        <f>IF(Source!BI35=2,H105, 0)</f>
        <v>212.73</v>
      </c>
      <c r="Y107">
        <f>IF(Source!BI35=3,H105, 0)</f>
        <v>0</v>
      </c>
      <c r="Z107">
        <f>IF(Source!BI35=4,H105, 0)</f>
        <v>0</v>
      </c>
    </row>
    <row r="108" spans="1:26" ht="42.75">
      <c r="A108" s="57" t="str">
        <f>Source!E36</f>
        <v>20</v>
      </c>
      <c r="B108" s="58" t="str">
        <f>Source!F36</f>
        <v>цена поставщика</v>
      </c>
      <c r="C108" s="58" t="str">
        <f>Source!G36</f>
        <v>БИГ 09 контрольный геркон (базисная стоимость 250,00=250)</v>
      </c>
      <c r="D108" s="46" t="str">
        <f>Source!H36</f>
        <v>ШТ</v>
      </c>
      <c r="E108" s="47">
        <f>Source!I36</f>
        <v>1</v>
      </c>
      <c r="F108" s="48">
        <f>Source!AL36</f>
        <v>153.5</v>
      </c>
      <c r="G108" s="51" t="str">
        <f>Source!DD36</f>
        <v/>
      </c>
      <c r="H108" s="50">
        <f>ROUND(Source!AC36*Source!I36, 2)</f>
        <v>153.5</v>
      </c>
      <c r="I108" s="51" t="str">
        <f>Source!BO36</f>
        <v/>
      </c>
      <c r="J108" s="51">
        <f>IF(Source!BC36&lt;&gt; 0, Source!BC36, 1)</f>
        <v>1</v>
      </c>
      <c r="K108" s="50">
        <f>Source!P36</f>
        <v>153.5</v>
      </c>
      <c r="L108" s="52"/>
      <c r="S108">
        <f>ROUND((Source!FX36/100)*((ROUND(Source!AF36*Source!I36, 2)+ROUND(Source!AE36*Source!I36, 2))), 2)</f>
        <v>0</v>
      </c>
      <c r="T108">
        <f>Source!X36</f>
        <v>0</v>
      </c>
      <c r="U108">
        <f>ROUND((Source!FY36/100)*((ROUND(Source!AF36*Source!I36, 2)+ROUND(Source!AE36*Source!I36, 2))), 2)</f>
        <v>0</v>
      </c>
      <c r="V108">
        <f>Source!Y36</f>
        <v>0</v>
      </c>
    </row>
    <row r="109" spans="1:26" ht="15">
      <c r="G109" s="63">
        <f>H108</f>
        <v>153.5</v>
      </c>
      <c r="H109" s="63"/>
      <c r="J109" s="63">
        <f>K108</f>
        <v>153.5</v>
      </c>
      <c r="K109" s="63"/>
      <c r="L109" s="53">
        <f>Source!U36</f>
        <v>0</v>
      </c>
      <c r="O109" s="31">
        <f>G109</f>
        <v>153.5</v>
      </c>
      <c r="P109" s="31">
        <f>J109</f>
        <v>153.5</v>
      </c>
      <c r="Q109" s="31">
        <f>L109</f>
        <v>0</v>
      </c>
      <c r="W109">
        <f>IF(Source!BI36&lt;=1,H108, 0)</f>
        <v>153.5</v>
      </c>
      <c r="X109">
        <f>IF(Source!BI36=2,H108, 0)</f>
        <v>0</v>
      </c>
      <c r="Y109">
        <f>IF(Source!BI36=3,H108, 0)</f>
        <v>0</v>
      </c>
      <c r="Z109">
        <f>IF(Source!BI36=4,H108, 0)</f>
        <v>0</v>
      </c>
    </row>
    <row r="110" spans="1:26" ht="28.5">
      <c r="A110" s="57" t="str">
        <f>Source!E37</f>
        <v>21</v>
      </c>
      <c r="B110" s="58" t="str">
        <f>Source!F37</f>
        <v>509-1929</v>
      </c>
      <c r="C110" s="58" t="str">
        <f>Source!G37</f>
        <v>Оповещатель комбинированный светозвуковой МАЯК 12К</v>
      </c>
      <c r="D110" s="46" t="str">
        <f>Source!H37</f>
        <v>шт.</v>
      </c>
      <c r="E110" s="47">
        <f>Source!I37</f>
        <v>1</v>
      </c>
      <c r="F110" s="48">
        <f>Source!AL37</f>
        <v>65.180000000000007</v>
      </c>
      <c r="G110" s="51" t="str">
        <f>Source!DD37</f>
        <v/>
      </c>
      <c r="H110" s="50">
        <f>ROUND(Source!AC37*Source!I37, 2)</f>
        <v>65.180000000000007</v>
      </c>
      <c r="I110" s="51" t="str">
        <f>Source!BO37</f>
        <v>509-1929</v>
      </c>
      <c r="J110" s="51">
        <f>IF(Source!BC37&lt;&gt; 0, Source!BC37, 1)</f>
        <v>5.3</v>
      </c>
      <c r="K110" s="50">
        <f>Source!P37</f>
        <v>345.45</v>
      </c>
      <c r="L110" s="52"/>
      <c r="S110">
        <f>ROUND((Source!FX37/100)*((ROUND(Source!AF37*Source!I37, 2)+ROUND(Source!AE37*Source!I37, 2))), 2)</f>
        <v>0</v>
      </c>
      <c r="T110">
        <f>Source!X37</f>
        <v>0</v>
      </c>
      <c r="U110">
        <f>ROUND((Source!FY37/100)*((ROUND(Source!AF37*Source!I37, 2)+ROUND(Source!AE37*Source!I37, 2))), 2)</f>
        <v>0</v>
      </c>
      <c r="V110">
        <f>Source!Y37</f>
        <v>0</v>
      </c>
    </row>
    <row r="111" spans="1:26" ht="15">
      <c r="G111" s="63">
        <f>H110</f>
        <v>65.180000000000007</v>
      </c>
      <c r="H111" s="63"/>
      <c r="J111" s="63">
        <f>K110</f>
        <v>345.45</v>
      </c>
      <c r="K111" s="63"/>
      <c r="L111" s="53">
        <f>Source!U37</f>
        <v>0</v>
      </c>
      <c r="O111" s="31">
        <f>G111</f>
        <v>65.180000000000007</v>
      </c>
      <c r="P111" s="31">
        <f>J111</f>
        <v>345.45</v>
      </c>
      <c r="Q111" s="31">
        <f>L111</f>
        <v>0</v>
      </c>
      <c r="W111">
        <f>IF(Source!BI37&lt;=1,H110, 0)</f>
        <v>0</v>
      </c>
      <c r="X111">
        <f>IF(Source!BI37=2,H110, 0)</f>
        <v>65.180000000000007</v>
      </c>
      <c r="Y111">
        <f>IF(Source!BI37=3,H110, 0)</f>
        <v>0</v>
      </c>
      <c r="Z111">
        <f>IF(Source!BI37=4,H110, 0)</f>
        <v>0</v>
      </c>
    </row>
    <row r="113" spans="1:12" ht="15">
      <c r="A113" s="62" t="str">
        <f>CONCATENATE("Итого по локальной смете: ",IF(Source!G39&lt;&gt;"Новая локальная смета", Source!G39, ""))</f>
        <v xml:space="preserve">Итого по локальной смете: </v>
      </c>
      <c r="B113" s="62"/>
      <c r="C113" s="62"/>
      <c r="D113" s="62"/>
      <c r="E113" s="62"/>
      <c r="F113" s="62"/>
      <c r="G113" s="61">
        <f>SUM(O42:O112)</f>
        <v>22666.23</v>
      </c>
      <c r="H113" s="61"/>
      <c r="I113" s="37"/>
      <c r="J113" s="61">
        <f>SUM(P42:P112)</f>
        <v>53640.639999999992</v>
      </c>
      <c r="K113" s="61"/>
      <c r="L113" s="53">
        <f>SUM(Q42:Q112)</f>
        <v>40.202400000000004</v>
      </c>
    </row>
    <row r="117" spans="1:12" ht="15">
      <c r="A117" s="62" t="str">
        <f>CONCATENATE("Итого по смете: ",IF(Source!G69&lt;&gt;"Новый объект", Source!G69, ""))</f>
        <v>Итого по смете: охрана Мисцево</v>
      </c>
      <c r="B117" s="62"/>
      <c r="C117" s="62"/>
      <c r="D117" s="62"/>
      <c r="E117" s="62"/>
      <c r="F117" s="62"/>
      <c r="G117" s="61">
        <f>SUM(O1:O116)</f>
        <v>22666.23</v>
      </c>
      <c r="H117" s="61"/>
      <c r="I117" s="37"/>
      <c r="J117" s="61">
        <f>SUM(P1:P116)</f>
        <v>53640.639999999992</v>
      </c>
      <c r="K117" s="61"/>
      <c r="L117" s="53">
        <f>SUM(Q1:Q116)</f>
        <v>40.202400000000004</v>
      </c>
    </row>
    <row r="119" spans="1:12" ht="14.25">
      <c r="C119" s="66" t="str">
        <f>Source!H98</f>
        <v>НДС 20%</v>
      </c>
      <c r="D119" s="66"/>
      <c r="E119" s="66"/>
      <c r="F119" s="66"/>
      <c r="G119" s="66"/>
      <c r="H119" s="66"/>
      <c r="I119" s="66"/>
      <c r="J119" s="67">
        <f>IF(Source!F98=0, "", Source!F98)</f>
        <v>10728.13</v>
      </c>
      <c r="K119" s="67"/>
    </row>
    <row r="120" spans="1:12" ht="14.25">
      <c r="C120" s="66" t="str">
        <f>Source!H99</f>
        <v>Всего с ндс 20%</v>
      </c>
      <c r="D120" s="66"/>
      <c r="E120" s="66"/>
      <c r="F120" s="66"/>
      <c r="G120" s="66"/>
      <c r="H120" s="66"/>
      <c r="I120" s="66"/>
      <c r="J120" s="67">
        <f>IF(Source!F99=0, "", Source!F99)</f>
        <v>64368.77</v>
      </c>
      <c r="K120" s="67"/>
    </row>
    <row r="123" spans="1:12" ht="14.25">
      <c r="A123" s="36" t="s">
        <v>331</v>
      </c>
      <c r="B123" s="36"/>
      <c r="C123" s="10" t="s">
        <v>332</v>
      </c>
      <c r="D123" s="32" t="str">
        <f>IF(Source!CP12&lt;&gt;"", Source!CP12," ")</f>
        <v xml:space="preserve"> </v>
      </c>
      <c r="E123" s="32"/>
      <c r="F123" s="32"/>
      <c r="G123" s="32"/>
      <c r="H123" s="32"/>
      <c r="I123" s="11" t="str">
        <f>IF(Source!CO12&lt;&gt;"", Source!CO12," ")</f>
        <v xml:space="preserve"> </v>
      </c>
      <c r="J123" s="10"/>
      <c r="K123" s="11"/>
      <c r="L123" s="11"/>
    </row>
    <row r="124" spans="1:12" ht="14.25">
      <c r="A124" s="11"/>
      <c r="B124" s="11"/>
      <c r="C124" s="10"/>
      <c r="D124" s="64" t="s">
        <v>333</v>
      </c>
      <c r="E124" s="64"/>
      <c r="F124" s="64"/>
      <c r="G124" s="64"/>
      <c r="H124" s="64"/>
      <c r="I124" s="11"/>
      <c r="J124" s="10"/>
      <c r="K124" s="11"/>
      <c r="L124" s="11"/>
    </row>
    <row r="125" spans="1:12" ht="14.25">
      <c r="A125" s="11"/>
      <c r="B125" s="11"/>
      <c r="C125" s="10"/>
      <c r="D125" s="11"/>
      <c r="E125" s="11"/>
      <c r="F125" s="11"/>
      <c r="G125" s="11"/>
      <c r="H125" s="11"/>
      <c r="I125" s="11"/>
      <c r="J125" s="10"/>
      <c r="K125" s="11"/>
      <c r="L125" s="11"/>
    </row>
    <row r="126" spans="1:12" ht="14.25">
      <c r="A126" s="36" t="s">
        <v>331</v>
      </c>
      <c r="B126" s="36"/>
      <c r="C126" s="10" t="s">
        <v>334</v>
      </c>
      <c r="D126" s="32" t="str">
        <f>IF(Source!AC12&lt;&gt;"", Source!AC12," ")</f>
        <v xml:space="preserve"> </v>
      </c>
      <c r="E126" s="32"/>
      <c r="F126" s="32"/>
      <c r="G126" s="32"/>
      <c r="H126" s="32"/>
      <c r="I126" s="11" t="str">
        <f>IF(Source!AB12&lt;&gt;"", Source!AB12," ")</f>
        <v xml:space="preserve"> </v>
      </c>
      <c r="J126" s="10"/>
      <c r="K126" s="11"/>
      <c r="L126" s="11"/>
    </row>
    <row r="127" spans="1:12" ht="14.25">
      <c r="A127" s="11"/>
      <c r="B127" s="11"/>
      <c r="C127" s="11"/>
      <c r="D127" s="64" t="s">
        <v>333</v>
      </c>
      <c r="E127" s="64"/>
      <c r="F127" s="64"/>
      <c r="G127" s="64"/>
      <c r="H127" s="64"/>
      <c r="I127" s="11"/>
      <c r="J127" s="11"/>
      <c r="K127" s="11"/>
      <c r="L127" s="11"/>
    </row>
    <row r="128" spans="1:12" ht="14.25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</row>
    <row r="129" spans="1:12" ht="14.25">
      <c r="A129" s="11"/>
      <c r="B129" s="11"/>
      <c r="C129" s="10" t="s">
        <v>335</v>
      </c>
      <c r="D129" s="32" t="str">
        <f>IF(Source!AE12&lt;&gt;"", Source!AE12," ")</f>
        <v xml:space="preserve"> </v>
      </c>
      <c r="E129" s="32"/>
      <c r="F129" s="32"/>
      <c r="G129" s="32"/>
      <c r="H129" s="32"/>
      <c r="I129" s="11" t="str">
        <f>IF(Source!AD12&lt;&gt;"", Source!AD12," ")</f>
        <v xml:space="preserve"> </v>
      </c>
      <c r="J129" s="10"/>
      <c r="K129" s="11"/>
      <c r="L129" s="11"/>
    </row>
    <row r="130" spans="1:12" ht="14.25">
      <c r="A130" s="11"/>
      <c r="B130" s="11"/>
      <c r="C130" s="11"/>
      <c r="D130" s="64" t="s">
        <v>333</v>
      </c>
      <c r="E130" s="64"/>
      <c r="F130" s="64"/>
      <c r="G130" s="64"/>
      <c r="H130" s="64"/>
      <c r="I130" s="11"/>
      <c r="J130" s="11"/>
      <c r="K130" s="11"/>
      <c r="L130" s="11"/>
    </row>
  </sheetData>
  <mergeCells count="89">
    <mergeCell ref="B3:E3"/>
    <mergeCell ref="H3:L3"/>
    <mergeCell ref="B4:E4"/>
    <mergeCell ref="H4:L4"/>
    <mergeCell ref="B6:E6"/>
    <mergeCell ref="H6:L6"/>
    <mergeCell ref="G25:H25"/>
    <mergeCell ref="I25:J25"/>
    <mergeCell ref="B7:E7"/>
    <mergeCell ref="H7:L7"/>
    <mergeCell ref="B10:K10"/>
    <mergeCell ref="B11:K11"/>
    <mergeCell ref="F13:G13"/>
    <mergeCell ref="H13:K13"/>
    <mergeCell ref="B15:K15"/>
    <mergeCell ref="B17:K17"/>
    <mergeCell ref="B19:K19"/>
    <mergeCell ref="B20:K20"/>
    <mergeCell ref="A22:L22"/>
    <mergeCell ref="C26:F26"/>
    <mergeCell ref="G26:H26"/>
    <mergeCell ref="I26:J26"/>
    <mergeCell ref="K26:L26"/>
    <mergeCell ref="C27:F27"/>
    <mergeCell ref="G27:H27"/>
    <mergeCell ref="I27:J27"/>
    <mergeCell ref="K27:L27"/>
    <mergeCell ref="C28:F28"/>
    <mergeCell ref="G28:H28"/>
    <mergeCell ref="I28:J28"/>
    <mergeCell ref="K28:L28"/>
    <mergeCell ref="C29:F29"/>
    <mergeCell ref="G29:H29"/>
    <mergeCell ref="I29:J29"/>
    <mergeCell ref="K29:L29"/>
    <mergeCell ref="C30:F30"/>
    <mergeCell ref="G30:H30"/>
    <mergeCell ref="I30:J30"/>
    <mergeCell ref="K30:L30"/>
    <mergeCell ref="C31:F31"/>
    <mergeCell ref="G31:H31"/>
    <mergeCell ref="I31:J31"/>
    <mergeCell ref="K31:L31"/>
    <mergeCell ref="C32:F32"/>
    <mergeCell ref="G32:H32"/>
    <mergeCell ref="I32:J32"/>
    <mergeCell ref="K32:L32"/>
    <mergeCell ref="C33:F33"/>
    <mergeCell ref="G33:H33"/>
    <mergeCell ref="I33:J33"/>
    <mergeCell ref="J104:K104"/>
    <mergeCell ref="G104:H104"/>
    <mergeCell ref="A38:L38"/>
    <mergeCell ref="C119:I119"/>
    <mergeCell ref="J119:K119"/>
    <mergeCell ref="J102:K102"/>
    <mergeCell ref="G102:H102"/>
    <mergeCell ref="J100:K100"/>
    <mergeCell ref="G100:H100"/>
    <mergeCell ref="D127:H127"/>
    <mergeCell ref="D130:H130"/>
    <mergeCell ref="G109:H109"/>
    <mergeCell ref="J107:K107"/>
    <mergeCell ref="G107:H107"/>
    <mergeCell ref="C120:I120"/>
    <mergeCell ref="J120:K120"/>
    <mergeCell ref="D124:H124"/>
    <mergeCell ref="J90:K90"/>
    <mergeCell ref="G90:H90"/>
    <mergeCell ref="J81:K81"/>
    <mergeCell ref="G81:H81"/>
    <mergeCell ref="J71:K71"/>
    <mergeCell ref="G71:H71"/>
    <mergeCell ref="A42:L42"/>
    <mergeCell ref="G117:H117"/>
    <mergeCell ref="J117:K117"/>
    <mergeCell ref="A117:F117"/>
    <mergeCell ref="G113:H113"/>
    <mergeCell ref="J113:K113"/>
    <mergeCell ref="A113:F113"/>
    <mergeCell ref="J111:K111"/>
    <mergeCell ref="G111:H111"/>
    <mergeCell ref="J109:K109"/>
    <mergeCell ref="J61:K61"/>
    <mergeCell ref="G61:H61"/>
    <mergeCell ref="J58:K58"/>
    <mergeCell ref="G58:H58"/>
    <mergeCell ref="J51:K51"/>
    <mergeCell ref="G51:H51"/>
  </mergeCells>
  <pageMargins left="0.4" right="0.2" top="0.2" bottom="0.4" header="0.2" footer="0.2"/>
  <pageSetup paperSize="9" scale="58" fitToHeight="0" orientation="portrait" horizontalDpi="360" verticalDpi="360" r:id="rId1"/>
  <headerFooter>
    <oddHeader>&amp;L&amp;8</oddHead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IK136"/>
  <sheetViews>
    <sheetView workbookViewId="0">
      <selection activeCell="A132" sqref="A132:AN132"/>
    </sheetView>
  </sheetViews>
  <sheetFormatPr defaultColWidth="9.140625" defaultRowHeight="12.75"/>
  <cols>
    <col min="1" max="256" width="9.140625" customWidth="1"/>
  </cols>
  <sheetData>
    <row r="1" spans="1:133">
      <c r="A1">
        <v>0</v>
      </c>
      <c r="B1" t="s">
        <v>0</v>
      </c>
      <c r="D1" t="s">
        <v>1</v>
      </c>
      <c r="F1">
        <v>0</v>
      </c>
      <c r="G1">
        <v>0</v>
      </c>
      <c r="H1">
        <v>0</v>
      </c>
      <c r="I1" t="s">
        <v>2</v>
      </c>
      <c r="J1" t="s">
        <v>3</v>
      </c>
      <c r="K1">
        <v>1</v>
      </c>
      <c r="L1">
        <v>58436</v>
      </c>
      <c r="M1">
        <v>10</v>
      </c>
      <c r="N1">
        <v>11</v>
      </c>
      <c r="O1">
        <v>3</v>
      </c>
      <c r="P1">
        <v>0</v>
      </c>
      <c r="Q1">
        <v>0</v>
      </c>
    </row>
    <row r="12" spans="1:133">
      <c r="A12" s="1">
        <v>1</v>
      </c>
      <c r="B12" s="1">
        <v>130</v>
      </c>
      <c r="C12" s="1">
        <v>0</v>
      </c>
      <c r="D12" s="1">
        <f>ROW(A69)</f>
        <v>69</v>
      </c>
      <c r="E12" s="1">
        <v>0</v>
      </c>
      <c r="F12" s="1" t="s">
        <v>4</v>
      </c>
      <c r="G12" s="1" t="s">
        <v>5</v>
      </c>
      <c r="H12" s="1" t="s">
        <v>3</v>
      </c>
      <c r="I12" s="1">
        <v>0</v>
      </c>
      <c r="J12" s="1" t="s">
        <v>3</v>
      </c>
      <c r="K12" s="1">
        <v>0</v>
      </c>
      <c r="L12" s="1">
        <v>0</v>
      </c>
      <c r="M12" s="1">
        <v>2</v>
      </c>
      <c r="N12" s="1"/>
      <c r="O12" s="1">
        <v>0</v>
      </c>
      <c r="P12" s="1">
        <v>0</v>
      </c>
      <c r="Q12" s="1">
        <v>0</v>
      </c>
      <c r="R12" s="1">
        <v>0</v>
      </c>
      <c r="S12" s="1"/>
      <c r="T12" s="1">
        <v>1</v>
      </c>
      <c r="U12" s="1" t="s">
        <v>3</v>
      </c>
      <c r="V12" s="1">
        <v>0</v>
      </c>
      <c r="W12" s="1" t="s">
        <v>3</v>
      </c>
      <c r="X12" s="1" t="s">
        <v>3</v>
      </c>
      <c r="Y12" s="1" t="s">
        <v>3</v>
      </c>
      <c r="Z12" s="1" t="s">
        <v>3</v>
      </c>
      <c r="AA12" s="1" t="s">
        <v>3</v>
      </c>
      <c r="AB12" s="1" t="s">
        <v>3</v>
      </c>
      <c r="AC12" s="1" t="s">
        <v>3</v>
      </c>
      <c r="AD12" s="1" t="s">
        <v>3</v>
      </c>
      <c r="AE12" s="1" t="s">
        <v>3</v>
      </c>
      <c r="AF12" s="1" t="s">
        <v>3</v>
      </c>
      <c r="AG12" s="1" t="s">
        <v>3</v>
      </c>
      <c r="AH12" s="1" t="s">
        <v>3</v>
      </c>
      <c r="AI12" s="1" t="s">
        <v>3</v>
      </c>
      <c r="AJ12" s="1" t="s">
        <v>3</v>
      </c>
      <c r="AK12" s="1"/>
      <c r="AL12" s="1" t="s">
        <v>3</v>
      </c>
      <c r="AM12" s="1" t="s">
        <v>3</v>
      </c>
      <c r="AN12" s="1" t="s">
        <v>3</v>
      </c>
      <c r="AO12" s="1"/>
      <c r="AP12" s="1" t="s">
        <v>3</v>
      </c>
      <c r="AQ12" s="1" t="s">
        <v>3</v>
      </c>
      <c r="AR12" s="1" t="s">
        <v>3</v>
      </c>
      <c r="AS12" s="1"/>
      <c r="AT12" s="1"/>
      <c r="AU12" s="1"/>
      <c r="AV12" s="1"/>
      <c r="AW12" s="1"/>
      <c r="AX12" s="1" t="s">
        <v>3</v>
      </c>
      <c r="AY12" s="1" t="s">
        <v>3</v>
      </c>
      <c r="AZ12" s="1" t="s">
        <v>3</v>
      </c>
      <c r="BA12" s="1"/>
      <c r="BB12" s="1">
        <v>0</v>
      </c>
      <c r="BC12" s="1"/>
      <c r="BD12" s="1"/>
      <c r="BE12" s="1"/>
      <c r="BF12" s="1"/>
      <c r="BG12" s="1"/>
      <c r="BH12" s="1" t="s">
        <v>6</v>
      </c>
      <c r="BI12" s="1" t="s">
        <v>7</v>
      </c>
      <c r="BJ12" s="1">
        <v>1</v>
      </c>
      <c r="BK12" s="1">
        <v>1</v>
      </c>
      <c r="BL12" s="1">
        <v>0</v>
      </c>
      <c r="BM12" s="1">
        <v>0</v>
      </c>
      <c r="BN12" s="1">
        <v>1</v>
      </c>
      <c r="BO12" s="1">
        <v>0</v>
      </c>
      <c r="BP12" s="1">
        <v>6</v>
      </c>
      <c r="BQ12" s="1">
        <v>2</v>
      </c>
      <c r="BR12" s="1">
        <v>1</v>
      </c>
      <c r="BS12" s="1">
        <v>1</v>
      </c>
      <c r="BT12" s="1">
        <v>0</v>
      </c>
      <c r="BU12" s="1">
        <v>0</v>
      </c>
      <c r="BV12" s="1">
        <v>0</v>
      </c>
      <c r="BW12" s="1">
        <v>0</v>
      </c>
      <c r="BX12" s="1">
        <v>0</v>
      </c>
      <c r="BY12" s="1" t="s">
        <v>8</v>
      </c>
      <c r="BZ12" s="1" t="s">
        <v>9</v>
      </c>
      <c r="CA12" s="1" t="s">
        <v>10</v>
      </c>
      <c r="CB12" s="1" t="s">
        <v>10</v>
      </c>
      <c r="CC12" s="1" t="s">
        <v>10</v>
      </c>
      <c r="CD12" s="1" t="s">
        <v>10</v>
      </c>
      <c r="CE12" s="1" t="s">
        <v>11</v>
      </c>
      <c r="CF12" s="1">
        <v>0</v>
      </c>
      <c r="CG12" s="1">
        <v>0</v>
      </c>
      <c r="CH12" s="1">
        <v>8200</v>
      </c>
      <c r="CI12" s="1" t="s">
        <v>3</v>
      </c>
      <c r="CJ12" s="1" t="s">
        <v>3</v>
      </c>
      <c r="CK12" s="1">
        <v>1</v>
      </c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>
        <v>0</v>
      </c>
    </row>
    <row r="15" spans="1:133">
      <c r="A15" s="1">
        <v>15</v>
      </c>
      <c r="B15" s="1">
        <v>1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</row>
    <row r="18" spans="1:245">
      <c r="A18" s="2">
        <v>52</v>
      </c>
      <c r="B18" s="2">
        <f t="shared" ref="B18:G18" si="0">B69</f>
        <v>130</v>
      </c>
      <c r="C18" s="2">
        <f t="shared" si="0"/>
        <v>1</v>
      </c>
      <c r="D18" s="2">
        <f t="shared" si="0"/>
        <v>12</v>
      </c>
      <c r="E18" s="2">
        <f t="shared" si="0"/>
        <v>0</v>
      </c>
      <c r="F18" s="2" t="str">
        <f t="shared" si="0"/>
        <v>Новый объект</v>
      </c>
      <c r="G18" s="2" t="str">
        <f t="shared" si="0"/>
        <v>охрана Мисцево</v>
      </c>
      <c r="H18" s="2"/>
      <c r="I18" s="2"/>
      <c r="J18" s="2"/>
      <c r="K18" s="2"/>
      <c r="L18" s="2"/>
      <c r="M18" s="2"/>
      <c r="N18" s="2"/>
      <c r="O18" s="2">
        <f t="shared" ref="O18:AT18" si="1">O69</f>
        <v>36235.67</v>
      </c>
      <c r="P18" s="2">
        <f t="shared" si="1"/>
        <v>24252.03</v>
      </c>
      <c r="Q18" s="2">
        <f t="shared" si="1"/>
        <v>303.22000000000003</v>
      </c>
      <c r="R18" s="2">
        <f t="shared" si="1"/>
        <v>8.89</v>
      </c>
      <c r="S18" s="2">
        <f t="shared" si="1"/>
        <v>11680.42</v>
      </c>
      <c r="T18" s="2">
        <f t="shared" si="1"/>
        <v>0</v>
      </c>
      <c r="U18" s="2">
        <f t="shared" si="1"/>
        <v>40.202400000000004</v>
      </c>
      <c r="V18" s="2">
        <f t="shared" si="1"/>
        <v>2.1000000000000001E-2</v>
      </c>
      <c r="W18" s="2">
        <f t="shared" si="1"/>
        <v>8.7200000000000006</v>
      </c>
      <c r="X18" s="2">
        <f t="shared" si="1"/>
        <v>10131.4</v>
      </c>
      <c r="Y18" s="2">
        <f t="shared" si="1"/>
        <v>7273.57</v>
      </c>
      <c r="Z18" s="2">
        <f t="shared" si="1"/>
        <v>0</v>
      </c>
      <c r="AA18" s="2">
        <f t="shared" si="1"/>
        <v>0</v>
      </c>
      <c r="AB18" s="2">
        <f t="shared" si="1"/>
        <v>0</v>
      </c>
      <c r="AC18" s="2">
        <f t="shared" si="1"/>
        <v>0</v>
      </c>
      <c r="AD18" s="2">
        <f t="shared" si="1"/>
        <v>0</v>
      </c>
      <c r="AE18" s="2">
        <f t="shared" si="1"/>
        <v>0</v>
      </c>
      <c r="AF18" s="2">
        <f t="shared" si="1"/>
        <v>0</v>
      </c>
      <c r="AG18" s="2">
        <f t="shared" si="1"/>
        <v>0</v>
      </c>
      <c r="AH18" s="2">
        <f t="shared" si="1"/>
        <v>0</v>
      </c>
      <c r="AI18" s="2">
        <f t="shared" si="1"/>
        <v>0</v>
      </c>
      <c r="AJ18" s="2">
        <f t="shared" si="1"/>
        <v>0</v>
      </c>
      <c r="AK18" s="2">
        <f t="shared" si="1"/>
        <v>0</v>
      </c>
      <c r="AL18" s="2">
        <f t="shared" si="1"/>
        <v>0</v>
      </c>
      <c r="AM18" s="2">
        <f t="shared" si="1"/>
        <v>0</v>
      </c>
      <c r="AN18" s="2">
        <f t="shared" si="1"/>
        <v>0</v>
      </c>
      <c r="AO18" s="2">
        <f t="shared" si="1"/>
        <v>0</v>
      </c>
      <c r="AP18" s="2">
        <f t="shared" si="1"/>
        <v>0</v>
      </c>
      <c r="AQ18" s="2">
        <f t="shared" si="1"/>
        <v>0</v>
      </c>
      <c r="AR18" s="2">
        <f t="shared" si="1"/>
        <v>53640.639999999999</v>
      </c>
      <c r="AS18" s="2">
        <f t="shared" si="1"/>
        <v>1446.5</v>
      </c>
      <c r="AT18" s="2">
        <f t="shared" si="1"/>
        <v>52194.14</v>
      </c>
      <c r="AU18" s="2">
        <f t="shared" ref="AU18:BZ18" si="2">AU69</f>
        <v>0</v>
      </c>
      <c r="AV18" s="2">
        <f t="shared" si="2"/>
        <v>24252.03</v>
      </c>
      <c r="AW18" s="2">
        <f t="shared" si="2"/>
        <v>24252.03</v>
      </c>
      <c r="AX18" s="2">
        <f t="shared" si="2"/>
        <v>0</v>
      </c>
      <c r="AY18" s="2">
        <f t="shared" si="2"/>
        <v>24252.03</v>
      </c>
      <c r="AZ18" s="2">
        <f t="shared" si="2"/>
        <v>0</v>
      </c>
      <c r="BA18" s="2">
        <f t="shared" si="2"/>
        <v>0</v>
      </c>
      <c r="BB18" s="2">
        <f t="shared" si="2"/>
        <v>0</v>
      </c>
      <c r="BC18" s="2">
        <f t="shared" si="2"/>
        <v>0</v>
      </c>
      <c r="BD18" s="2">
        <f t="shared" si="2"/>
        <v>0</v>
      </c>
      <c r="BE18" s="2">
        <f t="shared" si="2"/>
        <v>0</v>
      </c>
      <c r="BF18" s="2">
        <f t="shared" si="2"/>
        <v>0</v>
      </c>
      <c r="BG18" s="2">
        <f t="shared" si="2"/>
        <v>0</v>
      </c>
      <c r="BH18" s="2">
        <f t="shared" si="2"/>
        <v>0</v>
      </c>
      <c r="BI18" s="2">
        <f t="shared" si="2"/>
        <v>0</v>
      </c>
      <c r="BJ18" s="2">
        <f t="shared" si="2"/>
        <v>0</v>
      </c>
      <c r="BK18" s="2">
        <f t="shared" si="2"/>
        <v>0</v>
      </c>
      <c r="BL18" s="2">
        <f t="shared" si="2"/>
        <v>0</v>
      </c>
      <c r="BM18" s="2">
        <f t="shared" si="2"/>
        <v>0</v>
      </c>
      <c r="BN18" s="2">
        <f t="shared" si="2"/>
        <v>0</v>
      </c>
      <c r="BO18" s="2">
        <f t="shared" si="2"/>
        <v>0</v>
      </c>
      <c r="BP18" s="2">
        <f t="shared" si="2"/>
        <v>0</v>
      </c>
      <c r="BQ18" s="2">
        <f t="shared" si="2"/>
        <v>0</v>
      </c>
      <c r="BR18" s="2">
        <f t="shared" si="2"/>
        <v>0</v>
      </c>
      <c r="BS18" s="2">
        <f t="shared" si="2"/>
        <v>0</v>
      </c>
      <c r="BT18" s="2">
        <f t="shared" si="2"/>
        <v>0</v>
      </c>
      <c r="BU18" s="2">
        <f t="shared" si="2"/>
        <v>0</v>
      </c>
      <c r="BV18" s="2">
        <f t="shared" si="2"/>
        <v>0</v>
      </c>
      <c r="BW18" s="2">
        <f t="shared" si="2"/>
        <v>0</v>
      </c>
      <c r="BX18" s="2">
        <f t="shared" si="2"/>
        <v>0</v>
      </c>
      <c r="BY18" s="2">
        <f t="shared" si="2"/>
        <v>0</v>
      </c>
      <c r="BZ18" s="2">
        <f t="shared" si="2"/>
        <v>0</v>
      </c>
      <c r="CA18" s="2">
        <f t="shared" ref="CA18:DF18" si="3">CA69</f>
        <v>0</v>
      </c>
      <c r="CB18" s="2">
        <f t="shared" si="3"/>
        <v>0</v>
      </c>
      <c r="CC18" s="2">
        <f t="shared" si="3"/>
        <v>0</v>
      </c>
      <c r="CD18" s="2">
        <f t="shared" si="3"/>
        <v>0</v>
      </c>
      <c r="CE18" s="2">
        <f t="shared" si="3"/>
        <v>0</v>
      </c>
      <c r="CF18" s="2">
        <f t="shared" si="3"/>
        <v>0</v>
      </c>
      <c r="CG18" s="2">
        <f t="shared" si="3"/>
        <v>0</v>
      </c>
      <c r="CH18" s="2">
        <f t="shared" si="3"/>
        <v>0</v>
      </c>
      <c r="CI18" s="2">
        <f t="shared" si="3"/>
        <v>0</v>
      </c>
      <c r="CJ18" s="2">
        <f t="shared" si="3"/>
        <v>0</v>
      </c>
      <c r="CK18" s="2">
        <f t="shared" si="3"/>
        <v>0</v>
      </c>
      <c r="CL18" s="2">
        <f t="shared" si="3"/>
        <v>0</v>
      </c>
      <c r="CM18" s="2">
        <f t="shared" si="3"/>
        <v>0</v>
      </c>
      <c r="CN18" s="2">
        <f t="shared" si="3"/>
        <v>0</v>
      </c>
      <c r="CO18" s="2">
        <f t="shared" si="3"/>
        <v>0</v>
      </c>
      <c r="CP18" s="2">
        <f t="shared" si="3"/>
        <v>0</v>
      </c>
      <c r="CQ18" s="2">
        <f t="shared" si="3"/>
        <v>0</v>
      </c>
      <c r="CR18" s="2">
        <f t="shared" si="3"/>
        <v>0</v>
      </c>
      <c r="CS18" s="2">
        <f t="shared" si="3"/>
        <v>0</v>
      </c>
      <c r="CT18" s="2">
        <f t="shared" si="3"/>
        <v>0</v>
      </c>
      <c r="CU18" s="2">
        <f t="shared" si="3"/>
        <v>0</v>
      </c>
      <c r="CV18" s="2">
        <f t="shared" si="3"/>
        <v>0</v>
      </c>
      <c r="CW18" s="2">
        <f t="shared" si="3"/>
        <v>0</v>
      </c>
      <c r="CX18" s="2">
        <f t="shared" si="3"/>
        <v>0</v>
      </c>
      <c r="CY18" s="2">
        <f t="shared" si="3"/>
        <v>0</v>
      </c>
      <c r="CZ18" s="2">
        <f t="shared" si="3"/>
        <v>0</v>
      </c>
      <c r="DA18" s="2">
        <f t="shared" si="3"/>
        <v>0</v>
      </c>
      <c r="DB18" s="2">
        <f t="shared" si="3"/>
        <v>0</v>
      </c>
      <c r="DC18" s="2">
        <f t="shared" si="3"/>
        <v>0</v>
      </c>
      <c r="DD18" s="2">
        <f t="shared" si="3"/>
        <v>0</v>
      </c>
      <c r="DE18" s="2">
        <f t="shared" si="3"/>
        <v>0</v>
      </c>
      <c r="DF18" s="2">
        <f t="shared" si="3"/>
        <v>0</v>
      </c>
      <c r="DG18" s="3">
        <f t="shared" ref="DG18:EL18" si="4">DG69</f>
        <v>0</v>
      </c>
      <c r="DH18" s="3">
        <f t="shared" si="4"/>
        <v>0</v>
      </c>
      <c r="DI18" s="3">
        <f t="shared" si="4"/>
        <v>0</v>
      </c>
      <c r="DJ18" s="3">
        <f t="shared" si="4"/>
        <v>0</v>
      </c>
      <c r="DK18" s="3">
        <f t="shared" si="4"/>
        <v>0</v>
      </c>
      <c r="DL18" s="3">
        <f t="shared" si="4"/>
        <v>0</v>
      </c>
      <c r="DM18" s="3">
        <f t="shared" si="4"/>
        <v>0</v>
      </c>
      <c r="DN18" s="3">
        <f t="shared" si="4"/>
        <v>0</v>
      </c>
      <c r="DO18" s="3">
        <f t="shared" si="4"/>
        <v>0</v>
      </c>
      <c r="DP18" s="3">
        <f t="shared" si="4"/>
        <v>0</v>
      </c>
      <c r="DQ18" s="3">
        <f t="shared" si="4"/>
        <v>0</v>
      </c>
      <c r="DR18" s="3">
        <f t="shared" si="4"/>
        <v>0</v>
      </c>
      <c r="DS18" s="3">
        <f t="shared" si="4"/>
        <v>0</v>
      </c>
      <c r="DT18" s="3">
        <f t="shared" si="4"/>
        <v>0</v>
      </c>
      <c r="DU18" s="3">
        <f t="shared" si="4"/>
        <v>0</v>
      </c>
      <c r="DV18" s="3">
        <f t="shared" si="4"/>
        <v>0</v>
      </c>
      <c r="DW18" s="3">
        <f t="shared" si="4"/>
        <v>0</v>
      </c>
      <c r="DX18" s="3">
        <f t="shared" si="4"/>
        <v>0</v>
      </c>
      <c r="DY18" s="3">
        <f t="shared" si="4"/>
        <v>0</v>
      </c>
      <c r="DZ18" s="3">
        <f t="shared" si="4"/>
        <v>0</v>
      </c>
      <c r="EA18" s="3">
        <f t="shared" si="4"/>
        <v>0</v>
      </c>
      <c r="EB18" s="3">
        <f t="shared" si="4"/>
        <v>0</v>
      </c>
      <c r="EC18" s="3">
        <f t="shared" si="4"/>
        <v>0</v>
      </c>
      <c r="ED18" s="3">
        <f t="shared" si="4"/>
        <v>0</v>
      </c>
      <c r="EE18" s="3">
        <f t="shared" si="4"/>
        <v>0</v>
      </c>
      <c r="EF18" s="3">
        <f t="shared" si="4"/>
        <v>0</v>
      </c>
      <c r="EG18" s="3">
        <f t="shared" si="4"/>
        <v>0</v>
      </c>
      <c r="EH18" s="3">
        <f t="shared" si="4"/>
        <v>0</v>
      </c>
      <c r="EI18" s="3">
        <f t="shared" si="4"/>
        <v>0</v>
      </c>
      <c r="EJ18" s="3">
        <f t="shared" si="4"/>
        <v>0</v>
      </c>
      <c r="EK18" s="3">
        <f t="shared" si="4"/>
        <v>0</v>
      </c>
      <c r="EL18" s="3">
        <f t="shared" si="4"/>
        <v>0</v>
      </c>
      <c r="EM18" s="3">
        <f t="shared" ref="EM18:FR18" si="5">EM69</f>
        <v>0</v>
      </c>
      <c r="EN18" s="3">
        <f t="shared" si="5"/>
        <v>0</v>
      </c>
      <c r="EO18" s="3">
        <f t="shared" si="5"/>
        <v>0</v>
      </c>
      <c r="EP18" s="3">
        <f t="shared" si="5"/>
        <v>0</v>
      </c>
      <c r="EQ18" s="3">
        <f t="shared" si="5"/>
        <v>0</v>
      </c>
      <c r="ER18" s="3">
        <f t="shared" si="5"/>
        <v>0</v>
      </c>
      <c r="ES18" s="3">
        <f t="shared" si="5"/>
        <v>0</v>
      </c>
      <c r="ET18" s="3">
        <f t="shared" si="5"/>
        <v>0</v>
      </c>
      <c r="EU18" s="3">
        <f t="shared" si="5"/>
        <v>0</v>
      </c>
      <c r="EV18" s="3">
        <f t="shared" si="5"/>
        <v>0</v>
      </c>
      <c r="EW18" s="3">
        <f t="shared" si="5"/>
        <v>0</v>
      </c>
      <c r="EX18" s="3">
        <f t="shared" si="5"/>
        <v>0</v>
      </c>
      <c r="EY18" s="3">
        <f t="shared" si="5"/>
        <v>0</v>
      </c>
      <c r="EZ18" s="3">
        <f t="shared" si="5"/>
        <v>0</v>
      </c>
      <c r="FA18" s="3">
        <f t="shared" si="5"/>
        <v>0</v>
      </c>
      <c r="FB18" s="3">
        <f t="shared" si="5"/>
        <v>0</v>
      </c>
      <c r="FC18" s="3">
        <f t="shared" si="5"/>
        <v>0</v>
      </c>
      <c r="FD18" s="3">
        <f t="shared" si="5"/>
        <v>0</v>
      </c>
      <c r="FE18" s="3">
        <f t="shared" si="5"/>
        <v>0</v>
      </c>
      <c r="FF18" s="3">
        <f t="shared" si="5"/>
        <v>0</v>
      </c>
      <c r="FG18" s="3">
        <f t="shared" si="5"/>
        <v>0</v>
      </c>
      <c r="FH18" s="3">
        <f t="shared" si="5"/>
        <v>0</v>
      </c>
      <c r="FI18" s="3">
        <f t="shared" si="5"/>
        <v>0</v>
      </c>
      <c r="FJ18" s="3">
        <f t="shared" si="5"/>
        <v>0</v>
      </c>
      <c r="FK18" s="3">
        <f t="shared" si="5"/>
        <v>0</v>
      </c>
      <c r="FL18" s="3">
        <f t="shared" si="5"/>
        <v>0</v>
      </c>
      <c r="FM18" s="3">
        <f t="shared" si="5"/>
        <v>0</v>
      </c>
      <c r="FN18" s="3">
        <f t="shared" si="5"/>
        <v>0</v>
      </c>
      <c r="FO18" s="3">
        <f t="shared" si="5"/>
        <v>0</v>
      </c>
      <c r="FP18" s="3">
        <f t="shared" si="5"/>
        <v>0</v>
      </c>
      <c r="FQ18" s="3">
        <f t="shared" si="5"/>
        <v>0</v>
      </c>
      <c r="FR18" s="3">
        <f t="shared" si="5"/>
        <v>0</v>
      </c>
      <c r="FS18" s="3">
        <f t="shared" ref="FS18:GX18" si="6">FS69</f>
        <v>0</v>
      </c>
      <c r="FT18" s="3">
        <f t="shared" si="6"/>
        <v>0</v>
      </c>
      <c r="FU18" s="3">
        <f t="shared" si="6"/>
        <v>0</v>
      </c>
      <c r="FV18" s="3">
        <f t="shared" si="6"/>
        <v>0</v>
      </c>
      <c r="FW18" s="3">
        <f t="shared" si="6"/>
        <v>0</v>
      </c>
      <c r="FX18" s="3">
        <f t="shared" si="6"/>
        <v>0</v>
      </c>
      <c r="FY18" s="3">
        <f t="shared" si="6"/>
        <v>0</v>
      </c>
      <c r="FZ18" s="3">
        <f t="shared" si="6"/>
        <v>0</v>
      </c>
      <c r="GA18" s="3">
        <f t="shared" si="6"/>
        <v>0</v>
      </c>
      <c r="GB18" s="3">
        <f t="shared" si="6"/>
        <v>0</v>
      </c>
      <c r="GC18" s="3">
        <f t="shared" si="6"/>
        <v>0</v>
      </c>
      <c r="GD18" s="3">
        <f t="shared" si="6"/>
        <v>0</v>
      </c>
      <c r="GE18" s="3">
        <f t="shared" si="6"/>
        <v>0</v>
      </c>
      <c r="GF18" s="3">
        <f t="shared" si="6"/>
        <v>0</v>
      </c>
      <c r="GG18" s="3">
        <f t="shared" si="6"/>
        <v>0</v>
      </c>
      <c r="GH18" s="3">
        <f t="shared" si="6"/>
        <v>0</v>
      </c>
      <c r="GI18" s="3">
        <f t="shared" si="6"/>
        <v>0</v>
      </c>
      <c r="GJ18" s="3">
        <f t="shared" si="6"/>
        <v>0</v>
      </c>
      <c r="GK18" s="3">
        <f t="shared" si="6"/>
        <v>0</v>
      </c>
      <c r="GL18" s="3">
        <f t="shared" si="6"/>
        <v>0</v>
      </c>
      <c r="GM18" s="3">
        <f t="shared" si="6"/>
        <v>0</v>
      </c>
      <c r="GN18" s="3">
        <f t="shared" si="6"/>
        <v>0</v>
      </c>
      <c r="GO18" s="3">
        <f t="shared" si="6"/>
        <v>0</v>
      </c>
      <c r="GP18" s="3">
        <f t="shared" si="6"/>
        <v>0</v>
      </c>
      <c r="GQ18" s="3">
        <f t="shared" si="6"/>
        <v>0</v>
      </c>
      <c r="GR18" s="3">
        <f t="shared" si="6"/>
        <v>0</v>
      </c>
      <c r="GS18" s="3">
        <f t="shared" si="6"/>
        <v>0</v>
      </c>
      <c r="GT18" s="3">
        <f t="shared" si="6"/>
        <v>0</v>
      </c>
      <c r="GU18" s="3">
        <f t="shared" si="6"/>
        <v>0</v>
      </c>
      <c r="GV18" s="3">
        <f t="shared" si="6"/>
        <v>0</v>
      </c>
      <c r="GW18" s="3">
        <f t="shared" si="6"/>
        <v>0</v>
      </c>
      <c r="GX18" s="3">
        <f t="shared" si="6"/>
        <v>0</v>
      </c>
    </row>
    <row r="20" spans="1:245">
      <c r="A20" s="1">
        <v>3</v>
      </c>
      <c r="B20" s="1">
        <v>1</v>
      </c>
      <c r="C20" s="1"/>
      <c r="D20" s="1">
        <f>ROW(A39)</f>
        <v>39</v>
      </c>
      <c r="E20" s="1"/>
      <c r="F20" s="1" t="s">
        <v>12</v>
      </c>
      <c r="G20" s="1" t="s">
        <v>12</v>
      </c>
      <c r="H20" s="1" t="s">
        <v>3</v>
      </c>
      <c r="I20" s="1">
        <v>0</v>
      </c>
      <c r="J20" s="1" t="s">
        <v>3</v>
      </c>
      <c r="K20" s="1">
        <v>0</v>
      </c>
      <c r="L20" s="1" t="s">
        <v>3</v>
      </c>
      <c r="M20" s="1" t="s">
        <v>3</v>
      </c>
      <c r="N20" s="1"/>
      <c r="O20" s="1"/>
      <c r="P20" s="1"/>
      <c r="Q20" s="1"/>
      <c r="R20" s="1"/>
      <c r="S20" s="1">
        <v>0</v>
      </c>
      <c r="T20" s="1"/>
      <c r="U20" s="1" t="s">
        <v>3</v>
      </c>
      <c r="V20" s="1">
        <v>0</v>
      </c>
      <c r="W20" s="1"/>
      <c r="X20" s="1"/>
      <c r="Y20" s="1"/>
      <c r="Z20" s="1"/>
      <c r="AA20" s="1"/>
      <c r="AB20" s="1" t="s">
        <v>3</v>
      </c>
      <c r="AC20" s="1" t="s">
        <v>3</v>
      </c>
      <c r="AD20" s="1" t="s">
        <v>3</v>
      </c>
      <c r="AE20" s="1" t="s">
        <v>3</v>
      </c>
      <c r="AF20" s="1" t="s">
        <v>3</v>
      </c>
      <c r="AG20" s="1" t="s">
        <v>3</v>
      </c>
      <c r="AH20" s="1"/>
      <c r="AI20" s="1"/>
      <c r="AJ20" s="1"/>
      <c r="AK20" s="1"/>
      <c r="AL20" s="1"/>
      <c r="AM20" s="1"/>
      <c r="AN20" s="1"/>
      <c r="AO20" s="1"/>
      <c r="AP20" s="1" t="s">
        <v>3</v>
      </c>
      <c r="AQ20" s="1" t="s">
        <v>3</v>
      </c>
      <c r="AR20" s="1" t="s">
        <v>3</v>
      </c>
      <c r="AS20" s="1"/>
      <c r="AT20" s="1"/>
      <c r="AU20" s="1"/>
      <c r="AV20" s="1"/>
      <c r="AW20" s="1"/>
      <c r="AX20" s="1"/>
      <c r="AY20" s="1"/>
      <c r="AZ20" s="1" t="s">
        <v>3</v>
      </c>
      <c r="BA20" s="1"/>
      <c r="BB20" s="1" t="s">
        <v>3</v>
      </c>
      <c r="BC20" s="1" t="s">
        <v>3</v>
      </c>
      <c r="BD20" s="1" t="s">
        <v>3</v>
      </c>
      <c r="BE20" s="1" t="s">
        <v>3</v>
      </c>
      <c r="BF20" s="1" t="s">
        <v>3</v>
      </c>
      <c r="BG20" s="1" t="s">
        <v>3</v>
      </c>
      <c r="BH20" s="1" t="s">
        <v>3</v>
      </c>
      <c r="BI20" s="1" t="s">
        <v>3</v>
      </c>
      <c r="BJ20" s="1" t="s">
        <v>3</v>
      </c>
      <c r="BK20" s="1" t="s">
        <v>3</v>
      </c>
      <c r="BL20" s="1" t="s">
        <v>3</v>
      </c>
      <c r="BM20" s="1" t="s">
        <v>3</v>
      </c>
      <c r="BN20" s="1" t="s">
        <v>3</v>
      </c>
      <c r="BO20" s="1" t="s">
        <v>3</v>
      </c>
      <c r="BP20" s="1" t="s">
        <v>3</v>
      </c>
      <c r="BQ20" s="1"/>
      <c r="BR20" s="1"/>
      <c r="BS20" s="1"/>
      <c r="BT20" s="1"/>
      <c r="BU20" s="1"/>
      <c r="BV20" s="1"/>
      <c r="BW20" s="1"/>
      <c r="BX20" s="1">
        <v>0</v>
      </c>
      <c r="BY20" s="1"/>
      <c r="BZ20" s="1"/>
      <c r="CA20" s="1"/>
      <c r="CB20" s="1"/>
      <c r="CC20" s="1"/>
      <c r="CD20" s="1"/>
      <c r="CE20" s="1"/>
      <c r="CF20" s="1">
        <v>0</v>
      </c>
      <c r="CG20" s="1">
        <v>0</v>
      </c>
      <c r="CH20" s="1"/>
      <c r="CI20" s="1" t="s">
        <v>3</v>
      </c>
      <c r="CJ20" s="1" t="s">
        <v>3</v>
      </c>
      <c r="CK20" t="s">
        <v>3</v>
      </c>
      <c r="CL20" t="s">
        <v>3</v>
      </c>
      <c r="CM20" t="s">
        <v>3</v>
      </c>
      <c r="CN20" t="s">
        <v>3</v>
      </c>
      <c r="CO20" t="s">
        <v>3</v>
      </c>
      <c r="CP20" t="s">
        <v>3</v>
      </c>
      <c r="CQ20" t="s">
        <v>3</v>
      </c>
    </row>
    <row r="22" spans="1:245">
      <c r="A22" s="2">
        <v>52</v>
      </c>
      <c r="B22" s="2">
        <f t="shared" ref="B22:G22" si="7">B39</f>
        <v>1</v>
      </c>
      <c r="C22" s="2">
        <f t="shared" si="7"/>
        <v>3</v>
      </c>
      <c r="D22" s="2">
        <f t="shared" si="7"/>
        <v>20</v>
      </c>
      <c r="E22" s="2">
        <f t="shared" si="7"/>
        <v>0</v>
      </c>
      <c r="F22" s="2" t="str">
        <f t="shared" si="7"/>
        <v>Новая локальная смета</v>
      </c>
      <c r="G22" s="2" t="str">
        <f t="shared" si="7"/>
        <v>Новая локальная смета</v>
      </c>
      <c r="H22" s="2"/>
      <c r="I22" s="2"/>
      <c r="J22" s="2"/>
      <c r="K22" s="2"/>
      <c r="L22" s="2"/>
      <c r="M22" s="2"/>
      <c r="N22" s="2"/>
      <c r="O22" s="2">
        <f t="shared" ref="O22:AT22" si="8">O39</f>
        <v>36235.67</v>
      </c>
      <c r="P22" s="2">
        <f t="shared" si="8"/>
        <v>24252.03</v>
      </c>
      <c r="Q22" s="2">
        <f t="shared" si="8"/>
        <v>303.22000000000003</v>
      </c>
      <c r="R22" s="2">
        <f t="shared" si="8"/>
        <v>8.89</v>
      </c>
      <c r="S22" s="2">
        <f t="shared" si="8"/>
        <v>11680.42</v>
      </c>
      <c r="T22" s="2">
        <f t="shared" si="8"/>
        <v>0</v>
      </c>
      <c r="U22" s="2">
        <f t="shared" si="8"/>
        <v>40.202400000000004</v>
      </c>
      <c r="V22" s="2">
        <f t="shared" si="8"/>
        <v>2.1000000000000001E-2</v>
      </c>
      <c r="W22" s="2">
        <f t="shared" si="8"/>
        <v>8.7200000000000006</v>
      </c>
      <c r="X22" s="2">
        <f t="shared" si="8"/>
        <v>10131.4</v>
      </c>
      <c r="Y22" s="2">
        <f t="shared" si="8"/>
        <v>7273.57</v>
      </c>
      <c r="Z22" s="2">
        <f t="shared" si="8"/>
        <v>0</v>
      </c>
      <c r="AA22" s="2">
        <f t="shared" si="8"/>
        <v>0</v>
      </c>
      <c r="AB22" s="2">
        <f t="shared" si="8"/>
        <v>36235.67</v>
      </c>
      <c r="AC22" s="2">
        <f t="shared" si="8"/>
        <v>24252.03</v>
      </c>
      <c r="AD22" s="2">
        <f t="shared" si="8"/>
        <v>303.22000000000003</v>
      </c>
      <c r="AE22" s="2">
        <f t="shared" si="8"/>
        <v>8.89</v>
      </c>
      <c r="AF22" s="2">
        <f t="shared" si="8"/>
        <v>11680.42</v>
      </c>
      <c r="AG22" s="2">
        <f t="shared" si="8"/>
        <v>0</v>
      </c>
      <c r="AH22" s="2">
        <f t="shared" si="8"/>
        <v>40.202400000000004</v>
      </c>
      <c r="AI22" s="2">
        <f t="shared" si="8"/>
        <v>2.1000000000000001E-2</v>
      </c>
      <c r="AJ22" s="2">
        <f t="shared" si="8"/>
        <v>8.7200000000000006</v>
      </c>
      <c r="AK22" s="2">
        <f t="shared" si="8"/>
        <v>10131.4</v>
      </c>
      <c r="AL22" s="2">
        <f t="shared" si="8"/>
        <v>7273.57</v>
      </c>
      <c r="AM22" s="2">
        <f t="shared" si="8"/>
        <v>0</v>
      </c>
      <c r="AN22" s="2">
        <f t="shared" si="8"/>
        <v>0</v>
      </c>
      <c r="AO22" s="2">
        <f t="shared" si="8"/>
        <v>0</v>
      </c>
      <c r="AP22" s="2">
        <f t="shared" si="8"/>
        <v>0</v>
      </c>
      <c r="AQ22" s="2">
        <f t="shared" si="8"/>
        <v>0</v>
      </c>
      <c r="AR22" s="2">
        <f t="shared" si="8"/>
        <v>53640.639999999999</v>
      </c>
      <c r="AS22" s="2">
        <f t="shared" si="8"/>
        <v>1446.5</v>
      </c>
      <c r="AT22" s="2">
        <f t="shared" si="8"/>
        <v>52194.14</v>
      </c>
      <c r="AU22" s="2">
        <f t="shared" ref="AU22:BZ22" si="9">AU39</f>
        <v>0</v>
      </c>
      <c r="AV22" s="2">
        <f t="shared" si="9"/>
        <v>24252.03</v>
      </c>
      <c r="AW22" s="2">
        <f t="shared" si="9"/>
        <v>24252.03</v>
      </c>
      <c r="AX22" s="2">
        <f t="shared" si="9"/>
        <v>0</v>
      </c>
      <c r="AY22" s="2">
        <f t="shared" si="9"/>
        <v>24252.03</v>
      </c>
      <c r="AZ22" s="2">
        <f t="shared" si="9"/>
        <v>0</v>
      </c>
      <c r="BA22" s="2">
        <f t="shared" si="9"/>
        <v>0</v>
      </c>
      <c r="BB22" s="2">
        <f t="shared" si="9"/>
        <v>0</v>
      </c>
      <c r="BC22" s="2">
        <f t="shared" si="9"/>
        <v>0</v>
      </c>
      <c r="BD22" s="2">
        <f t="shared" si="9"/>
        <v>0</v>
      </c>
      <c r="BE22" s="2">
        <f t="shared" si="9"/>
        <v>0</v>
      </c>
      <c r="BF22" s="2">
        <f t="shared" si="9"/>
        <v>0</v>
      </c>
      <c r="BG22" s="2">
        <f t="shared" si="9"/>
        <v>0</v>
      </c>
      <c r="BH22" s="2">
        <f t="shared" si="9"/>
        <v>0</v>
      </c>
      <c r="BI22" s="2">
        <f t="shared" si="9"/>
        <v>0</v>
      </c>
      <c r="BJ22" s="2">
        <f t="shared" si="9"/>
        <v>0</v>
      </c>
      <c r="BK22" s="2">
        <f t="shared" si="9"/>
        <v>0</v>
      </c>
      <c r="BL22" s="2">
        <f t="shared" si="9"/>
        <v>0</v>
      </c>
      <c r="BM22" s="2">
        <f t="shared" si="9"/>
        <v>0</v>
      </c>
      <c r="BN22" s="2">
        <f t="shared" si="9"/>
        <v>0</v>
      </c>
      <c r="BO22" s="2">
        <f t="shared" si="9"/>
        <v>0</v>
      </c>
      <c r="BP22" s="2">
        <f t="shared" si="9"/>
        <v>0</v>
      </c>
      <c r="BQ22" s="2">
        <f t="shared" si="9"/>
        <v>0</v>
      </c>
      <c r="BR22" s="2">
        <f t="shared" si="9"/>
        <v>0</v>
      </c>
      <c r="BS22" s="2">
        <f t="shared" si="9"/>
        <v>0</v>
      </c>
      <c r="BT22" s="2">
        <f t="shared" si="9"/>
        <v>0</v>
      </c>
      <c r="BU22" s="2">
        <f t="shared" si="9"/>
        <v>0</v>
      </c>
      <c r="BV22" s="2">
        <f t="shared" si="9"/>
        <v>0</v>
      </c>
      <c r="BW22" s="2">
        <f t="shared" si="9"/>
        <v>0</v>
      </c>
      <c r="BX22" s="2">
        <f t="shared" si="9"/>
        <v>0</v>
      </c>
      <c r="BY22" s="2">
        <f t="shared" si="9"/>
        <v>0</v>
      </c>
      <c r="BZ22" s="2">
        <f t="shared" si="9"/>
        <v>0</v>
      </c>
      <c r="CA22" s="2">
        <f t="shared" ref="CA22:DF22" si="10">CA39</f>
        <v>53640.639999999999</v>
      </c>
      <c r="CB22" s="2">
        <f t="shared" si="10"/>
        <v>1446.5</v>
      </c>
      <c r="CC22" s="2">
        <f t="shared" si="10"/>
        <v>52194.14</v>
      </c>
      <c r="CD22" s="2">
        <f t="shared" si="10"/>
        <v>0</v>
      </c>
      <c r="CE22" s="2">
        <f t="shared" si="10"/>
        <v>24252.03</v>
      </c>
      <c r="CF22" s="2">
        <f t="shared" si="10"/>
        <v>24252.03</v>
      </c>
      <c r="CG22" s="2">
        <f t="shared" si="10"/>
        <v>0</v>
      </c>
      <c r="CH22" s="2">
        <f t="shared" si="10"/>
        <v>24252.03</v>
      </c>
      <c r="CI22" s="2">
        <f t="shared" si="10"/>
        <v>0</v>
      </c>
      <c r="CJ22" s="2">
        <f t="shared" si="10"/>
        <v>0</v>
      </c>
      <c r="CK22" s="2">
        <f t="shared" si="10"/>
        <v>0</v>
      </c>
      <c r="CL22" s="2">
        <f t="shared" si="10"/>
        <v>0</v>
      </c>
      <c r="CM22" s="2">
        <f t="shared" si="10"/>
        <v>0</v>
      </c>
      <c r="CN22" s="2">
        <f t="shared" si="10"/>
        <v>0</v>
      </c>
      <c r="CO22" s="2">
        <f t="shared" si="10"/>
        <v>0</v>
      </c>
      <c r="CP22" s="2">
        <f t="shared" si="10"/>
        <v>0</v>
      </c>
      <c r="CQ22" s="2">
        <f t="shared" si="10"/>
        <v>0</v>
      </c>
      <c r="CR22" s="2">
        <f t="shared" si="10"/>
        <v>0</v>
      </c>
      <c r="CS22" s="2">
        <f t="shared" si="10"/>
        <v>0</v>
      </c>
      <c r="CT22" s="2">
        <f t="shared" si="10"/>
        <v>0</v>
      </c>
      <c r="CU22" s="2">
        <f t="shared" si="10"/>
        <v>0</v>
      </c>
      <c r="CV22" s="2">
        <f t="shared" si="10"/>
        <v>0</v>
      </c>
      <c r="CW22" s="2">
        <f t="shared" si="10"/>
        <v>0</v>
      </c>
      <c r="CX22" s="2">
        <f t="shared" si="10"/>
        <v>0</v>
      </c>
      <c r="CY22" s="2">
        <f t="shared" si="10"/>
        <v>0</v>
      </c>
      <c r="CZ22" s="2">
        <f t="shared" si="10"/>
        <v>0</v>
      </c>
      <c r="DA22" s="2">
        <f t="shared" si="10"/>
        <v>0</v>
      </c>
      <c r="DB22" s="2">
        <f t="shared" si="10"/>
        <v>0</v>
      </c>
      <c r="DC22" s="2">
        <f t="shared" si="10"/>
        <v>0</v>
      </c>
      <c r="DD22" s="2">
        <f t="shared" si="10"/>
        <v>0</v>
      </c>
      <c r="DE22" s="2">
        <f t="shared" si="10"/>
        <v>0</v>
      </c>
      <c r="DF22" s="2">
        <f t="shared" si="10"/>
        <v>0</v>
      </c>
      <c r="DG22" s="3">
        <f t="shared" ref="DG22:EL22" si="11">DG39</f>
        <v>0</v>
      </c>
      <c r="DH22" s="3">
        <f t="shared" si="11"/>
        <v>0</v>
      </c>
      <c r="DI22" s="3">
        <f t="shared" si="11"/>
        <v>0</v>
      </c>
      <c r="DJ22" s="3">
        <f t="shared" si="11"/>
        <v>0</v>
      </c>
      <c r="DK22" s="3">
        <f t="shared" si="11"/>
        <v>0</v>
      </c>
      <c r="DL22" s="3">
        <f t="shared" si="11"/>
        <v>0</v>
      </c>
      <c r="DM22" s="3">
        <f t="shared" si="11"/>
        <v>0</v>
      </c>
      <c r="DN22" s="3">
        <f t="shared" si="11"/>
        <v>0</v>
      </c>
      <c r="DO22" s="3">
        <f t="shared" si="11"/>
        <v>0</v>
      </c>
      <c r="DP22" s="3">
        <f t="shared" si="11"/>
        <v>0</v>
      </c>
      <c r="DQ22" s="3">
        <f t="shared" si="11"/>
        <v>0</v>
      </c>
      <c r="DR22" s="3">
        <f t="shared" si="11"/>
        <v>0</v>
      </c>
      <c r="DS22" s="3">
        <f t="shared" si="11"/>
        <v>0</v>
      </c>
      <c r="DT22" s="3">
        <f t="shared" si="11"/>
        <v>0</v>
      </c>
      <c r="DU22" s="3">
        <f t="shared" si="11"/>
        <v>0</v>
      </c>
      <c r="DV22" s="3">
        <f t="shared" si="11"/>
        <v>0</v>
      </c>
      <c r="DW22" s="3">
        <f t="shared" si="11"/>
        <v>0</v>
      </c>
      <c r="DX22" s="3">
        <f t="shared" si="11"/>
        <v>0</v>
      </c>
      <c r="DY22" s="3">
        <f t="shared" si="11"/>
        <v>0</v>
      </c>
      <c r="DZ22" s="3">
        <f t="shared" si="11"/>
        <v>0</v>
      </c>
      <c r="EA22" s="3">
        <f t="shared" si="11"/>
        <v>0</v>
      </c>
      <c r="EB22" s="3">
        <f t="shared" si="11"/>
        <v>0</v>
      </c>
      <c r="EC22" s="3">
        <f t="shared" si="11"/>
        <v>0</v>
      </c>
      <c r="ED22" s="3">
        <f t="shared" si="11"/>
        <v>0</v>
      </c>
      <c r="EE22" s="3">
        <f t="shared" si="11"/>
        <v>0</v>
      </c>
      <c r="EF22" s="3">
        <f t="shared" si="11"/>
        <v>0</v>
      </c>
      <c r="EG22" s="3">
        <f t="shared" si="11"/>
        <v>0</v>
      </c>
      <c r="EH22" s="3">
        <f t="shared" si="11"/>
        <v>0</v>
      </c>
      <c r="EI22" s="3">
        <f t="shared" si="11"/>
        <v>0</v>
      </c>
      <c r="EJ22" s="3">
        <f t="shared" si="11"/>
        <v>0</v>
      </c>
      <c r="EK22" s="3">
        <f t="shared" si="11"/>
        <v>0</v>
      </c>
      <c r="EL22" s="3">
        <f t="shared" si="11"/>
        <v>0</v>
      </c>
      <c r="EM22" s="3">
        <f t="shared" ref="EM22:FR22" si="12">EM39</f>
        <v>0</v>
      </c>
      <c r="EN22" s="3">
        <f t="shared" si="12"/>
        <v>0</v>
      </c>
      <c r="EO22" s="3">
        <f t="shared" si="12"/>
        <v>0</v>
      </c>
      <c r="EP22" s="3">
        <f t="shared" si="12"/>
        <v>0</v>
      </c>
      <c r="EQ22" s="3">
        <f t="shared" si="12"/>
        <v>0</v>
      </c>
      <c r="ER22" s="3">
        <f t="shared" si="12"/>
        <v>0</v>
      </c>
      <c r="ES22" s="3">
        <f t="shared" si="12"/>
        <v>0</v>
      </c>
      <c r="ET22" s="3">
        <f t="shared" si="12"/>
        <v>0</v>
      </c>
      <c r="EU22" s="3">
        <f t="shared" si="12"/>
        <v>0</v>
      </c>
      <c r="EV22" s="3">
        <f t="shared" si="12"/>
        <v>0</v>
      </c>
      <c r="EW22" s="3">
        <f t="shared" si="12"/>
        <v>0</v>
      </c>
      <c r="EX22" s="3">
        <f t="shared" si="12"/>
        <v>0</v>
      </c>
      <c r="EY22" s="3">
        <f t="shared" si="12"/>
        <v>0</v>
      </c>
      <c r="EZ22" s="3">
        <f t="shared" si="12"/>
        <v>0</v>
      </c>
      <c r="FA22" s="3">
        <f t="shared" si="12"/>
        <v>0</v>
      </c>
      <c r="FB22" s="3">
        <f t="shared" si="12"/>
        <v>0</v>
      </c>
      <c r="FC22" s="3">
        <f t="shared" si="12"/>
        <v>0</v>
      </c>
      <c r="FD22" s="3">
        <f t="shared" si="12"/>
        <v>0</v>
      </c>
      <c r="FE22" s="3">
        <f t="shared" si="12"/>
        <v>0</v>
      </c>
      <c r="FF22" s="3">
        <f t="shared" si="12"/>
        <v>0</v>
      </c>
      <c r="FG22" s="3">
        <f t="shared" si="12"/>
        <v>0</v>
      </c>
      <c r="FH22" s="3">
        <f t="shared" si="12"/>
        <v>0</v>
      </c>
      <c r="FI22" s="3">
        <f t="shared" si="12"/>
        <v>0</v>
      </c>
      <c r="FJ22" s="3">
        <f t="shared" si="12"/>
        <v>0</v>
      </c>
      <c r="FK22" s="3">
        <f t="shared" si="12"/>
        <v>0</v>
      </c>
      <c r="FL22" s="3">
        <f t="shared" si="12"/>
        <v>0</v>
      </c>
      <c r="FM22" s="3">
        <f t="shared" si="12"/>
        <v>0</v>
      </c>
      <c r="FN22" s="3">
        <f t="shared" si="12"/>
        <v>0</v>
      </c>
      <c r="FO22" s="3">
        <f t="shared" si="12"/>
        <v>0</v>
      </c>
      <c r="FP22" s="3">
        <f t="shared" si="12"/>
        <v>0</v>
      </c>
      <c r="FQ22" s="3">
        <f t="shared" si="12"/>
        <v>0</v>
      </c>
      <c r="FR22" s="3">
        <f t="shared" si="12"/>
        <v>0</v>
      </c>
      <c r="FS22" s="3">
        <f t="shared" ref="FS22:GX22" si="13">FS39</f>
        <v>0</v>
      </c>
      <c r="FT22" s="3">
        <f t="shared" si="13"/>
        <v>0</v>
      </c>
      <c r="FU22" s="3">
        <f t="shared" si="13"/>
        <v>0</v>
      </c>
      <c r="FV22" s="3">
        <f t="shared" si="13"/>
        <v>0</v>
      </c>
      <c r="FW22" s="3">
        <f t="shared" si="13"/>
        <v>0</v>
      </c>
      <c r="FX22" s="3">
        <f t="shared" si="13"/>
        <v>0</v>
      </c>
      <c r="FY22" s="3">
        <f t="shared" si="13"/>
        <v>0</v>
      </c>
      <c r="FZ22" s="3">
        <f t="shared" si="13"/>
        <v>0</v>
      </c>
      <c r="GA22" s="3">
        <f t="shared" si="13"/>
        <v>0</v>
      </c>
      <c r="GB22" s="3">
        <f t="shared" si="13"/>
        <v>0</v>
      </c>
      <c r="GC22" s="3">
        <f t="shared" si="13"/>
        <v>0</v>
      </c>
      <c r="GD22" s="3">
        <f t="shared" si="13"/>
        <v>0</v>
      </c>
      <c r="GE22" s="3">
        <f t="shared" si="13"/>
        <v>0</v>
      </c>
      <c r="GF22" s="3">
        <f t="shared" si="13"/>
        <v>0</v>
      </c>
      <c r="GG22" s="3">
        <f t="shared" si="13"/>
        <v>0</v>
      </c>
      <c r="GH22" s="3">
        <f t="shared" si="13"/>
        <v>0</v>
      </c>
      <c r="GI22" s="3">
        <f t="shared" si="13"/>
        <v>0</v>
      </c>
      <c r="GJ22" s="3">
        <f t="shared" si="13"/>
        <v>0</v>
      </c>
      <c r="GK22" s="3">
        <f t="shared" si="13"/>
        <v>0</v>
      </c>
      <c r="GL22" s="3">
        <f t="shared" si="13"/>
        <v>0</v>
      </c>
      <c r="GM22" s="3">
        <f t="shared" si="13"/>
        <v>0</v>
      </c>
      <c r="GN22" s="3">
        <f t="shared" si="13"/>
        <v>0</v>
      </c>
      <c r="GO22" s="3">
        <f t="shared" si="13"/>
        <v>0</v>
      </c>
      <c r="GP22" s="3">
        <f t="shared" si="13"/>
        <v>0</v>
      </c>
      <c r="GQ22" s="3">
        <f t="shared" si="13"/>
        <v>0</v>
      </c>
      <c r="GR22" s="3">
        <f t="shared" si="13"/>
        <v>0</v>
      </c>
      <c r="GS22" s="3">
        <f t="shared" si="13"/>
        <v>0</v>
      </c>
      <c r="GT22" s="3">
        <f t="shared" si="13"/>
        <v>0</v>
      </c>
      <c r="GU22" s="3">
        <f t="shared" si="13"/>
        <v>0</v>
      </c>
      <c r="GV22" s="3">
        <f t="shared" si="13"/>
        <v>0</v>
      </c>
      <c r="GW22" s="3">
        <f t="shared" si="13"/>
        <v>0</v>
      </c>
      <c r="GX22" s="3">
        <f t="shared" si="13"/>
        <v>0</v>
      </c>
    </row>
    <row r="24" spans="1:245">
      <c r="A24">
        <v>17</v>
      </c>
      <c r="B24">
        <v>1</v>
      </c>
      <c r="C24">
        <f>ROW(SmtRes!A8)</f>
        <v>8</v>
      </c>
      <c r="D24">
        <f>ROW(EtalonRes!A7)</f>
        <v>7</v>
      </c>
      <c r="E24" t="s">
        <v>13</v>
      </c>
      <c r="F24" t="s">
        <v>14</v>
      </c>
      <c r="G24" t="s">
        <v>15</v>
      </c>
      <c r="H24" t="s">
        <v>16</v>
      </c>
      <c r="I24">
        <v>1</v>
      </c>
      <c r="J24">
        <v>0</v>
      </c>
      <c r="O24">
        <f t="shared" ref="O24:O37" si="14">ROUND(CP24,2)</f>
        <v>393.31</v>
      </c>
      <c r="P24">
        <f t="shared" ref="P24:P37" si="15">ROUND(CQ24*I24,2)</f>
        <v>21.32</v>
      </c>
      <c r="Q24">
        <f t="shared" ref="Q24:Q37" si="16">ROUND(CR24*I24,2)</f>
        <v>0.94</v>
      </c>
      <c r="R24">
        <f t="shared" ref="R24:R37" si="17">ROUND(CS24*I24,2)</f>
        <v>0</v>
      </c>
      <c r="S24">
        <f t="shared" ref="S24:S37" si="18">ROUND(CT24*I24,2)</f>
        <v>371.05</v>
      </c>
      <c r="T24">
        <f t="shared" ref="T24:T37" si="19">ROUND(CU24*I24,2)</f>
        <v>0</v>
      </c>
      <c r="U24">
        <f t="shared" ref="U24:U37" si="20">CV24*I24</f>
        <v>1.2</v>
      </c>
      <c r="V24">
        <f t="shared" ref="V24:V37" si="21">CW24*I24</f>
        <v>0</v>
      </c>
      <c r="W24">
        <f t="shared" ref="W24:W37" si="22">ROUND(CX24*I24,2)</f>
        <v>0</v>
      </c>
      <c r="X24">
        <f t="shared" ref="X24:X37" si="23">ROUND(CY24,2)</f>
        <v>296.83999999999997</v>
      </c>
      <c r="Y24">
        <f t="shared" ref="Y24:Y37" si="24">ROUND(CZ24,2)</f>
        <v>222.63</v>
      </c>
      <c r="AA24">
        <v>34944170</v>
      </c>
      <c r="AB24">
        <f t="shared" ref="AB24:AB37" si="25">ROUND((AC24+AD24+AF24),6)</f>
        <v>15.79</v>
      </c>
      <c r="AC24">
        <f t="shared" ref="AC24:AC37" si="26">ROUND((ES24),6)</f>
        <v>3.29</v>
      </c>
      <c r="AD24">
        <f t="shared" ref="AD24:AD37" si="27">ROUND((((ET24)-(EU24))+AE24),6)</f>
        <v>0.25</v>
      </c>
      <c r="AE24">
        <f t="shared" ref="AE24:AE37" si="28">ROUND((EU24),6)</f>
        <v>0</v>
      </c>
      <c r="AF24">
        <f t="shared" ref="AF24:AF37" si="29">ROUND((EV24),6)</f>
        <v>12.25</v>
      </c>
      <c r="AG24">
        <f t="shared" ref="AG24:AG37" si="30">ROUND((AP24),6)</f>
        <v>0</v>
      </c>
      <c r="AH24">
        <f t="shared" ref="AH24:AH37" si="31">(EW24)</f>
        <v>1.2</v>
      </c>
      <c r="AI24">
        <f t="shared" ref="AI24:AI37" si="32">(EX24)</f>
        <v>0</v>
      </c>
      <c r="AJ24">
        <f t="shared" ref="AJ24:AJ37" si="33">(AS24)</f>
        <v>0</v>
      </c>
      <c r="AK24">
        <v>15.79</v>
      </c>
      <c r="AL24">
        <v>3.29</v>
      </c>
      <c r="AM24">
        <v>0.25</v>
      </c>
      <c r="AN24">
        <v>0</v>
      </c>
      <c r="AO24">
        <v>12.25</v>
      </c>
      <c r="AP24">
        <v>0</v>
      </c>
      <c r="AQ24">
        <v>1.2</v>
      </c>
      <c r="AR24">
        <v>0</v>
      </c>
      <c r="AS24">
        <v>0</v>
      </c>
      <c r="AT24">
        <v>80</v>
      </c>
      <c r="AU24">
        <v>60</v>
      </c>
      <c r="AV24">
        <v>1</v>
      </c>
      <c r="AW24">
        <v>1</v>
      </c>
      <c r="AZ24">
        <v>1</v>
      </c>
      <c r="BA24">
        <v>30.29</v>
      </c>
      <c r="BB24">
        <v>3.76</v>
      </c>
      <c r="BC24">
        <v>6.48</v>
      </c>
      <c r="BD24" t="s">
        <v>3</v>
      </c>
      <c r="BE24" t="s">
        <v>3</v>
      </c>
      <c r="BF24" t="s">
        <v>3</v>
      </c>
      <c r="BG24" t="s">
        <v>3</v>
      </c>
      <c r="BH24">
        <v>0</v>
      </c>
      <c r="BI24">
        <v>2</v>
      </c>
      <c r="BJ24" t="s">
        <v>17</v>
      </c>
      <c r="BM24">
        <v>110011</v>
      </c>
      <c r="BN24">
        <v>0</v>
      </c>
      <c r="BO24" t="s">
        <v>14</v>
      </c>
      <c r="BP24">
        <v>1</v>
      </c>
      <c r="BQ24">
        <v>3</v>
      </c>
      <c r="BR24">
        <v>0</v>
      </c>
      <c r="BS24">
        <v>30.29</v>
      </c>
      <c r="BT24">
        <v>1</v>
      </c>
      <c r="BU24">
        <v>1</v>
      </c>
      <c r="BV24">
        <v>1</v>
      </c>
      <c r="BW24">
        <v>1</v>
      </c>
      <c r="BX24">
        <v>1</v>
      </c>
      <c r="BY24" t="s">
        <v>3</v>
      </c>
      <c r="BZ24">
        <v>80</v>
      </c>
      <c r="CA24">
        <v>60</v>
      </c>
      <c r="CE24">
        <v>0</v>
      </c>
      <c r="CF24">
        <v>0</v>
      </c>
      <c r="CG24">
        <v>0</v>
      </c>
      <c r="CM24">
        <v>0</v>
      </c>
      <c r="CN24" t="s">
        <v>3</v>
      </c>
      <c r="CO24">
        <v>0</v>
      </c>
      <c r="CP24">
        <f t="shared" ref="CP24:CP37" si="34">(P24+Q24+S24)</f>
        <v>393.31</v>
      </c>
      <c r="CQ24">
        <f t="shared" ref="CQ24:CQ37" si="35">AC24*BC24</f>
        <v>21.319200000000002</v>
      </c>
      <c r="CR24">
        <f t="shared" ref="CR24:CR37" si="36">AD24*BB24</f>
        <v>0.94</v>
      </c>
      <c r="CS24">
        <f t="shared" ref="CS24:CS37" si="37">AE24*BS24</f>
        <v>0</v>
      </c>
      <c r="CT24">
        <f t="shared" ref="CT24:CT37" si="38">AF24*BA24</f>
        <v>371.05250000000001</v>
      </c>
      <c r="CU24">
        <f t="shared" ref="CU24:CU37" si="39">AG24</f>
        <v>0</v>
      </c>
      <c r="CV24">
        <f t="shared" ref="CV24:CV37" si="40">AH24</f>
        <v>1.2</v>
      </c>
      <c r="CW24">
        <f t="shared" ref="CW24:CW37" si="41">AI24</f>
        <v>0</v>
      </c>
      <c r="CX24">
        <f t="shared" ref="CX24:CX37" si="42">AJ24</f>
        <v>0</v>
      </c>
      <c r="CY24">
        <f t="shared" ref="CY24:CY37" si="43">(((S24+R24)*AT24)/100)</f>
        <v>296.83999999999997</v>
      </c>
      <c r="CZ24">
        <f t="shared" ref="CZ24:CZ37" si="44">(((S24+R24)*AU24)/100)</f>
        <v>222.63</v>
      </c>
      <c r="DC24" t="s">
        <v>3</v>
      </c>
      <c r="DD24" t="s">
        <v>3</v>
      </c>
      <c r="DE24" t="s">
        <v>3</v>
      </c>
      <c r="DF24" t="s">
        <v>3</v>
      </c>
      <c r="DG24" t="s">
        <v>3</v>
      </c>
      <c r="DH24" t="s">
        <v>3</v>
      </c>
      <c r="DI24" t="s">
        <v>3</v>
      </c>
      <c r="DJ24" t="s">
        <v>3</v>
      </c>
      <c r="DK24" t="s">
        <v>3</v>
      </c>
      <c r="DL24" t="s">
        <v>3</v>
      </c>
      <c r="DM24" t="s">
        <v>3</v>
      </c>
      <c r="DN24">
        <v>0</v>
      </c>
      <c r="DO24">
        <v>0</v>
      </c>
      <c r="DP24">
        <v>1</v>
      </c>
      <c r="DQ24">
        <v>1</v>
      </c>
      <c r="DU24">
        <v>1013</v>
      </c>
      <c r="DV24" t="s">
        <v>16</v>
      </c>
      <c r="DW24" t="s">
        <v>16</v>
      </c>
      <c r="DX24">
        <v>1</v>
      </c>
      <c r="DZ24" t="s">
        <v>3</v>
      </c>
      <c r="EA24" t="s">
        <v>3</v>
      </c>
      <c r="EB24" t="s">
        <v>3</v>
      </c>
      <c r="EC24" t="s">
        <v>3</v>
      </c>
      <c r="EE24">
        <v>35526009</v>
      </c>
      <c r="EF24">
        <v>3</v>
      </c>
      <c r="EG24" t="s">
        <v>18</v>
      </c>
      <c r="EH24">
        <v>0</v>
      </c>
      <c r="EI24" t="s">
        <v>3</v>
      </c>
      <c r="EJ24">
        <v>2</v>
      </c>
      <c r="EK24">
        <v>110011</v>
      </c>
      <c r="EL24" t="s">
        <v>19</v>
      </c>
      <c r="EM24" t="s">
        <v>20</v>
      </c>
      <c r="EO24" t="s">
        <v>3</v>
      </c>
      <c r="EQ24">
        <v>0</v>
      </c>
      <c r="ER24">
        <v>15.79</v>
      </c>
      <c r="ES24">
        <v>3.29</v>
      </c>
      <c r="ET24">
        <v>0.25</v>
      </c>
      <c r="EU24">
        <v>0</v>
      </c>
      <c r="EV24">
        <v>12.25</v>
      </c>
      <c r="EW24">
        <v>1.2</v>
      </c>
      <c r="EX24">
        <v>0</v>
      </c>
      <c r="EY24">
        <v>0</v>
      </c>
      <c r="FQ24">
        <v>0</v>
      </c>
      <c r="FR24">
        <f t="shared" ref="FR24:FR37" si="45">ROUND(IF(AND(BH24=3,BI24=3),P24,0),2)</f>
        <v>0</v>
      </c>
      <c r="FS24">
        <v>0</v>
      </c>
      <c r="FX24">
        <v>80</v>
      </c>
      <c r="FY24">
        <v>60</v>
      </c>
      <c r="GA24" t="s">
        <v>3</v>
      </c>
      <c r="GD24">
        <v>1</v>
      </c>
      <c r="GF24">
        <v>1903793266</v>
      </c>
      <c r="GG24">
        <v>2</v>
      </c>
      <c r="GH24">
        <v>1</v>
      </c>
      <c r="GI24">
        <v>2</v>
      </c>
      <c r="GJ24">
        <v>0</v>
      </c>
      <c r="GK24">
        <v>0</v>
      </c>
      <c r="GL24">
        <f t="shared" ref="GL24:GL37" si="46">ROUND(IF(AND(BH24=3,BI24=3,FS24&lt;&gt;0),P24,0),2)</f>
        <v>0</v>
      </c>
      <c r="GM24">
        <f t="shared" ref="GM24:GM37" si="47">ROUND(O24+X24+Y24,2)+GX24</f>
        <v>912.78</v>
      </c>
      <c r="GN24">
        <f t="shared" ref="GN24:GN37" si="48">IF(OR(BI24=0,BI24=1),ROUND(O24+X24+Y24,2),0)</f>
        <v>0</v>
      </c>
      <c r="GO24">
        <f t="shared" ref="GO24:GO37" si="49">IF(BI24=2,ROUND(O24+X24+Y24,2),0)</f>
        <v>912.78</v>
      </c>
      <c r="GP24">
        <f t="shared" ref="GP24:GP37" si="50">IF(BI24=4,ROUND(O24+X24+Y24,2)+GX24,0)</f>
        <v>0</v>
      </c>
      <c r="GR24">
        <v>0</v>
      </c>
      <c r="GS24">
        <v>3</v>
      </c>
      <c r="GT24">
        <v>0</v>
      </c>
      <c r="GU24" t="s">
        <v>3</v>
      </c>
      <c r="GV24">
        <f t="shared" ref="GV24:GV37" si="51">ROUND((GT24),6)</f>
        <v>0</v>
      </c>
      <c r="GW24">
        <v>1</v>
      </c>
      <c r="GX24">
        <f t="shared" ref="GX24:GX37" si="52">ROUND(HC24*I24,2)</f>
        <v>0</v>
      </c>
      <c r="HA24">
        <v>0</v>
      </c>
      <c r="HB24">
        <v>0</v>
      </c>
      <c r="HC24">
        <f t="shared" ref="HC24:HC37" si="53">GV24*GW24</f>
        <v>0</v>
      </c>
      <c r="HE24" t="s">
        <v>3</v>
      </c>
      <c r="HF24" t="s">
        <v>3</v>
      </c>
      <c r="IK24">
        <v>0</v>
      </c>
    </row>
    <row r="25" spans="1:245">
      <c r="A25">
        <v>18</v>
      </c>
      <c r="B25">
        <v>1</v>
      </c>
      <c r="C25">
        <v>8</v>
      </c>
      <c r="E25" t="s">
        <v>21</v>
      </c>
      <c r="F25" t="s">
        <v>22</v>
      </c>
      <c r="G25" t="s">
        <v>23</v>
      </c>
      <c r="H25" t="s">
        <v>3</v>
      </c>
      <c r="I25">
        <f>I24*J25</f>
        <v>1</v>
      </c>
      <c r="J25">
        <v>1</v>
      </c>
      <c r="O25">
        <f t="shared" si="14"/>
        <v>3822.33</v>
      </c>
      <c r="P25">
        <f t="shared" si="15"/>
        <v>3822.33</v>
      </c>
      <c r="Q25">
        <f t="shared" si="16"/>
        <v>0</v>
      </c>
      <c r="R25">
        <f t="shared" si="17"/>
        <v>0</v>
      </c>
      <c r="S25">
        <f t="shared" si="18"/>
        <v>0</v>
      </c>
      <c r="T25">
        <f t="shared" si="19"/>
        <v>0</v>
      </c>
      <c r="U25">
        <f t="shared" si="20"/>
        <v>0</v>
      </c>
      <c r="V25">
        <f t="shared" si="21"/>
        <v>0</v>
      </c>
      <c r="W25">
        <f t="shared" si="22"/>
        <v>0</v>
      </c>
      <c r="X25">
        <f t="shared" si="23"/>
        <v>0</v>
      </c>
      <c r="Y25">
        <f t="shared" si="24"/>
        <v>0</v>
      </c>
      <c r="AA25">
        <v>34944170</v>
      </c>
      <c r="AB25">
        <f t="shared" si="25"/>
        <v>3822.33</v>
      </c>
      <c r="AC25">
        <f t="shared" si="26"/>
        <v>3822.33</v>
      </c>
      <c r="AD25">
        <f t="shared" si="27"/>
        <v>0</v>
      </c>
      <c r="AE25">
        <f t="shared" si="28"/>
        <v>0</v>
      </c>
      <c r="AF25">
        <f t="shared" si="29"/>
        <v>0</v>
      </c>
      <c r="AG25">
        <f t="shared" si="30"/>
        <v>0</v>
      </c>
      <c r="AH25">
        <f t="shared" si="31"/>
        <v>0</v>
      </c>
      <c r="AI25">
        <f t="shared" si="32"/>
        <v>0</v>
      </c>
      <c r="AJ25">
        <f t="shared" si="33"/>
        <v>0</v>
      </c>
      <c r="AK25">
        <v>3822.33</v>
      </c>
      <c r="AL25">
        <v>3822.33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80</v>
      </c>
      <c r="AU25">
        <v>60</v>
      </c>
      <c r="AV25">
        <v>1</v>
      </c>
      <c r="AW25">
        <v>1</v>
      </c>
      <c r="AZ25">
        <v>1</v>
      </c>
      <c r="BA25">
        <v>1</v>
      </c>
      <c r="BB25">
        <v>1</v>
      </c>
      <c r="BC25">
        <v>1</v>
      </c>
      <c r="BD25" t="s">
        <v>3</v>
      </c>
      <c r="BE25" t="s">
        <v>3</v>
      </c>
      <c r="BF25" t="s">
        <v>3</v>
      </c>
      <c r="BG25" t="s">
        <v>3</v>
      </c>
      <c r="BH25">
        <v>3</v>
      </c>
      <c r="BI25">
        <v>2</v>
      </c>
      <c r="BJ25" t="s">
        <v>3</v>
      </c>
      <c r="BM25">
        <v>110011</v>
      </c>
      <c r="BN25">
        <v>0</v>
      </c>
      <c r="BO25" t="s">
        <v>3</v>
      </c>
      <c r="BP25">
        <v>0</v>
      </c>
      <c r="BQ25">
        <v>3</v>
      </c>
      <c r="BR25">
        <v>0</v>
      </c>
      <c r="BS25">
        <v>1</v>
      </c>
      <c r="BT25">
        <v>1</v>
      </c>
      <c r="BU25">
        <v>1</v>
      </c>
      <c r="BV25">
        <v>1</v>
      </c>
      <c r="BW25">
        <v>1</v>
      </c>
      <c r="BX25">
        <v>1</v>
      </c>
      <c r="BY25" t="s">
        <v>3</v>
      </c>
      <c r="BZ25">
        <v>80</v>
      </c>
      <c r="CA25">
        <v>60</v>
      </c>
      <c r="CE25">
        <v>0</v>
      </c>
      <c r="CF25">
        <v>0</v>
      </c>
      <c r="CG25">
        <v>0</v>
      </c>
      <c r="CM25">
        <v>0</v>
      </c>
      <c r="CN25" t="s">
        <v>3</v>
      </c>
      <c r="CO25">
        <v>0</v>
      </c>
      <c r="CP25">
        <f t="shared" si="34"/>
        <v>3822.33</v>
      </c>
      <c r="CQ25">
        <f t="shared" si="35"/>
        <v>3822.33</v>
      </c>
      <c r="CR25">
        <f t="shared" si="36"/>
        <v>0</v>
      </c>
      <c r="CS25">
        <f t="shared" si="37"/>
        <v>0</v>
      </c>
      <c r="CT25">
        <f t="shared" si="38"/>
        <v>0</v>
      </c>
      <c r="CU25">
        <f t="shared" si="39"/>
        <v>0</v>
      </c>
      <c r="CV25">
        <f t="shared" si="40"/>
        <v>0</v>
      </c>
      <c r="CW25">
        <f t="shared" si="41"/>
        <v>0</v>
      </c>
      <c r="CX25">
        <f t="shared" si="42"/>
        <v>0</v>
      </c>
      <c r="CY25">
        <f t="shared" si="43"/>
        <v>0</v>
      </c>
      <c r="CZ25">
        <f t="shared" si="44"/>
        <v>0</v>
      </c>
      <c r="DC25" t="s">
        <v>3</v>
      </c>
      <c r="DD25" t="s">
        <v>3</v>
      </c>
      <c r="DE25" t="s">
        <v>3</v>
      </c>
      <c r="DF25" t="s">
        <v>3</v>
      </c>
      <c r="DG25" t="s">
        <v>3</v>
      </c>
      <c r="DH25" t="s">
        <v>3</v>
      </c>
      <c r="DI25" t="s">
        <v>3</v>
      </c>
      <c r="DJ25" t="s">
        <v>3</v>
      </c>
      <c r="DK25" t="s">
        <v>3</v>
      </c>
      <c r="DL25" t="s">
        <v>3</v>
      </c>
      <c r="DM25" t="s">
        <v>3</v>
      </c>
      <c r="DN25">
        <v>0</v>
      </c>
      <c r="DO25">
        <v>0</v>
      </c>
      <c r="DP25">
        <v>1</v>
      </c>
      <c r="DQ25">
        <v>1</v>
      </c>
      <c r="DZ25" t="s">
        <v>3</v>
      </c>
      <c r="EA25" t="s">
        <v>3</v>
      </c>
      <c r="EB25" t="s">
        <v>3</v>
      </c>
      <c r="EC25" t="s">
        <v>3</v>
      </c>
      <c r="EE25">
        <v>35526009</v>
      </c>
      <c r="EF25">
        <v>3</v>
      </c>
      <c r="EG25" t="s">
        <v>18</v>
      </c>
      <c r="EH25">
        <v>0</v>
      </c>
      <c r="EI25" t="s">
        <v>3</v>
      </c>
      <c r="EJ25">
        <v>2</v>
      </c>
      <c r="EK25">
        <v>110011</v>
      </c>
      <c r="EL25" t="s">
        <v>19</v>
      </c>
      <c r="EM25" t="s">
        <v>20</v>
      </c>
      <c r="EO25" t="s">
        <v>3</v>
      </c>
      <c r="EQ25">
        <v>0</v>
      </c>
      <c r="ER25">
        <v>3822.33</v>
      </c>
      <c r="ES25">
        <v>3822.33</v>
      </c>
      <c r="ET25">
        <v>0</v>
      </c>
      <c r="EU25">
        <v>0</v>
      </c>
      <c r="EV25">
        <v>0</v>
      </c>
      <c r="EW25">
        <v>0</v>
      </c>
      <c r="EX25">
        <v>0</v>
      </c>
      <c r="FQ25">
        <v>0</v>
      </c>
      <c r="FR25">
        <f t="shared" si="45"/>
        <v>0</v>
      </c>
      <c r="FS25">
        <v>0</v>
      </c>
      <c r="FX25">
        <v>80</v>
      </c>
      <c r="FY25">
        <v>60</v>
      </c>
      <c r="GA25" t="s">
        <v>24</v>
      </c>
      <c r="GD25">
        <v>1</v>
      </c>
      <c r="GF25">
        <v>2059322104</v>
      </c>
      <c r="GG25">
        <v>2</v>
      </c>
      <c r="GH25">
        <v>2</v>
      </c>
      <c r="GI25">
        <v>-2</v>
      </c>
      <c r="GJ25">
        <v>0</v>
      </c>
      <c r="GK25">
        <v>0</v>
      </c>
      <c r="GL25">
        <f t="shared" si="46"/>
        <v>0</v>
      </c>
      <c r="GM25">
        <f t="shared" si="47"/>
        <v>3822.33</v>
      </c>
      <c r="GN25">
        <f t="shared" si="48"/>
        <v>0</v>
      </c>
      <c r="GO25">
        <f t="shared" si="49"/>
        <v>3822.33</v>
      </c>
      <c r="GP25">
        <f t="shared" si="50"/>
        <v>0</v>
      </c>
      <c r="GR25">
        <v>0</v>
      </c>
      <c r="GS25">
        <v>4</v>
      </c>
      <c r="GT25">
        <v>0</v>
      </c>
      <c r="GU25" t="s">
        <v>3</v>
      </c>
      <c r="GV25">
        <f t="shared" si="51"/>
        <v>0</v>
      </c>
      <c r="GW25">
        <v>1</v>
      </c>
      <c r="GX25">
        <f t="shared" si="52"/>
        <v>0</v>
      </c>
      <c r="HA25">
        <v>0</v>
      </c>
      <c r="HB25">
        <v>0</v>
      </c>
      <c r="HC25">
        <f t="shared" si="53"/>
        <v>0</v>
      </c>
      <c r="HE25" t="s">
        <v>3</v>
      </c>
      <c r="HF25" t="s">
        <v>3</v>
      </c>
      <c r="IK25">
        <v>0</v>
      </c>
    </row>
    <row r="26" spans="1:245">
      <c r="A26">
        <v>17</v>
      </c>
      <c r="B26">
        <v>1</v>
      </c>
      <c r="C26">
        <f>ROW(SmtRes!A15)</f>
        <v>15</v>
      </c>
      <c r="D26">
        <f>ROW(EtalonRes!A14)</f>
        <v>14</v>
      </c>
      <c r="E26" t="s">
        <v>25</v>
      </c>
      <c r="F26" t="s">
        <v>26</v>
      </c>
      <c r="G26" t="s">
        <v>27</v>
      </c>
      <c r="H26" t="s">
        <v>16</v>
      </c>
      <c r="I26">
        <v>10</v>
      </c>
      <c r="J26">
        <v>0</v>
      </c>
      <c r="O26">
        <f t="shared" si="14"/>
        <v>2627.91</v>
      </c>
      <c r="P26">
        <f t="shared" si="15"/>
        <v>180.48</v>
      </c>
      <c r="Q26">
        <f t="shared" si="16"/>
        <v>0</v>
      </c>
      <c r="R26">
        <f t="shared" si="17"/>
        <v>0</v>
      </c>
      <c r="S26">
        <f t="shared" si="18"/>
        <v>2447.4299999999998</v>
      </c>
      <c r="T26">
        <f t="shared" si="19"/>
        <v>0</v>
      </c>
      <c r="U26">
        <f t="shared" si="20"/>
        <v>8.4</v>
      </c>
      <c r="V26">
        <f t="shared" si="21"/>
        <v>0</v>
      </c>
      <c r="W26">
        <f t="shared" si="22"/>
        <v>0</v>
      </c>
      <c r="X26">
        <f t="shared" si="23"/>
        <v>1957.94</v>
      </c>
      <c r="Y26">
        <f t="shared" si="24"/>
        <v>1468.46</v>
      </c>
      <c r="AA26">
        <v>34944170</v>
      </c>
      <c r="AB26">
        <f t="shared" si="25"/>
        <v>9.9600000000000009</v>
      </c>
      <c r="AC26">
        <f t="shared" si="26"/>
        <v>1.88</v>
      </c>
      <c r="AD26">
        <f t="shared" si="27"/>
        <v>0</v>
      </c>
      <c r="AE26">
        <f t="shared" si="28"/>
        <v>0</v>
      </c>
      <c r="AF26">
        <f t="shared" si="29"/>
        <v>8.08</v>
      </c>
      <c r="AG26">
        <f t="shared" si="30"/>
        <v>0</v>
      </c>
      <c r="AH26">
        <f t="shared" si="31"/>
        <v>0.84</v>
      </c>
      <c r="AI26">
        <f t="shared" si="32"/>
        <v>0</v>
      </c>
      <c r="AJ26">
        <f t="shared" si="33"/>
        <v>0</v>
      </c>
      <c r="AK26">
        <v>9.9600000000000009</v>
      </c>
      <c r="AL26">
        <v>1.88</v>
      </c>
      <c r="AM26">
        <v>0</v>
      </c>
      <c r="AN26">
        <v>0</v>
      </c>
      <c r="AO26">
        <v>8.08</v>
      </c>
      <c r="AP26">
        <v>0</v>
      </c>
      <c r="AQ26">
        <v>0.84</v>
      </c>
      <c r="AR26">
        <v>0</v>
      </c>
      <c r="AS26">
        <v>0</v>
      </c>
      <c r="AT26">
        <v>80</v>
      </c>
      <c r="AU26">
        <v>60</v>
      </c>
      <c r="AV26">
        <v>1</v>
      </c>
      <c r="AW26">
        <v>1</v>
      </c>
      <c r="AZ26">
        <v>1</v>
      </c>
      <c r="BA26">
        <v>30.29</v>
      </c>
      <c r="BB26">
        <v>1</v>
      </c>
      <c r="BC26">
        <v>9.6</v>
      </c>
      <c r="BD26" t="s">
        <v>3</v>
      </c>
      <c r="BE26" t="s">
        <v>3</v>
      </c>
      <c r="BF26" t="s">
        <v>3</v>
      </c>
      <c r="BG26" t="s">
        <v>3</v>
      </c>
      <c r="BH26">
        <v>0</v>
      </c>
      <c r="BI26">
        <v>2</v>
      </c>
      <c r="BJ26" t="s">
        <v>28</v>
      </c>
      <c r="BM26">
        <v>110011</v>
      </c>
      <c r="BN26">
        <v>0</v>
      </c>
      <c r="BO26" t="s">
        <v>26</v>
      </c>
      <c r="BP26">
        <v>1</v>
      </c>
      <c r="BQ26">
        <v>3</v>
      </c>
      <c r="BR26">
        <v>0</v>
      </c>
      <c r="BS26">
        <v>30.29</v>
      </c>
      <c r="BT26">
        <v>1</v>
      </c>
      <c r="BU26">
        <v>1</v>
      </c>
      <c r="BV26">
        <v>1</v>
      </c>
      <c r="BW26">
        <v>1</v>
      </c>
      <c r="BX26">
        <v>1</v>
      </c>
      <c r="BY26" t="s">
        <v>3</v>
      </c>
      <c r="BZ26">
        <v>80</v>
      </c>
      <c r="CA26">
        <v>60</v>
      </c>
      <c r="CE26">
        <v>0</v>
      </c>
      <c r="CF26">
        <v>0</v>
      </c>
      <c r="CG26">
        <v>0</v>
      </c>
      <c r="CM26">
        <v>0</v>
      </c>
      <c r="CN26" t="s">
        <v>3</v>
      </c>
      <c r="CO26">
        <v>0</v>
      </c>
      <c r="CP26">
        <f t="shared" si="34"/>
        <v>2627.91</v>
      </c>
      <c r="CQ26">
        <f t="shared" si="35"/>
        <v>18.047999999999998</v>
      </c>
      <c r="CR26">
        <f t="shared" si="36"/>
        <v>0</v>
      </c>
      <c r="CS26">
        <f t="shared" si="37"/>
        <v>0</v>
      </c>
      <c r="CT26">
        <f t="shared" si="38"/>
        <v>244.7432</v>
      </c>
      <c r="CU26">
        <f t="shared" si="39"/>
        <v>0</v>
      </c>
      <c r="CV26">
        <f t="shared" si="40"/>
        <v>0.84</v>
      </c>
      <c r="CW26">
        <f t="shared" si="41"/>
        <v>0</v>
      </c>
      <c r="CX26">
        <f t="shared" si="42"/>
        <v>0</v>
      </c>
      <c r="CY26">
        <f t="shared" si="43"/>
        <v>1957.944</v>
      </c>
      <c r="CZ26">
        <f t="shared" si="44"/>
        <v>1468.4579999999999</v>
      </c>
      <c r="DC26" t="s">
        <v>3</v>
      </c>
      <c r="DD26" t="s">
        <v>3</v>
      </c>
      <c r="DE26" t="s">
        <v>3</v>
      </c>
      <c r="DF26" t="s">
        <v>3</v>
      </c>
      <c r="DG26" t="s">
        <v>3</v>
      </c>
      <c r="DH26" t="s">
        <v>3</v>
      </c>
      <c r="DI26" t="s">
        <v>3</v>
      </c>
      <c r="DJ26" t="s">
        <v>3</v>
      </c>
      <c r="DK26" t="s">
        <v>3</v>
      </c>
      <c r="DL26" t="s">
        <v>3</v>
      </c>
      <c r="DM26" t="s">
        <v>3</v>
      </c>
      <c r="DN26">
        <v>0</v>
      </c>
      <c r="DO26">
        <v>0</v>
      </c>
      <c r="DP26">
        <v>1</v>
      </c>
      <c r="DQ26">
        <v>1</v>
      </c>
      <c r="DU26">
        <v>1013</v>
      </c>
      <c r="DV26" t="s">
        <v>16</v>
      </c>
      <c r="DW26" t="s">
        <v>16</v>
      </c>
      <c r="DX26">
        <v>1</v>
      </c>
      <c r="DZ26" t="s">
        <v>3</v>
      </c>
      <c r="EA26" t="s">
        <v>3</v>
      </c>
      <c r="EB26" t="s">
        <v>3</v>
      </c>
      <c r="EC26" t="s">
        <v>3</v>
      </c>
      <c r="EE26">
        <v>35526009</v>
      </c>
      <c r="EF26">
        <v>3</v>
      </c>
      <c r="EG26" t="s">
        <v>18</v>
      </c>
      <c r="EH26">
        <v>0</v>
      </c>
      <c r="EI26" t="s">
        <v>3</v>
      </c>
      <c r="EJ26">
        <v>2</v>
      </c>
      <c r="EK26">
        <v>110011</v>
      </c>
      <c r="EL26" t="s">
        <v>19</v>
      </c>
      <c r="EM26" t="s">
        <v>20</v>
      </c>
      <c r="EO26" t="s">
        <v>3</v>
      </c>
      <c r="EQ26">
        <v>0</v>
      </c>
      <c r="ER26">
        <v>9.9600000000000009</v>
      </c>
      <c r="ES26">
        <v>1.88</v>
      </c>
      <c r="ET26">
        <v>0</v>
      </c>
      <c r="EU26">
        <v>0</v>
      </c>
      <c r="EV26">
        <v>8.08</v>
      </c>
      <c r="EW26">
        <v>0.84</v>
      </c>
      <c r="EX26">
        <v>0</v>
      </c>
      <c r="EY26">
        <v>0</v>
      </c>
      <c r="FQ26">
        <v>0</v>
      </c>
      <c r="FR26">
        <f t="shared" si="45"/>
        <v>0</v>
      </c>
      <c r="FS26">
        <v>0</v>
      </c>
      <c r="FX26">
        <v>80</v>
      </c>
      <c r="FY26">
        <v>60</v>
      </c>
      <c r="GA26" t="s">
        <v>3</v>
      </c>
      <c r="GD26">
        <v>1</v>
      </c>
      <c r="GF26">
        <v>-857099500</v>
      </c>
      <c r="GG26">
        <v>2</v>
      </c>
      <c r="GH26">
        <v>1</v>
      </c>
      <c r="GI26">
        <v>2</v>
      </c>
      <c r="GJ26">
        <v>0</v>
      </c>
      <c r="GK26">
        <v>0</v>
      </c>
      <c r="GL26">
        <f t="shared" si="46"/>
        <v>0</v>
      </c>
      <c r="GM26">
        <f t="shared" si="47"/>
        <v>6054.31</v>
      </c>
      <c r="GN26">
        <f t="shared" si="48"/>
        <v>0</v>
      </c>
      <c r="GO26">
        <f t="shared" si="49"/>
        <v>6054.31</v>
      </c>
      <c r="GP26">
        <f t="shared" si="50"/>
        <v>0</v>
      </c>
      <c r="GR26">
        <v>0</v>
      </c>
      <c r="GS26">
        <v>3</v>
      </c>
      <c r="GT26">
        <v>0</v>
      </c>
      <c r="GU26" t="s">
        <v>3</v>
      </c>
      <c r="GV26">
        <f t="shared" si="51"/>
        <v>0</v>
      </c>
      <c r="GW26">
        <v>1</v>
      </c>
      <c r="GX26">
        <f t="shared" si="52"/>
        <v>0</v>
      </c>
      <c r="HA26">
        <v>0</v>
      </c>
      <c r="HB26">
        <v>0</v>
      </c>
      <c r="HC26">
        <f t="shared" si="53"/>
        <v>0</v>
      </c>
      <c r="HE26" t="s">
        <v>3</v>
      </c>
      <c r="HF26" t="s">
        <v>3</v>
      </c>
      <c r="IK26">
        <v>0</v>
      </c>
    </row>
    <row r="27" spans="1:245">
      <c r="A27">
        <v>17</v>
      </c>
      <c r="B27">
        <v>1</v>
      </c>
      <c r="E27" t="s">
        <v>29</v>
      </c>
      <c r="F27" t="s">
        <v>30</v>
      </c>
      <c r="G27" t="s">
        <v>31</v>
      </c>
      <c r="H27" t="s">
        <v>32</v>
      </c>
      <c r="I27">
        <v>10</v>
      </c>
      <c r="J27">
        <v>0</v>
      </c>
      <c r="O27">
        <f t="shared" si="14"/>
        <v>805.06</v>
      </c>
      <c r="P27">
        <f t="shared" si="15"/>
        <v>805.06</v>
      </c>
      <c r="Q27">
        <f t="shared" si="16"/>
        <v>0</v>
      </c>
      <c r="R27">
        <f t="shared" si="17"/>
        <v>0</v>
      </c>
      <c r="S27">
        <f t="shared" si="18"/>
        <v>0</v>
      </c>
      <c r="T27">
        <f t="shared" si="19"/>
        <v>0</v>
      </c>
      <c r="U27">
        <f t="shared" si="20"/>
        <v>0</v>
      </c>
      <c r="V27">
        <f t="shared" si="21"/>
        <v>0</v>
      </c>
      <c r="W27">
        <f t="shared" si="22"/>
        <v>3.4</v>
      </c>
      <c r="X27">
        <f t="shared" si="23"/>
        <v>0</v>
      </c>
      <c r="Y27">
        <f t="shared" si="24"/>
        <v>0</v>
      </c>
      <c r="AA27">
        <v>34944170</v>
      </c>
      <c r="AB27">
        <f t="shared" si="25"/>
        <v>17.93</v>
      </c>
      <c r="AC27">
        <f t="shared" si="26"/>
        <v>17.93</v>
      </c>
      <c r="AD27">
        <f t="shared" si="27"/>
        <v>0</v>
      </c>
      <c r="AE27">
        <f t="shared" si="28"/>
        <v>0</v>
      </c>
      <c r="AF27">
        <f t="shared" si="29"/>
        <v>0</v>
      </c>
      <c r="AG27">
        <f t="shared" si="30"/>
        <v>0</v>
      </c>
      <c r="AH27">
        <f t="shared" si="31"/>
        <v>0</v>
      </c>
      <c r="AI27">
        <f t="shared" si="32"/>
        <v>0</v>
      </c>
      <c r="AJ27">
        <f t="shared" si="33"/>
        <v>0.34</v>
      </c>
      <c r="AK27">
        <v>17.93</v>
      </c>
      <c r="AL27">
        <v>17.93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0.34</v>
      </c>
      <c r="AT27">
        <v>0</v>
      </c>
      <c r="AU27">
        <v>0</v>
      </c>
      <c r="AV27">
        <v>1</v>
      </c>
      <c r="AW27">
        <v>1</v>
      </c>
      <c r="AZ27">
        <v>1</v>
      </c>
      <c r="BA27">
        <v>1</v>
      </c>
      <c r="BB27">
        <v>1</v>
      </c>
      <c r="BC27">
        <v>4.49</v>
      </c>
      <c r="BD27" t="s">
        <v>3</v>
      </c>
      <c r="BE27" t="s">
        <v>3</v>
      </c>
      <c r="BF27" t="s">
        <v>3</v>
      </c>
      <c r="BG27" t="s">
        <v>3</v>
      </c>
      <c r="BH27">
        <v>0</v>
      </c>
      <c r="BI27">
        <v>2</v>
      </c>
      <c r="BJ27" t="s">
        <v>33</v>
      </c>
      <c r="BM27">
        <v>500002</v>
      </c>
      <c r="BN27">
        <v>0</v>
      </c>
      <c r="BO27" t="s">
        <v>30</v>
      </c>
      <c r="BP27">
        <v>1</v>
      </c>
      <c r="BQ27">
        <v>12</v>
      </c>
      <c r="BR27">
        <v>0</v>
      </c>
      <c r="BS27">
        <v>1</v>
      </c>
      <c r="BT27">
        <v>1</v>
      </c>
      <c r="BU27">
        <v>1</v>
      </c>
      <c r="BV27">
        <v>1</v>
      </c>
      <c r="BW27">
        <v>1</v>
      </c>
      <c r="BX27">
        <v>1</v>
      </c>
      <c r="BY27" t="s">
        <v>3</v>
      </c>
      <c r="BZ27">
        <v>0</v>
      </c>
      <c r="CA27">
        <v>0</v>
      </c>
      <c r="CE27">
        <v>0</v>
      </c>
      <c r="CF27">
        <v>0</v>
      </c>
      <c r="CG27">
        <v>0</v>
      </c>
      <c r="CM27">
        <v>0</v>
      </c>
      <c r="CN27" t="s">
        <v>3</v>
      </c>
      <c r="CO27">
        <v>0</v>
      </c>
      <c r="CP27">
        <f t="shared" si="34"/>
        <v>805.06</v>
      </c>
      <c r="CQ27">
        <f t="shared" si="35"/>
        <v>80.505700000000004</v>
      </c>
      <c r="CR27">
        <f t="shared" si="36"/>
        <v>0</v>
      </c>
      <c r="CS27">
        <f t="shared" si="37"/>
        <v>0</v>
      </c>
      <c r="CT27">
        <f t="shared" si="38"/>
        <v>0</v>
      </c>
      <c r="CU27">
        <f t="shared" si="39"/>
        <v>0</v>
      </c>
      <c r="CV27">
        <f t="shared" si="40"/>
        <v>0</v>
      </c>
      <c r="CW27">
        <f t="shared" si="41"/>
        <v>0</v>
      </c>
      <c r="CX27">
        <f t="shared" si="42"/>
        <v>0.34</v>
      </c>
      <c r="CY27">
        <f t="shared" si="43"/>
        <v>0</v>
      </c>
      <c r="CZ27">
        <f t="shared" si="44"/>
        <v>0</v>
      </c>
      <c r="DC27" t="s">
        <v>3</v>
      </c>
      <c r="DD27" t="s">
        <v>3</v>
      </c>
      <c r="DE27" t="s">
        <v>3</v>
      </c>
      <c r="DF27" t="s">
        <v>3</v>
      </c>
      <c r="DG27" t="s">
        <v>3</v>
      </c>
      <c r="DH27" t="s">
        <v>3</v>
      </c>
      <c r="DI27" t="s">
        <v>3</v>
      </c>
      <c r="DJ27" t="s">
        <v>3</v>
      </c>
      <c r="DK27" t="s">
        <v>3</v>
      </c>
      <c r="DL27" t="s">
        <v>3</v>
      </c>
      <c r="DM27" t="s">
        <v>3</v>
      </c>
      <c r="DN27">
        <v>0</v>
      </c>
      <c r="DO27">
        <v>0</v>
      </c>
      <c r="DP27">
        <v>1</v>
      </c>
      <c r="DQ27">
        <v>1</v>
      </c>
      <c r="DU27">
        <v>1010</v>
      </c>
      <c r="DV27" t="s">
        <v>32</v>
      </c>
      <c r="DW27" t="s">
        <v>32</v>
      </c>
      <c r="DX27">
        <v>1</v>
      </c>
      <c r="DZ27" t="s">
        <v>3</v>
      </c>
      <c r="EA27" t="s">
        <v>3</v>
      </c>
      <c r="EB27" t="s">
        <v>3</v>
      </c>
      <c r="EC27" t="s">
        <v>3</v>
      </c>
      <c r="EE27">
        <v>35526013</v>
      </c>
      <c r="EF27">
        <v>12</v>
      </c>
      <c r="EG27" t="s">
        <v>34</v>
      </c>
      <c r="EH27">
        <v>0</v>
      </c>
      <c r="EI27" t="s">
        <v>3</v>
      </c>
      <c r="EJ27">
        <v>2</v>
      </c>
      <c r="EK27">
        <v>500002</v>
      </c>
      <c r="EL27" t="s">
        <v>35</v>
      </c>
      <c r="EM27" t="s">
        <v>36</v>
      </c>
      <c r="EO27" t="s">
        <v>3</v>
      </c>
      <c r="EQ27">
        <v>0</v>
      </c>
      <c r="ER27">
        <v>17.93</v>
      </c>
      <c r="ES27">
        <v>17.93</v>
      </c>
      <c r="ET27">
        <v>0</v>
      </c>
      <c r="EU27">
        <v>0</v>
      </c>
      <c r="EV27">
        <v>0</v>
      </c>
      <c r="EW27">
        <v>0</v>
      </c>
      <c r="EX27">
        <v>0</v>
      </c>
      <c r="EY27">
        <v>0</v>
      </c>
      <c r="FQ27">
        <v>0</v>
      </c>
      <c r="FR27">
        <f t="shared" si="45"/>
        <v>0</v>
      </c>
      <c r="FS27">
        <v>0</v>
      </c>
      <c r="FX27">
        <v>0</v>
      </c>
      <c r="FY27">
        <v>0</v>
      </c>
      <c r="GA27" t="s">
        <v>3</v>
      </c>
      <c r="GD27">
        <v>1</v>
      </c>
      <c r="GF27">
        <v>281249144</v>
      </c>
      <c r="GG27">
        <v>2</v>
      </c>
      <c r="GH27">
        <v>1</v>
      </c>
      <c r="GI27">
        <v>2</v>
      </c>
      <c r="GJ27">
        <v>0</v>
      </c>
      <c r="GK27">
        <v>0</v>
      </c>
      <c r="GL27">
        <f t="shared" si="46"/>
        <v>0</v>
      </c>
      <c r="GM27">
        <f t="shared" si="47"/>
        <v>805.06</v>
      </c>
      <c r="GN27">
        <f t="shared" si="48"/>
        <v>0</v>
      </c>
      <c r="GO27">
        <f t="shared" si="49"/>
        <v>805.06</v>
      </c>
      <c r="GP27">
        <f t="shared" si="50"/>
        <v>0</v>
      </c>
      <c r="GR27">
        <v>0</v>
      </c>
      <c r="GS27">
        <v>3</v>
      </c>
      <c r="GT27">
        <v>0</v>
      </c>
      <c r="GU27" t="s">
        <v>3</v>
      </c>
      <c r="GV27">
        <f t="shared" si="51"/>
        <v>0</v>
      </c>
      <c r="GW27">
        <v>1</v>
      </c>
      <c r="GX27">
        <f t="shared" si="52"/>
        <v>0</v>
      </c>
      <c r="HA27">
        <v>0</v>
      </c>
      <c r="HB27">
        <v>0</v>
      </c>
      <c r="HC27">
        <f t="shared" si="53"/>
        <v>0</v>
      </c>
      <c r="HE27" t="s">
        <v>3</v>
      </c>
      <c r="HF27" t="s">
        <v>3</v>
      </c>
      <c r="IK27">
        <v>0</v>
      </c>
    </row>
    <row r="28" spans="1:245">
      <c r="A28">
        <v>17</v>
      </c>
      <c r="B28">
        <v>1</v>
      </c>
      <c r="C28">
        <f>ROW(SmtRes!A23)</f>
        <v>23</v>
      </c>
      <c r="D28">
        <f>ROW(EtalonRes!A22)</f>
        <v>22</v>
      </c>
      <c r="E28" t="s">
        <v>37</v>
      </c>
      <c r="F28" t="s">
        <v>38</v>
      </c>
      <c r="G28" t="s">
        <v>39</v>
      </c>
      <c r="H28" t="s">
        <v>40</v>
      </c>
      <c r="I28">
        <f>ROUND(100/100,9)</f>
        <v>1</v>
      </c>
      <c r="J28">
        <v>0</v>
      </c>
      <c r="O28">
        <f t="shared" si="14"/>
        <v>5193.66</v>
      </c>
      <c r="P28">
        <f t="shared" si="15"/>
        <v>226.88</v>
      </c>
      <c r="Q28">
        <f t="shared" si="16"/>
        <v>274.25</v>
      </c>
      <c r="R28">
        <f t="shared" si="17"/>
        <v>4.24</v>
      </c>
      <c r="S28">
        <f t="shared" si="18"/>
        <v>4692.53</v>
      </c>
      <c r="T28">
        <f t="shared" si="19"/>
        <v>0</v>
      </c>
      <c r="U28">
        <f t="shared" si="20"/>
        <v>16.29</v>
      </c>
      <c r="V28">
        <f t="shared" si="21"/>
        <v>0.01</v>
      </c>
      <c r="W28">
        <f t="shared" si="22"/>
        <v>0</v>
      </c>
      <c r="X28">
        <f t="shared" si="23"/>
        <v>4461.93</v>
      </c>
      <c r="Y28">
        <f t="shared" si="24"/>
        <v>3052.9</v>
      </c>
      <c r="AA28">
        <v>34944170</v>
      </c>
      <c r="AB28">
        <f t="shared" si="25"/>
        <v>237.45</v>
      </c>
      <c r="AC28">
        <f t="shared" si="26"/>
        <v>51.33</v>
      </c>
      <c r="AD28">
        <f t="shared" si="27"/>
        <v>31.2</v>
      </c>
      <c r="AE28">
        <f t="shared" si="28"/>
        <v>0.14000000000000001</v>
      </c>
      <c r="AF28">
        <f t="shared" si="29"/>
        <v>154.91999999999999</v>
      </c>
      <c r="AG28">
        <f t="shared" si="30"/>
        <v>0</v>
      </c>
      <c r="AH28">
        <f t="shared" si="31"/>
        <v>16.29</v>
      </c>
      <c r="AI28">
        <f t="shared" si="32"/>
        <v>0.01</v>
      </c>
      <c r="AJ28">
        <f t="shared" si="33"/>
        <v>0</v>
      </c>
      <c r="AK28">
        <v>237.45</v>
      </c>
      <c r="AL28">
        <v>51.33</v>
      </c>
      <c r="AM28">
        <v>31.2</v>
      </c>
      <c r="AN28">
        <v>0.14000000000000001</v>
      </c>
      <c r="AO28">
        <v>154.91999999999999</v>
      </c>
      <c r="AP28">
        <v>0</v>
      </c>
      <c r="AQ28">
        <v>16.29</v>
      </c>
      <c r="AR28">
        <v>0.01</v>
      </c>
      <c r="AS28">
        <v>0</v>
      </c>
      <c r="AT28">
        <v>95</v>
      </c>
      <c r="AU28">
        <v>65</v>
      </c>
      <c r="AV28">
        <v>1</v>
      </c>
      <c r="AW28">
        <v>1</v>
      </c>
      <c r="AZ28">
        <v>1</v>
      </c>
      <c r="BA28">
        <v>30.29</v>
      </c>
      <c r="BB28">
        <v>8.7899999999999991</v>
      </c>
      <c r="BC28">
        <v>4.42</v>
      </c>
      <c r="BD28" t="s">
        <v>3</v>
      </c>
      <c r="BE28" t="s">
        <v>3</v>
      </c>
      <c r="BF28" t="s">
        <v>3</v>
      </c>
      <c r="BG28" t="s">
        <v>3</v>
      </c>
      <c r="BH28">
        <v>0</v>
      </c>
      <c r="BI28">
        <v>2</v>
      </c>
      <c r="BJ28" t="s">
        <v>41</v>
      </c>
      <c r="BM28">
        <v>108001</v>
      </c>
      <c r="BN28">
        <v>0</v>
      </c>
      <c r="BO28" t="s">
        <v>38</v>
      </c>
      <c r="BP28">
        <v>1</v>
      </c>
      <c r="BQ28">
        <v>3</v>
      </c>
      <c r="BR28">
        <v>0</v>
      </c>
      <c r="BS28">
        <v>30.29</v>
      </c>
      <c r="BT28">
        <v>1</v>
      </c>
      <c r="BU28">
        <v>1</v>
      </c>
      <c r="BV28">
        <v>1</v>
      </c>
      <c r="BW28">
        <v>1</v>
      </c>
      <c r="BX28">
        <v>1</v>
      </c>
      <c r="BY28" t="s">
        <v>3</v>
      </c>
      <c r="BZ28">
        <v>95</v>
      </c>
      <c r="CA28">
        <v>65</v>
      </c>
      <c r="CE28">
        <v>0</v>
      </c>
      <c r="CF28">
        <v>0</v>
      </c>
      <c r="CG28">
        <v>0</v>
      </c>
      <c r="CM28">
        <v>0</v>
      </c>
      <c r="CN28" t="s">
        <v>3</v>
      </c>
      <c r="CO28">
        <v>0</v>
      </c>
      <c r="CP28">
        <f t="shared" si="34"/>
        <v>5193.66</v>
      </c>
      <c r="CQ28">
        <f t="shared" si="35"/>
        <v>226.87859999999998</v>
      </c>
      <c r="CR28">
        <f t="shared" si="36"/>
        <v>274.24799999999999</v>
      </c>
      <c r="CS28">
        <f t="shared" si="37"/>
        <v>4.2406000000000006</v>
      </c>
      <c r="CT28">
        <f t="shared" si="38"/>
        <v>4692.5267999999996</v>
      </c>
      <c r="CU28">
        <f t="shared" si="39"/>
        <v>0</v>
      </c>
      <c r="CV28">
        <f t="shared" si="40"/>
        <v>16.29</v>
      </c>
      <c r="CW28">
        <f t="shared" si="41"/>
        <v>0.01</v>
      </c>
      <c r="CX28">
        <f t="shared" si="42"/>
        <v>0</v>
      </c>
      <c r="CY28">
        <f t="shared" si="43"/>
        <v>4461.9314999999997</v>
      </c>
      <c r="CZ28">
        <f t="shared" si="44"/>
        <v>3052.9004999999997</v>
      </c>
      <c r="DC28" t="s">
        <v>3</v>
      </c>
      <c r="DD28" t="s">
        <v>3</v>
      </c>
      <c r="DE28" t="s">
        <v>3</v>
      </c>
      <c r="DF28" t="s">
        <v>3</v>
      </c>
      <c r="DG28" t="s">
        <v>3</v>
      </c>
      <c r="DH28" t="s">
        <v>3</v>
      </c>
      <c r="DI28" t="s">
        <v>3</v>
      </c>
      <c r="DJ28" t="s">
        <v>3</v>
      </c>
      <c r="DK28" t="s">
        <v>3</v>
      </c>
      <c r="DL28" t="s">
        <v>3</v>
      </c>
      <c r="DM28" t="s">
        <v>3</v>
      </c>
      <c r="DN28">
        <v>0</v>
      </c>
      <c r="DO28">
        <v>0</v>
      </c>
      <c r="DP28">
        <v>1</v>
      </c>
      <c r="DQ28">
        <v>1</v>
      </c>
      <c r="DU28">
        <v>1003</v>
      </c>
      <c r="DV28" t="s">
        <v>40</v>
      </c>
      <c r="DW28" t="s">
        <v>40</v>
      </c>
      <c r="DX28">
        <v>100</v>
      </c>
      <c r="DZ28" t="s">
        <v>3</v>
      </c>
      <c r="EA28" t="s">
        <v>3</v>
      </c>
      <c r="EB28" t="s">
        <v>3</v>
      </c>
      <c r="EC28" t="s">
        <v>3</v>
      </c>
      <c r="EE28">
        <v>35525962</v>
      </c>
      <c r="EF28">
        <v>3</v>
      </c>
      <c r="EG28" t="s">
        <v>18</v>
      </c>
      <c r="EH28">
        <v>0</v>
      </c>
      <c r="EI28" t="s">
        <v>3</v>
      </c>
      <c r="EJ28">
        <v>2</v>
      </c>
      <c r="EK28">
        <v>108001</v>
      </c>
      <c r="EL28" t="s">
        <v>42</v>
      </c>
      <c r="EM28" t="s">
        <v>43</v>
      </c>
      <c r="EO28" t="s">
        <v>3</v>
      </c>
      <c r="EQ28">
        <v>0</v>
      </c>
      <c r="ER28">
        <v>237.45</v>
      </c>
      <c r="ES28">
        <v>51.33</v>
      </c>
      <c r="ET28">
        <v>31.2</v>
      </c>
      <c r="EU28">
        <v>0.14000000000000001</v>
      </c>
      <c r="EV28">
        <v>154.91999999999999</v>
      </c>
      <c r="EW28">
        <v>16.29</v>
      </c>
      <c r="EX28">
        <v>0.01</v>
      </c>
      <c r="EY28">
        <v>0</v>
      </c>
      <c r="FQ28">
        <v>0</v>
      </c>
      <c r="FR28">
        <f t="shared" si="45"/>
        <v>0</v>
      </c>
      <c r="FS28">
        <v>0</v>
      </c>
      <c r="FX28">
        <v>95</v>
      </c>
      <c r="FY28">
        <v>65</v>
      </c>
      <c r="GA28" t="s">
        <v>3</v>
      </c>
      <c r="GD28">
        <v>1</v>
      </c>
      <c r="GF28">
        <v>-1230240878</v>
      </c>
      <c r="GG28">
        <v>2</v>
      </c>
      <c r="GH28">
        <v>1</v>
      </c>
      <c r="GI28">
        <v>2</v>
      </c>
      <c r="GJ28">
        <v>0</v>
      </c>
      <c r="GK28">
        <v>0</v>
      </c>
      <c r="GL28">
        <f t="shared" si="46"/>
        <v>0</v>
      </c>
      <c r="GM28">
        <f t="shared" si="47"/>
        <v>12708.49</v>
      </c>
      <c r="GN28">
        <f t="shared" si="48"/>
        <v>0</v>
      </c>
      <c r="GO28">
        <f t="shared" si="49"/>
        <v>12708.49</v>
      </c>
      <c r="GP28">
        <f t="shared" si="50"/>
        <v>0</v>
      </c>
      <c r="GR28">
        <v>0</v>
      </c>
      <c r="GS28">
        <v>3</v>
      </c>
      <c r="GT28">
        <v>0</v>
      </c>
      <c r="GU28" t="s">
        <v>3</v>
      </c>
      <c r="GV28">
        <f t="shared" si="51"/>
        <v>0</v>
      </c>
      <c r="GW28">
        <v>1</v>
      </c>
      <c r="GX28">
        <f t="shared" si="52"/>
        <v>0</v>
      </c>
      <c r="HA28">
        <v>0</v>
      </c>
      <c r="HB28">
        <v>0</v>
      </c>
      <c r="HC28">
        <f t="shared" si="53"/>
        <v>0</v>
      </c>
      <c r="HE28" t="s">
        <v>3</v>
      </c>
      <c r="HF28" t="s">
        <v>3</v>
      </c>
      <c r="IK28">
        <v>0</v>
      </c>
    </row>
    <row r="29" spans="1:245">
      <c r="A29">
        <v>17</v>
      </c>
      <c r="B29">
        <v>1</v>
      </c>
      <c r="C29">
        <f>ROW(SmtRes!A31)</f>
        <v>31</v>
      </c>
      <c r="D29">
        <f>ROW(EtalonRes!A30)</f>
        <v>30</v>
      </c>
      <c r="E29" t="s">
        <v>44</v>
      </c>
      <c r="F29" t="s">
        <v>45</v>
      </c>
      <c r="G29" t="s">
        <v>46</v>
      </c>
      <c r="H29" t="s">
        <v>40</v>
      </c>
      <c r="I29">
        <f>ROUND(100/100,9)</f>
        <v>1</v>
      </c>
      <c r="J29">
        <v>0</v>
      </c>
      <c r="O29">
        <f t="shared" si="14"/>
        <v>366.02</v>
      </c>
      <c r="P29">
        <f t="shared" si="15"/>
        <v>53.34</v>
      </c>
      <c r="Q29">
        <f t="shared" si="16"/>
        <v>19.47</v>
      </c>
      <c r="R29">
        <f t="shared" si="17"/>
        <v>4.24</v>
      </c>
      <c r="S29">
        <f t="shared" si="18"/>
        <v>293.20999999999998</v>
      </c>
      <c r="T29">
        <f t="shared" si="19"/>
        <v>0</v>
      </c>
      <c r="U29">
        <f t="shared" si="20"/>
        <v>1.03</v>
      </c>
      <c r="V29">
        <f t="shared" si="21"/>
        <v>0.01</v>
      </c>
      <c r="W29">
        <f t="shared" si="22"/>
        <v>0</v>
      </c>
      <c r="X29">
        <f t="shared" si="23"/>
        <v>282.58</v>
      </c>
      <c r="Y29">
        <f t="shared" si="24"/>
        <v>193.34</v>
      </c>
      <c r="AA29">
        <v>34944170</v>
      </c>
      <c r="AB29">
        <f t="shared" si="25"/>
        <v>24.42</v>
      </c>
      <c r="AC29">
        <f t="shared" si="26"/>
        <v>12.52</v>
      </c>
      <c r="AD29">
        <f t="shared" si="27"/>
        <v>2.2200000000000002</v>
      </c>
      <c r="AE29">
        <f t="shared" si="28"/>
        <v>0.14000000000000001</v>
      </c>
      <c r="AF29">
        <f t="shared" si="29"/>
        <v>9.68</v>
      </c>
      <c r="AG29">
        <f t="shared" si="30"/>
        <v>0</v>
      </c>
      <c r="AH29">
        <f t="shared" si="31"/>
        <v>1.03</v>
      </c>
      <c r="AI29">
        <f t="shared" si="32"/>
        <v>0.01</v>
      </c>
      <c r="AJ29">
        <f t="shared" si="33"/>
        <v>0</v>
      </c>
      <c r="AK29">
        <v>24.42</v>
      </c>
      <c r="AL29">
        <v>12.52</v>
      </c>
      <c r="AM29">
        <v>2.2200000000000002</v>
      </c>
      <c r="AN29">
        <v>0.14000000000000001</v>
      </c>
      <c r="AO29">
        <v>9.68</v>
      </c>
      <c r="AP29">
        <v>0</v>
      </c>
      <c r="AQ29">
        <v>1.03</v>
      </c>
      <c r="AR29">
        <v>0.01</v>
      </c>
      <c r="AS29">
        <v>0</v>
      </c>
      <c r="AT29">
        <v>95</v>
      </c>
      <c r="AU29">
        <v>65</v>
      </c>
      <c r="AV29">
        <v>1</v>
      </c>
      <c r="AW29">
        <v>1</v>
      </c>
      <c r="AZ29">
        <v>1</v>
      </c>
      <c r="BA29">
        <v>30.29</v>
      </c>
      <c r="BB29">
        <v>8.77</v>
      </c>
      <c r="BC29">
        <v>4.26</v>
      </c>
      <c r="BD29" t="s">
        <v>3</v>
      </c>
      <c r="BE29" t="s">
        <v>3</v>
      </c>
      <c r="BF29" t="s">
        <v>3</v>
      </c>
      <c r="BG29" t="s">
        <v>3</v>
      </c>
      <c r="BH29">
        <v>0</v>
      </c>
      <c r="BI29">
        <v>2</v>
      </c>
      <c r="BJ29" t="s">
        <v>47</v>
      </c>
      <c r="BM29">
        <v>108001</v>
      </c>
      <c r="BN29">
        <v>0</v>
      </c>
      <c r="BO29" t="s">
        <v>45</v>
      </c>
      <c r="BP29">
        <v>1</v>
      </c>
      <c r="BQ29">
        <v>3</v>
      </c>
      <c r="BR29">
        <v>0</v>
      </c>
      <c r="BS29">
        <v>30.29</v>
      </c>
      <c r="BT29">
        <v>1</v>
      </c>
      <c r="BU29">
        <v>1</v>
      </c>
      <c r="BV29">
        <v>1</v>
      </c>
      <c r="BW29">
        <v>1</v>
      </c>
      <c r="BX29">
        <v>1</v>
      </c>
      <c r="BY29" t="s">
        <v>3</v>
      </c>
      <c r="BZ29">
        <v>95</v>
      </c>
      <c r="CA29">
        <v>65</v>
      </c>
      <c r="CE29">
        <v>0</v>
      </c>
      <c r="CF29">
        <v>0</v>
      </c>
      <c r="CG29">
        <v>0</v>
      </c>
      <c r="CM29">
        <v>0</v>
      </c>
      <c r="CN29" t="s">
        <v>3</v>
      </c>
      <c r="CO29">
        <v>0</v>
      </c>
      <c r="CP29">
        <f t="shared" si="34"/>
        <v>366.02</v>
      </c>
      <c r="CQ29">
        <f t="shared" si="35"/>
        <v>53.335199999999993</v>
      </c>
      <c r="CR29">
        <f t="shared" si="36"/>
        <v>19.4694</v>
      </c>
      <c r="CS29">
        <f t="shared" si="37"/>
        <v>4.2406000000000006</v>
      </c>
      <c r="CT29">
        <f t="shared" si="38"/>
        <v>293.2072</v>
      </c>
      <c r="CU29">
        <f t="shared" si="39"/>
        <v>0</v>
      </c>
      <c r="CV29">
        <f t="shared" si="40"/>
        <v>1.03</v>
      </c>
      <c r="CW29">
        <f t="shared" si="41"/>
        <v>0.01</v>
      </c>
      <c r="CX29">
        <f t="shared" si="42"/>
        <v>0</v>
      </c>
      <c r="CY29">
        <f t="shared" si="43"/>
        <v>282.57749999999999</v>
      </c>
      <c r="CZ29">
        <f t="shared" si="44"/>
        <v>193.3425</v>
      </c>
      <c r="DC29" t="s">
        <v>3</v>
      </c>
      <c r="DD29" t="s">
        <v>3</v>
      </c>
      <c r="DE29" t="s">
        <v>3</v>
      </c>
      <c r="DF29" t="s">
        <v>3</v>
      </c>
      <c r="DG29" t="s">
        <v>3</v>
      </c>
      <c r="DH29" t="s">
        <v>3</v>
      </c>
      <c r="DI29" t="s">
        <v>3</v>
      </c>
      <c r="DJ29" t="s">
        <v>3</v>
      </c>
      <c r="DK29" t="s">
        <v>3</v>
      </c>
      <c r="DL29" t="s">
        <v>3</v>
      </c>
      <c r="DM29" t="s">
        <v>3</v>
      </c>
      <c r="DN29">
        <v>0</v>
      </c>
      <c r="DO29">
        <v>0</v>
      </c>
      <c r="DP29">
        <v>1</v>
      </c>
      <c r="DQ29">
        <v>1</v>
      </c>
      <c r="DU29">
        <v>1003</v>
      </c>
      <c r="DV29" t="s">
        <v>40</v>
      </c>
      <c r="DW29" t="s">
        <v>40</v>
      </c>
      <c r="DX29">
        <v>100</v>
      </c>
      <c r="DZ29" t="s">
        <v>3</v>
      </c>
      <c r="EA29" t="s">
        <v>3</v>
      </c>
      <c r="EB29" t="s">
        <v>3</v>
      </c>
      <c r="EC29" t="s">
        <v>3</v>
      </c>
      <c r="EE29">
        <v>35525962</v>
      </c>
      <c r="EF29">
        <v>3</v>
      </c>
      <c r="EG29" t="s">
        <v>18</v>
      </c>
      <c r="EH29">
        <v>0</v>
      </c>
      <c r="EI29" t="s">
        <v>3</v>
      </c>
      <c r="EJ29">
        <v>2</v>
      </c>
      <c r="EK29">
        <v>108001</v>
      </c>
      <c r="EL29" t="s">
        <v>42</v>
      </c>
      <c r="EM29" t="s">
        <v>43</v>
      </c>
      <c r="EO29" t="s">
        <v>3</v>
      </c>
      <c r="EQ29">
        <v>0</v>
      </c>
      <c r="ER29">
        <v>24.42</v>
      </c>
      <c r="ES29">
        <v>12.52</v>
      </c>
      <c r="ET29">
        <v>2.2200000000000002</v>
      </c>
      <c r="EU29">
        <v>0.14000000000000001</v>
      </c>
      <c r="EV29">
        <v>9.68</v>
      </c>
      <c r="EW29">
        <v>1.03</v>
      </c>
      <c r="EX29">
        <v>0.01</v>
      </c>
      <c r="EY29">
        <v>0</v>
      </c>
      <c r="FQ29">
        <v>0</v>
      </c>
      <c r="FR29">
        <f t="shared" si="45"/>
        <v>0</v>
      </c>
      <c r="FS29">
        <v>0</v>
      </c>
      <c r="FX29">
        <v>95</v>
      </c>
      <c r="FY29">
        <v>65</v>
      </c>
      <c r="GA29" t="s">
        <v>3</v>
      </c>
      <c r="GD29">
        <v>1</v>
      </c>
      <c r="GF29">
        <v>-1617070152</v>
      </c>
      <c r="GG29">
        <v>2</v>
      </c>
      <c r="GH29">
        <v>1</v>
      </c>
      <c r="GI29">
        <v>2</v>
      </c>
      <c r="GJ29">
        <v>0</v>
      </c>
      <c r="GK29">
        <v>0</v>
      </c>
      <c r="GL29">
        <f t="shared" si="46"/>
        <v>0</v>
      </c>
      <c r="GM29">
        <f t="shared" si="47"/>
        <v>841.94</v>
      </c>
      <c r="GN29">
        <f t="shared" si="48"/>
        <v>0</v>
      </c>
      <c r="GO29">
        <f t="shared" si="49"/>
        <v>841.94</v>
      </c>
      <c r="GP29">
        <f t="shared" si="50"/>
        <v>0</v>
      </c>
      <c r="GR29">
        <v>0</v>
      </c>
      <c r="GS29">
        <v>3</v>
      </c>
      <c r="GT29">
        <v>0</v>
      </c>
      <c r="GU29" t="s">
        <v>3</v>
      </c>
      <c r="GV29">
        <f t="shared" si="51"/>
        <v>0</v>
      </c>
      <c r="GW29">
        <v>1</v>
      </c>
      <c r="GX29">
        <f t="shared" si="52"/>
        <v>0</v>
      </c>
      <c r="HA29">
        <v>0</v>
      </c>
      <c r="HB29">
        <v>0</v>
      </c>
      <c r="HC29">
        <f t="shared" si="53"/>
        <v>0</v>
      </c>
      <c r="HE29" t="s">
        <v>3</v>
      </c>
      <c r="HF29" t="s">
        <v>3</v>
      </c>
      <c r="IK29">
        <v>0</v>
      </c>
    </row>
    <row r="30" spans="1:245">
      <c r="A30">
        <v>17</v>
      </c>
      <c r="B30">
        <v>1</v>
      </c>
      <c r="C30">
        <f>ROW(SmtRes!A40)</f>
        <v>40</v>
      </c>
      <c r="D30">
        <f>ROW(EtalonRes!A38)</f>
        <v>38</v>
      </c>
      <c r="E30" t="s">
        <v>48</v>
      </c>
      <c r="F30" t="s">
        <v>49</v>
      </c>
      <c r="G30" t="s">
        <v>50</v>
      </c>
      <c r="H30" t="s">
        <v>16</v>
      </c>
      <c r="I30">
        <v>15</v>
      </c>
      <c r="J30">
        <v>0</v>
      </c>
      <c r="O30">
        <f t="shared" si="14"/>
        <v>3831.74</v>
      </c>
      <c r="P30">
        <f t="shared" si="15"/>
        <v>153.97999999999999</v>
      </c>
      <c r="Q30">
        <f t="shared" si="16"/>
        <v>6.61</v>
      </c>
      <c r="R30">
        <f t="shared" si="17"/>
        <v>0</v>
      </c>
      <c r="S30">
        <f t="shared" si="18"/>
        <v>3671.15</v>
      </c>
      <c r="T30">
        <f t="shared" si="19"/>
        <v>0</v>
      </c>
      <c r="U30">
        <f t="shared" si="20"/>
        <v>12.6</v>
      </c>
      <c r="V30">
        <f t="shared" si="21"/>
        <v>0</v>
      </c>
      <c r="W30">
        <f t="shared" si="22"/>
        <v>0</v>
      </c>
      <c r="X30">
        <f t="shared" si="23"/>
        <v>2936.92</v>
      </c>
      <c r="Y30">
        <f t="shared" si="24"/>
        <v>2202.69</v>
      </c>
      <c r="AA30">
        <v>34944170</v>
      </c>
      <c r="AB30">
        <f t="shared" si="25"/>
        <v>9.48</v>
      </c>
      <c r="AC30">
        <f t="shared" si="26"/>
        <v>1.28</v>
      </c>
      <c r="AD30">
        <f t="shared" si="27"/>
        <v>0.12</v>
      </c>
      <c r="AE30">
        <f t="shared" si="28"/>
        <v>0</v>
      </c>
      <c r="AF30">
        <f t="shared" si="29"/>
        <v>8.08</v>
      </c>
      <c r="AG30">
        <f t="shared" si="30"/>
        <v>0</v>
      </c>
      <c r="AH30">
        <f t="shared" si="31"/>
        <v>0.84</v>
      </c>
      <c r="AI30">
        <f t="shared" si="32"/>
        <v>0</v>
      </c>
      <c r="AJ30">
        <f t="shared" si="33"/>
        <v>0</v>
      </c>
      <c r="AK30">
        <v>9.48</v>
      </c>
      <c r="AL30">
        <v>1.28</v>
      </c>
      <c r="AM30">
        <v>0.12</v>
      </c>
      <c r="AN30">
        <v>0</v>
      </c>
      <c r="AO30">
        <v>8.08</v>
      </c>
      <c r="AP30">
        <v>0</v>
      </c>
      <c r="AQ30">
        <v>0.84</v>
      </c>
      <c r="AR30">
        <v>0</v>
      </c>
      <c r="AS30">
        <v>0</v>
      </c>
      <c r="AT30">
        <v>80</v>
      </c>
      <c r="AU30">
        <v>60</v>
      </c>
      <c r="AV30">
        <v>1</v>
      </c>
      <c r="AW30">
        <v>1</v>
      </c>
      <c r="AZ30">
        <v>1</v>
      </c>
      <c r="BA30">
        <v>30.29</v>
      </c>
      <c r="BB30">
        <v>3.67</v>
      </c>
      <c r="BC30">
        <v>8.02</v>
      </c>
      <c r="BD30" t="s">
        <v>3</v>
      </c>
      <c r="BE30" t="s">
        <v>3</v>
      </c>
      <c r="BF30" t="s">
        <v>3</v>
      </c>
      <c r="BG30" t="s">
        <v>3</v>
      </c>
      <c r="BH30">
        <v>0</v>
      </c>
      <c r="BI30">
        <v>2</v>
      </c>
      <c r="BJ30" t="s">
        <v>51</v>
      </c>
      <c r="BM30">
        <v>110011</v>
      </c>
      <c r="BN30">
        <v>0</v>
      </c>
      <c r="BO30" t="s">
        <v>49</v>
      </c>
      <c r="BP30">
        <v>1</v>
      </c>
      <c r="BQ30">
        <v>3</v>
      </c>
      <c r="BR30">
        <v>0</v>
      </c>
      <c r="BS30">
        <v>30.29</v>
      </c>
      <c r="BT30">
        <v>1</v>
      </c>
      <c r="BU30">
        <v>1</v>
      </c>
      <c r="BV30">
        <v>1</v>
      </c>
      <c r="BW30">
        <v>1</v>
      </c>
      <c r="BX30">
        <v>1</v>
      </c>
      <c r="BY30" t="s">
        <v>3</v>
      </c>
      <c r="BZ30">
        <v>80</v>
      </c>
      <c r="CA30">
        <v>60</v>
      </c>
      <c r="CE30">
        <v>0</v>
      </c>
      <c r="CF30">
        <v>0</v>
      </c>
      <c r="CG30">
        <v>0</v>
      </c>
      <c r="CM30">
        <v>0</v>
      </c>
      <c r="CN30" t="s">
        <v>3</v>
      </c>
      <c r="CO30">
        <v>0</v>
      </c>
      <c r="CP30">
        <f t="shared" si="34"/>
        <v>3831.7400000000002</v>
      </c>
      <c r="CQ30">
        <f t="shared" si="35"/>
        <v>10.265599999999999</v>
      </c>
      <c r="CR30">
        <f t="shared" si="36"/>
        <v>0.44039999999999996</v>
      </c>
      <c r="CS30">
        <f t="shared" si="37"/>
        <v>0</v>
      </c>
      <c r="CT30">
        <f t="shared" si="38"/>
        <v>244.7432</v>
      </c>
      <c r="CU30">
        <f t="shared" si="39"/>
        <v>0</v>
      </c>
      <c r="CV30">
        <f t="shared" si="40"/>
        <v>0.84</v>
      </c>
      <c r="CW30">
        <f t="shared" si="41"/>
        <v>0</v>
      </c>
      <c r="CX30">
        <f t="shared" si="42"/>
        <v>0</v>
      </c>
      <c r="CY30">
        <f t="shared" si="43"/>
        <v>2936.92</v>
      </c>
      <c r="CZ30">
        <f t="shared" si="44"/>
        <v>2202.69</v>
      </c>
      <c r="DC30" t="s">
        <v>3</v>
      </c>
      <c r="DD30" t="s">
        <v>3</v>
      </c>
      <c r="DE30" t="s">
        <v>3</v>
      </c>
      <c r="DF30" t="s">
        <v>3</v>
      </c>
      <c r="DG30" t="s">
        <v>3</v>
      </c>
      <c r="DH30" t="s">
        <v>3</v>
      </c>
      <c r="DI30" t="s">
        <v>3</v>
      </c>
      <c r="DJ30" t="s">
        <v>3</v>
      </c>
      <c r="DK30" t="s">
        <v>3</v>
      </c>
      <c r="DL30" t="s">
        <v>3</v>
      </c>
      <c r="DM30" t="s">
        <v>3</v>
      </c>
      <c r="DN30">
        <v>0</v>
      </c>
      <c r="DO30">
        <v>0</v>
      </c>
      <c r="DP30">
        <v>1</v>
      </c>
      <c r="DQ30">
        <v>1</v>
      </c>
      <c r="DU30">
        <v>1013</v>
      </c>
      <c r="DV30" t="s">
        <v>16</v>
      </c>
      <c r="DW30" t="s">
        <v>16</v>
      </c>
      <c r="DX30">
        <v>1</v>
      </c>
      <c r="DZ30" t="s">
        <v>3</v>
      </c>
      <c r="EA30" t="s">
        <v>3</v>
      </c>
      <c r="EB30" t="s">
        <v>3</v>
      </c>
      <c r="EC30" t="s">
        <v>3</v>
      </c>
      <c r="EE30">
        <v>35526009</v>
      </c>
      <c r="EF30">
        <v>3</v>
      </c>
      <c r="EG30" t="s">
        <v>18</v>
      </c>
      <c r="EH30">
        <v>0</v>
      </c>
      <c r="EI30" t="s">
        <v>3</v>
      </c>
      <c r="EJ30">
        <v>2</v>
      </c>
      <c r="EK30">
        <v>110011</v>
      </c>
      <c r="EL30" t="s">
        <v>19</v>
      </c>
      <c r="EM30" t="s">
        <v>20</v>
      </c>
      <c r="EO30" t="s">
        <v>3</v>
      </c>
      <c r="EQ30">
        <v>0</v>
      </c>
      <c r="ER30">
        <v>9.48</v>
      </c>
      <c r="ES30">
        <v>1.28</v>
      </c>
      <c r="ET30">
        <v>0.12</v>
      </c>
      <c r="EU30">
        <v>0</v>
      </c>
      <c r="EV30">
        <v>8.08</v>
      </c>
      <c r="EW30">
        <v>0.84</v>
      </c>
      <c r="EX30">
        <v>0</v>
      </c>
      <c r="EY30">
        <v>0</v>
      </c>
      <c r="FQ30">
        <v>0</v>
      </c>
      <c r="FR30">
        <f t="shared" si="45"/>
        <v>0</v>
      </c>
      <c r="FS30">
        <v>0</v>
      </c>
      <c r="FX30">
        <v>80</v>
      </c>
      <c r="FY30">
        <v>60</v>
      </c>
      <c r="GA30" t="s">
        <v>3</v>
      </c>
      <c r="GD30">
        <v>1</v>
      </c>
      <c r="GF30">
        <v>1540632375</v>
      </c>
      <c r="GG30">
        <v>2</v>
      </c>
      <c r="GH30">
        <v>1</v>
      </c>
      <c r="GI30">
        <v>2</v>
      </c>
      <c r="GJ30">
        <v>0</v>
      </c>
      <c r="GK30">
        <v>0</v>
      </c>
      <c r="GL30">
        <f t="shared" si="46"/>
        <v>0</v>
      </c>
      <c r="GM30">
        <f t="shared" si="47"/>
        <v>8971.35</v>
      </c>
      <c r="GN30">
        <f t="shared" si="48"/>
        <v>0</v>
      </c>
      <c r="GO30">
        <f t="shared" si="49"/>
        <v>8971.35</v>
      </c>
      <c r="GP30">
        <f t="shared" si="50"/>
        <v>0</v>
      </c>
      <c r="GR30">
        <v>0</v>
      </c>
      <c r="GS30">
        <v>3</v>
      </c>
      <c r="GT30">
        <v>0</v>
      </c>
      <c r="GU30" t="s">
        <v>3</v>
      </c>
      <c r="GV30">
        <f t="shared" si="51"/>
        <v>0</v>
      </c>
      <c r="GW30">
        <v>1</v>
      </c>
      <c r="GX30">
        <f t="shared" si="52"/>
        <v>0</v>
      </c>
      <c r="HA30">
        <v>0</v>
      </c>
      <c r="HB30">
        <v>0</v>
      </c>
      <c r="HC30">
        <f t="shared" si="53"/>
        <v>0</v>
      </c>
      <c r="HE30" t="s">
        <v>3</v>
      </c>
      <c r="HF30" t="s">
        <v>3</v>
      </c>
      <c r="IK30">
        <v>0</v>
      </c>
    </row>
    <row r="31" spans="1:245">
      <c r="A31">
        <v>18</v>
      </c>
      <c r="B31">
        <v>1</v>
      </c>
      <c r="C31">
        <v>40</v>
      </c>
      <c r="E31" t="s">
        <v>52</v>
      </c>
      <c r="F31" t="s">
        <v>53</v>
      </c>
      <c r="G31" t="s">
        <v>54</v>
      </c>
      <c r="H31" t="s">
        <v>3</v>
      </c>
      <c r="I31">
        <f>I30*J31</f>
        <v>15</v>
      </c>
      <c r="J31">
        <v>1</v>
      </c>
      <c r="O31">
        <f t="shared" si="14"/>
        <v>15714</v>
      </c>
      <c r="P31">
        <f t="shared" si="15"/>
        <v>15714</v>
      </c>
      <c r="Q31">
        <f t="shared" si="16"/>
        <v>0</v>
      </c>
      <c r="R31">
        <f t="shared" si="17"/>
        <v>0</v>
      </c>
      <c r="S31">
        <f t="shared" si="18"/>
        <v>0</v>
      </c>
      <c r="T31">
        <f t="shared" si="19"/>
        <v>0</v>
      </c>
      <c r="U31">
        <f t="shared" si="20"/>
        <v>0</v>
      </c>
      <c r="V31">
        <f t="shared" si="21"/>
        <v>0</v>
      </c>
      <c r="W31">
        <f t="shared" si="22"/>
        <v>0</v>
      </c>
      <c r="X31">
        <f t="shared" si="23"/>
        <v>0</v>
      </c>
      <c r="Y31">
        <f t="shared" si="24"/>
        <v>0</v>
      </c>
      <c r="AA31">
        <v>34944170</v>
      </c>
      <c r="AB31">
        <f t="shared" si="25"/>
        <v>1047.5999999999999</v>
      </c>
      <c r="AC31">
        <f t="shared" si="26"/>
        <v>1047.5999999999999</v>
      </c>
      <c r="AD31">
        <f t="shared" si="27"/>
        <v>0</v>
      </c>
      <c r="AE31">
        <f t="shared" si="28"/>
        <v>0</v>
      </c>
      <c r="AF31">
        <f t="shared" si="29"/>
        <v>0</v>
      </c>
      <c r="AG31">
        <f t="shared" si="30"/>
        <v>0</v>
      </c>
      <c r="AH31">
        <f t="shared" si="31"/>
        <v>0</v>
      </c>
      <c r="AI31">
        <f t="shared" si="32"/>
        <v>0</v>
      </c>
      <c r="AJ31">
        <f t="shared" si="33"/>
        <v>0</v>
      </c>
      <c r="AK31">
        <v>1047.5999999999999</v>
      </c>
      <c r="AL31">
        <v>1047.5999999999999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80</v>
      </c>
      <c r="AU31">
        <v>60</v>
      </c>
      <c r="AV31">
        <v>1</v>
      </c>
      <c r="AW31">
        <v>1</v>
      </c>
      <c r="AZ31">
        <v>1</v>
      </c>
      <c r="BA31">
        <v>1</v>
      </c>
      <c r="BB31">
        <v>1</v>
      </c>
      <c r="BC31">
        <v>1</v>
      </c>
      <c r="BD31" t="s">
        <v>3</v>
      </c>
      <c r="BE31" t="s">
        <v>3</v>
      </c>
      <c r="BF31" t="s">
        <v>3</v>
      </c>
      <c r="BG31" t="s">
        <v>3</v>
      </c>
      <c r="BH31">
        <v>3</v>
      </c>
      <c r="BI31">
        <v>2</v>
      </c>
      <c r="BJ31" t="s">
        <v>3</v>
      </c>
      <c r="BM31">
        <v>110011</v>
      </c>
      <c r="BN31">
        <v>0</v>
      </c>
      <c r="BO31" t="s">
        <v>3</v>
      </c>
      <c r="BP31">
        <v>0</v>
      </c>
      <c r="BQ31">
        <v>3</v>
      </c>
      <c r="BR31">
        <v>0</v>
      </c>
      <c r="BS31">
        <v>1</v>
      </c>
      <c r="BT31">
        <v>1</v>
      </c>
      <c r="BU31">
        <v>1</v>
      </c>
      <c r="BV31">
        <v>1</v>
      </c>
      <c r="BW31">
        <v>1</v>
      </c>
      <c r="BX31">
        <v>1</v>
      </c>
      <c r="BY31" t="s">
        <v>3</v>
      </c>
      <c r="BZ31">
        <v>80</v>
      </c>
      <c r="CA31">
        <v>60</v>
      </c>
      <c r="CE31">
        <v>0</v>
      </c>
      <c r="CF31">
        <v>0</v>
      </c>
      <c r="CG31">
        <v>0</v>
      </c>
      <c r="CM31">
        <v>0</v>
      </c>
      <c r="CN31" t="s">
        <v>3</v>
      </c>
      <c r="CO31">
        <v>0</v>
      </c>
      <c r="CP31">
        <f t="shared" si="34"/>
        <v>15714</v>
      </c>
      <c r="CQ31">
        <f t="shared" si="35"/>
        <v>1047.5999999999999</v>
      </c>
      <c r="CR31">
        <f t="shared" si="36"/>
        <v>0</v>
      </c>
      <c r="CS31">
        <f t="shared" si="37"/>
        <v>0</v>
      </c>
      <c r="CT31">
        <f t="shared" si="38"/>
        <v>0</v>
      </c>
      <c r="CU31">
        <f t="shared" si="39"/>
        <v>0</v>
      </c>
      <c r="CV31">
        <f t="shared" si="40"/>
        <v>0</v>
      </c>
      <c r="CW31">
        <f t="shared" si="41"/>
        <v>0</v>
      </c>
      <c r="CX31">
        <f t="shared" si="42"/>
        <v>0</v>
      </c>
      <c r="CY31">
        <f t="shared" si="43"/>
        <v>0</v>
      </c>
      <c r="CZ31">
        <f t="shared" si="44"/>
        <v>0</v>
      </c>
      <c r="DC31" t="s">
        <v>3</v>
      </c>
      <c r="DD31" t="s">
        <v>3</v>
      </c>
      <c r="DE31" t="s">
        <v>3</v>
      </c>
      <c r="DF31" t="s">
        <v>3</v>
      </c>
      <c r="DG31" t="s">
        <v>3</v>
      </c>
      <c r="DH31" t="s">
        <v>3</v>
      </c>
      <c r="DI31" t="s">
        <v>3</v>
      </c>
      <c r="DJ31" t="s">
        <v>3</v>
      </c>
      <c r="DK31" t="s">
        <v>3</v>
      </c>
      <c r="DL31" t="s">
        <v>3</v>
      </c>
      <c r="DM31" t="s">
        <v>3</v>
      </c>
      <c r="DN31">
        <v>0</v>
      </c>
      <c r="DO31">
        <v>0</v>
      </c>
      <c r="DP31">
        <v>1</v>
      </c>
      <c r="DQ31">
        <v>1</v>
      </c>
      <c r="DZ31" t="s">
        <v>3</v>
      </c>
      <c r="EA31" t="s">
        <v>3</v>
      </c>
      <c r="EB31" t="s">
        <v>3</v>
      </c>
      <c r="EC31" t="s">
        <v>3</v>
      </c>
      <c r="EE31">
        <v>35526009</v>
      </c>
      <c r="EF31">
        <v>3</v>
      </c>
      <c r="EG31" t="s">
        <v>18</v>
      </c>
      <c r="EH31">
        <v>0</v>
      </c>
      <c r="EI31" t="s">
        <v>3</v>
      </c>
      <c r="EJ31">
        <v>2</v>
      </c>
      <c r="EK31">
        <v>110011</v>
      </c>
      <c r="EL31" t="s">
        <v>19</v>
      </c>
      <c r="EM31" t="s">
        <v>20</v>
      </c>
      <c r="EO31" t="s">
        <v>3</v>
      </c>
      <c r="EQ31">
        <v>0</v>
      </c>
      <c r="ER31">
        <v>1047.5999999999999</v>
      </c>
      <c r="ES31">
        <v>1047.5999999999999</v>
      </c>
      <c r="ET31">
        <v>0</v>
      </c>
      <c r="EU31">
        <v>0</v>
      </c>
      <c r="EV31">
        <v>0</v>
      </c>
      <c r="EW31">
        <v>0</v>
      </c>
      <c r="EX31">
        <v>0</v>
      </c>
      <c r="FQ31">
        <v>0</v>
      </c>
      <c r="FR31">
        <f t="shared" si="45"/>
        <v>0</v>
      </c>
      <c r="FS31">
        <v>0</v>
      </c>
      <c r="FX31">
        <v>80</v>
      </c>
      <c r="FY31">
        <v>60</v>
      </c>
      <c r="GA31" t="s">
        <v>24</v>
      </c>
      <c r="GD31">
        <v>1</v>
      </c>
      <c r="GF31">
        <v>-394209530</v>
      </c>
      <c r="GG31">
        <v>2</v>
      </c>
      <c r="GH31">
        <v>2</v>
      </c>
      <c r="GI31">
        <v>-2</v>
      </c>
      <c r="GJ31">
        <v>0</v>
      </c>
      <c r="GK31">
        <v>0</v>
      </c>
      <c r="GL31">
        <f t="shared" si="46"/>
        <v>0</v>
      </c>
      <c r="GM31">
        <f t="shared" si="47"/>
        <v>15714</v>
      </c>
      <c r="GN31">
        <f t="shared" si="48"/>
        <v>0</v>
      </c>
      <c r="GO31">
        <f t="shared" si="49"/>
        <v>15714</v>
      </c>
      <c r="GP31">
        <f t="shared" si="50"/>
        <v>0</v>
      </c>
      <c r="GR31">
        <v>0</v>
      </c>
      <c r="GS31">
        <v>4</v>
      </c>
      <c r="GT31">
        <v>0</v>
      </c>
      <c r="GU31" t="s">
        <v>3</v>
      </c>
      <c r="GV31">
        <f t="shared" si="51"/>
        <v>0</v>
      </c>
      <c r="GW31">
        <v>1</v>
      </c>
      <c r="GX31">
        <f t="shared" si="52"/>
        <v>0</v>
      </c>
      <c r="HA31">
        <v>0</v>
      </c>
      <c r="HB31">
        <v>0</v>
      </c>
      <c r="HC31">
        <f t="shared" si="53"/>
        <v>0</v>
      </c>
      <c r="HE31" t="s">
        <v>3</v>
      </c>
      <c r="HF31" t="s">
        <v>3</v>
      </c>
      <c r="IK31">
        <v>0</v>
      </c>
    </row>
    <row r="32" spans="1:245">
      <c r="A32">
        <v>17</v>
      </c>
      <c r="B32">
        <v>1</v>
      </c>
      <c r="C32">
        <f>ROW(SmtRes!A48)</f>
        <v>48</v>
      </c>
      <c r="D32">
        <f>ROW(EtalonRes!A46)</f>
        <v>46</v>
      </c>
      <c r="E32" t="s">
        <v>55</v>
      </c>
      <c r="F32" t="s">
        <v>56</v>
      </c>
      <c r="G32" t="s">
        <v>57</v>
      </c>
      <c r="H32" t="s">
        <v>58</v>
      </c>
      <c r="I32">
        <f>ROUND(1/100,9)</f>
        <v>0.01</v>
      </c>
      <c r="J32">
        <v>0</v>
      </c>
      <c r="O32">
        <f t="shared" si="14"/>
        <v>217.07</v>
      </c>
      <c r="P32">
        <f t="shared" si="15"/>
        <v>10.07</v>
      </c>
      <c r="Q32">
        <f t="shared" si="16"/>
        <v>1.95</v>
      </c>
      <c r="R32">
        <f t="shared" si="17"/>
        <v>0.41</v>
      </c>
      <c r="S32">
        <f t="shared" si="18"/>
        <v>205.05</v>
      </c>
      <c r="T32">
        <f t="shared" si="19"/>
        <v>0</v>
      </c>
      <c r="U32">
        <f t="shared" si="20"/>
        <v>0.68240000000000001</v>
      </c>
      <c r="V32">
        <f t="shared" si="21"/>
        <v>1E-3</v>
      </c>
      <c r="W32">
        <f t="shared" si="22"/>
        <v>0</v>
      </c>
      <c r="X32">
        <f t="shared" si="23"/>
        <v>195.19</v>
      </c>
      <c r="Y32">
        <f t="shared" si="24"/>
        <v>133.55000000000001</v>
      </c>
      <c r="AA32">
        <v>34944170</v>
      </c>
      <c r="AB32">
        <f t="shared" si="25"/>
        <v>1112.01</v>
      </c>
      <c r="AC32">
        <f t="shared" si="26"/>
        <v>412.89</v>
      </c>
      <c r="AD32">
        <f t="shared" si="27"/>
        <v>22.18</v>
      </c>
      <c r="AE32">
        <f t="shared" si="28"/>
        <v>1.35</v>
      </c>
      <c r="AF32">
        <f t="shared" si="29"/>
        <v>676.94</v>
      </c>
      <c r="AG32">
        <f t="shared" si="30"/>
        <v>0</v>
      </c>
      <c r="AH32">
        <f t="shared" si="31"/>
        <v>68.239999999999995</v>
      </c>
      <c r="AI32">
        <f t="shared" si="32"/>
        <v>0.1</v>
      </c>
      <c r="AJ32">
        <f t="shared" si="33"/>
        <v>0</v>
      </c>
      <c r="AK32">
        <v>1112.01</v>
      </c>
      <c r="AL32">
        <v>412.89</v>
      </c>
      <c r="AM32">
        <v>22.18</v>
      </c>
      <c r="AN32">
        <v>1.35</v>
      </c>
      <c r="AO32">
        <v>676.94</v>
      </c>
      <c r="AP32">
        <v>0</v>
      </c>
      <c r="AQ32">
        <v>68.239999999999995</v>
      </c>
      <c r="AR32">
        <v>0.1</v>
      </c>
      <c r="AS32">
        <v>0</v>
      </c>
      <c r="AT32">
        <v>95</v>
      </c>
      <c r="AU32">
        <v>65</v>
      </c>
      <c r="AV32">
        <v>1</v>
      </c>
      <c r="AW32">
        <v>1</v>
      </c>
      <c r="AZ32">
        <v>1</v>
      </c>
      <c r="BA32">
        <v>30.29</v>
      </c>
      <c r="BB32">
        <v>8.77</v>
      </c>
      <c r="BC32">
        <v>2.44</v>
      </c>
      <c r="BD32" t="s">
        <v>3</v>
      </c>
      <c r="BE32" t="s">
        <v>3</v>
      </c>
      <c r="BF32" t="s">
        <v>3</v>
      </c>
      <c r="BG32" t="s">
        <v>3</v>
      </c>
      <c r="BH32">
        <v>0</v>
      </c>
      <c r="BI32">
        <v>2</v>
      </c>
      <c r="BJ32" t="s">
        <v>59</v>
      </c>
      <c r="BM32">
        <v>108001</v>
      </c>
      <c r="BN32">
        <v>0</v>
      </c>
      <c r="BO32" t="s">
        <v>56</v>
      </c>
      <c r="BP32">
        <v>1</v>
      </c>
      <c r="BQ32">
        <v>3</v>
      </c>
      <c r="BR32">
        <v>0</v>
      </c>
      <c r="BS32">
        <v>30.29</v>
      </c>
      <c r="BT32">
        <v>1</v>
      </c>
      <c r="BU32">
        <v>1</v>
      </c>
      <c r="BV32">
        <v>1</v>
      </c>
      <c r="BW32">
        <v>1</v>
      </c>
      <c r="BX32">
        <v>1</v>
      </c>
      <c r="BY32" t="s">
        <v>3</v>
      </c>
      <c r="BZ32">
        <v>95</v>
      </c>
      <c r="CA32">
        <v>65</v>
      </c>
      <c r="CE32">
        <v>0</v>
      </c>
      <c r="CF32">
        <v>0</v>
      </c>
      <c r="CG32">
        <v>0</v>
      </c>
      <c r="CM32">
        <v>0</v>
      </c>
      <c r="CN32" t="s">
        <v>3</v>
      </c>
      <c r="CO32">
        <v>0</v>
      </c>
      <c r="CP32">
        <f t="shared" si="34"/>
        <v>217.07000000000002</v>
      </c>
      <c r="CQ32">
        <f t="shared" si="35"/>
        <v>1007.4516</v>
      </c>
      <c r="CR32">
        <f t="shared" si="36"/>
        <v>194.51859999999999</v>
      </c>
      <c r="CS32">
        <f t="shared" si="37"/>
        <v>40.891500000000001</v>
      </c>
      <c r="CT32">
        <f t="shared" si="38"/>
        <v>20504.512600000002</v>
      </c>
      <c r="CU32">
        <f t="shared" si="39"/>
        <v>0</v>
      </c>
      <c r="CV32">
        <f t="shared" si="40"/>
        <v>68.239999999999995</v>
      </c>
      <c r="CW32">
        <f t="shared" si="41"/>
        <v>0.1</v>
      </c>
      <c r="CX32">
        <f t="shared" si="42"/>
        <v>0</v>
      </c>
      <c r="CY32">
        <f t="shared" si="43"/>
        <v>195.18700000000001</v>
      </c>
      <c r="CZ32">
        <f t="shared" si="44"/>
        <v>133.54900000000001</v>
      </c>
      <c r="DC32" t="s">
        <v>3</v>
      </c>
      <c r="DD32" t="s">
        <v>3</v>
      </c>
      <c r="DE32" t="s">
        <v>3</v>
      </c>
      <c r="DF32" t="s">
        <v>3</v>
      </c>
      <c r="DG32" t="s">
        <v>3</v>
      </c>
      <c r="DH32" t="s">
        <v>3</v>
      </c>
      <c r="DI32" t="s">
        <v>3</v>
      </c>
      <c r="DJ32" t="s">
        <v>3</v>
      </c>
      <c r="DK32" t="s">
        <v>3</v>
      </c>
      <c r="DL32" t="s">
        <v>3</v>
      </c>
      <c r="DM32" t="s">
        <v>3</v>
      </c>
      <c r="DN32">
        <v>0</v>
      </c>
      <c r="DO32">
        <v>0</v>
      </c>
      <c r="DP32">
        <v>1</v>
      </c>
      <c r="DQ32">
        <v>1</v>
      </c>
      <c r="DU32">
        <v>1010</v>
      </c>
      <c r="DV32" t="s">
        <v>58</v>
      </c>
      <c r="DW32" t="s">
        <v>58</v>
      </c>
      <c r="DX32">
        <v>100</v>
      </c>
      <c r="DZ32" t="s">
        <v>3</v>
      </c>
      <c r="EA32" t="s">
        <v>3</v>
      </c>
      <c r="EB32" t="s">
        <v>3</v>
      </c>
      <c r="EC32" t="s">
        <v>3</v>
      </c>
      <c r="EE32">
        <v>35525962</v>
      </c>
      <c r="EF32">
        <v>3</v>
      </c>
      <c r="EG32" t="s">
        <v>18</v>
      </c>
      <c r="EH32">
        <v>0</v>
      </c>
      <c r="EI32" t="s">
        <v>3</v>
      </c>
      <c r="EJ32">
        <v>2</v>
      </c>
      <c r="EK32">
        <v>108001</v>
      </c>
      <c r="EL32" t="s">
        <v>42</v>
      </c>
      <c r="EM32" t="s">
        <v>43</v>
      </c>
      <c r="EO32" t="s">
        <v>3</v>
      </c>
      <c r="EQ32">
        <v>0</v>
      </c>
      <c r="ER32">
        <v>1112.01</v>
      </c>
      <c r="ES32">
        <v>412.89</v>
      </c>
      <c r="ET32">
        <v>22.18</v>
      </c>
      <c r="EU32">
        <v>1.35</v>
      </c>
      <c r="EV32">
        <v>676.94</v>
      </c>
      <c r="EW32">
        <v>68.239999999999995</v>
      </c>
      <c r="EX32">
        <v>0.1</v>
      </c>
      <c r="EY32">
        <v>0</v>
      </c>
      <c r="FQ32">
        <v>0</v>
      </c>
      <c r="FR32">
        <f t="shared" si="45"/>
        <v>0</v>
      </c>
      <c r="FS32">
        <v>0</v>
      </c>
      <c r="FX32">
        <v>95</v>
      </c>
      <c r="FY32">
        <v>65</v>
      </c>
      <c r="GA32" t="s">
        <v>3</v>
      </c>
      <c r="GD32">
        <v>1</v>
      </c>
      <c r="GF32">
        <v>-1924157156</v>
      </c>
      <c r="GG32">
        <v>2</v>
      </c>
      <c r="GH32">
        <v>1</v>
      </c>
      <c r="GI32">
        <v>2</v>
      </c>
      <c r="GJ32">
        <v>0</v>
      </c>
      <c r="GK32">
        <v>0</v>
      </c>
      <c r="GL32">
        <f t="shared" si="46"/>
        <v>0</v>
      </c>
      <c r="GM32">
        <f t="shared" si="47"/>
        <v>545.80999999999995</v>
      </c>
      <c r="GN32">
        <f t="shared" si="48"/>
        <v>0</v>
      </c>
      <c r="GO32">
        <f t="shared" si="49"/>
        <v>545.80999999999995</v>
      </c>
      <c r="GP32">
        <f t="shared" si="50"/>
        <v>0</v>
      </c>
      <c r="GR32">
        <v>0</v>
      </c>
      <c r="GS32">
        <v>3</v>
      </c>
      <c r="GT32">
        <v>0</v>
      </c>
      <c r="GU32" t="s">
        <v>3</v>
      </c>
      <c r="GV32">
        <f t="shared" si="51"/>
        <v>0</v>
      </c>
      <c r="GW32">
        <v>1</v>
      </c>
      <c r="GX32">
        <f t="shared" si="52"/>
        <v>0</v>
      </c>
      <c r="HA32">
        <v>0</v>
      </c>
      <c r="HB32">
        <v>0</v>
      </c>
      <c r="HC32">
        <f t="shared" si="53"/>
        <v>0</v>
      </c>
      <c r="HE32" t="s">
        <v>3</v>
      </c>
      <c r="HF32" t="s">
        <v>3</v>
      </c>
      <c r="IK32">
        <v>0</v>
      </c>
    </row>
    <row r="33" spans="1:245">
      <c r="A33">
        <v>17</v>
      </c>
      <c r="B33">
        <v>1</v>
      </c>
      <c r="E33" t="s">
        <v>60</v>
      </c>
      <c r="F33" t="s">
        <v>61</v>
      </c>
      <c r="G33" t="s">
        <v>62</v>
      </c>
      <c r="H33" t="s">
        <v>63</v>
      </c>
      <c r="I33">
        <v>100</v>
      </c>
      <c r="J33">
        <v>0</v>
      </c>
      <c r="O33">
        <f t="shared" si="14"/>
        <v>611.04999999999995</v>
      </c>
      <c r="P33">
        <f t="shared" si="15"/>
        <v>611.04999999999995</v>
      </c>
      <c r="Q33">
        <f t="shared" si="16"/>
        <v>0</v>
      </c>
      <c r="R33">
        <f t="shared" si="17"/>
        <v>0</v>
      </c>
      <c r="S33">
        <f t="shared" si="18"/>
        <v>0</v>
      </c>
      <c r="T33">
        <f t="shared" si="19"/>
        <v>0</v>
      </c>
      <c r="U33">
        <f t="shared" si="20"/>
        <v>0</v>
      </c>
      <c r="V33">
        <f t="shared" si="21"/>
        <v>0</v>
      </c>
      <c r="W33">
        <f t="shared" si="22"/>
        <v>2</v>
      </c>
      <c r="X33">
        <f t="shared" si="23"/>
        <v>0</v>
      </c>
      <c r="Y33">
        <f t="shared" si="24"/>
        <v>0</v>
      </c>
      <c r="AA33">
        <v>34944170</v>
      </c>
      <c r="AB33">
        <f t="shared" si="25"/>
        <v>1.21</v>
      </c>
      <c r="AC33">
        <f t="shared" si="26"/>
        <v>1.21</v>
      </c>
      <c r="AD33">
        <f t="shared" si="27"/>
        <v>0</v>
      </c>
      <c r="AE33">
        <f t="shared" si="28"/>
        <v>0</v>
      </c>
      <c r="AF33">
        <f t="shared" si="29"/>
        <v>0</v>
      </c>
      <c r="AG33">
        <f t="shared" si="30"/>
        <v>0</v>
      </c>
      <c r="AH33">
        <f t="shared" si="31"/>
        <v>0</v>
      </c>
      <c r="AI33">
        <f t="shared" si="32"/>
        <v>0</v>
      </c>
      <c r="AJ33">
        <f t="shared" si="33"/>
        <v>0.02</v>
      </c>
      <c r="AK33">
        <v>1.21</v>
      </c>
      <c r="AL33">
        <v>1.21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0.02</v>
      </c>
      <c r="AT33">
        <v>0</v>
      </c>
      <c r="AU33">
        <v>0</v>
      </c>
      <c r="AV33">
        <v>1</v>
      </c>
      <c r="AW33">
        <v>1</v>
      </c>
      <c r="AZ33">
        <v>1</v>
      </c>
      <c r="BA33">
        <v>1</v>
      </c>
      <c r="BB33">
        <v>1</v>
      </c>
      <c r="BC33">
        <v>5.05</v>
      </c>
      <c r="BD33" t="s">
        <v>3</v>
      </c>
      <c r="BE33" t="s">
        <v>3</v>
      </c>
      <c r="BF33" t="s">
        <v>3</v>
      </c>
      <c r="BG33" t="s">
        <v>3</v>
      </c>
      <c r="BH33">
        <v>3</v>
      </c>
      <c r="BI33">
        <v>2</v>
      </c>
      <c r="BJ33" t="s">
        <v>64</v>
      </c>
      <c r="BM33">
        <v>500002</v>
      </c>
      <c r="BN33">
        <v>0</v>
      </c>
      <c r="BO33" t="s">
        <v>61</v>
      </c>
      <c r="BP33">
        <v>1</v>
      </c>
      <c r="BQ33">
        <v>12</v>
      </c>
      <c r="BR33">
        <v>0</v>
      </c>
      <c r="BS33">
        <v>1</v>
      </c>
      <c r="BT33">
        <v>1</v>
      </c>
      <c r="BU33">
        <v>1</v>
      </c>
      <c r="BV33">
        <v>1</v>
      </c>
      <c r="BW33">
        <v>1</v>
      </c>
      <c r="BX33">
        <v>1</v>
      </c>
      <c r="BY33" t="s">
        <v>3</v>
      </c>
      <c r="BZ33">
        <v>0</v>
      </c>
      <c r="CA33">
        <v>0</v>
      </c>
      <c r="CE33">
        <v>0</v>
      </c>
      <c r="CF33">
        <v>0</v>
      </c>
      <c r="CG33">
        <v>0</v>
      </c>
      <c r="CM33">
        <v>0</v>
      </c>
      <c r="CN33" t="s">
        <v>3</v>
      </c>
      <c r="CO33">
        <v>0</v>
      </c>
      <c r="CP33">
        <f t="shared" si="34"/>
        <v>611.04999999999995</v>
      </c>
      <c r="CQ33">
        <f t="shared" si="35"/>
        <v>6.1105</v>
      </c>
      <c r="CR33">
        <f t="shared" si="36"/>
        <v>0</v>
      </c>
      <c r="CS33">
        <f t="shared" si="37"/>
        <v>0</v>
      </c>
      <c r="CT33">
        <f t="shared" si="38"/>
        <v>0</v>
      </c>
      <c r="CU33">
        <f t="shared" si="39"/>
        <v>0</v>
      </c>
      <c r="CV33">
        <f t="shared" si="40"/>
        <v>0</v>
      </c>
      <c r="CW33">
        <f t="shared" si="41"/>
        <v>0</v>
      </c>
      <c r="CX33">
        <f t="shared" si="42"/>
        <v>0.02</v>
      </c>
      <c r="CY33">
        <f t="shared" si="43"/>
        <v>0</v>
      </c>
      <c r="CZ33">
        <f t="shared" si="44"/>
        <v>0</v>
      </c>
      <c r="DC33" t="s">
        <v>3</v>
      </c>
      <c r="DD33" t="s">
        <v>3</v>
      </c>
      <c r="DE33" t="s">
        <v>3</v>
      </c>
      <c r="DF33" t="s">
        <v>3</v>
      </c>
      <c r="DG33" t="s">
        <v>3</v>
      </c>
      <c r="DH33" t="s">
        <v>3</v>
      </c>
      <c r="DI33" t="s">
        <v>3</v>
      </c>
      <c r="DJ33" t="s">
        <v>3</v>
      </c>
      <c r="DK33" t="s">
        <v>3</v>
      </c>
      <c r="DL33" t="s">
        <v>3</v>
      </c>
      <c r="DM33" t="s">
        <v>3</v>
      </c>
      <c r="DN33">
        <v>0</v>
      </c>
      <c r="DO33">
        <v>0</v>
      </c>
      <c r="DP33">
        <v>1</v>
      </c>
      <c r="DQ33">
        <v>1</v>
      </c>
      <c r="DU33">
        <v>1003</v>
      </c>
      <c r="DV33" t="s">
        <v>63</v>
      </c>
      <c r="DW33" t="s">
        <v>63</v>
      </c>
      <c r="DX33">
        <v>1</v>
      </c>
      <c r="DZ33" t="s">
        <v>3</v>
      </c>
      <c r="EA33" t="s">
        <v>3</v>
      </c>
      <c r="EB33" t="s">
        <v>3</v>
      </c>
      <c r="EC33" t="s">
        <v>3</v>
      </c>
      <c r="EE33">
        <v>35526013</v>
      </c>
      <c r="EF33">
        <v>12</v>
      </c>
      <c r="EG33" t="s">
        <v>34</v>
      </c>
      <c r="EH33">
        <v>0</v>
      </c>
      <c r="EI33" t="s">
        <v>3</v>
      </c>
      <c r="EJ33">
        <v>2</v>
      </c>
      <c r="EK33">
        <v>500002</v>
      </c>
      <c r="EL33" t="s">
        <v>35</v>
      </c>
      <c r="EM33" t="s">
        <v>36</v>
      </c>
      <c r="EO33" t="s">
        <v>3</v>
      </c>
      <c r="EQ33">
        <v>0</v>
      </c>
      <c r="ER33">
        <v>1.21</v>
      </c>
      <c r="ES33">
        <v>1.21</v>
      </c>
      <c r="ET33">
        <v>0</v>
      </c>
      <c r="EU33">
        <v>0</v>
      </c>
      <c r="EV33">
        <v>0</v>
      </c>
      <c r="EW33">
        <v>0</v>
      </c>
      <c r="EX33">
        <v>0</v>
      </c>
      <c r="EY33">
        <v>0</v>
      </c>
      <c r="FQ33">
        <v>0</v>
      </c>
      <c r="FR33">
        <f t="shared" si="45"/>
        <v>0</v>
      </c>
      <c r="FS33">
        <v>0</v>
      </c>
      <c r="FX33">
        <v>0</v>
      </c>
      <c r="FY33">
        <v>0</v>
      </c>
      <c r="GA33" t="s">
        <v>3</v>
      </c>
      <c r="GD33">
        <v>1</v>
      </c>
      <c r="GF33">
        <v>1444914593</v>
      </c>
      <c r="GG33">
        <v>2</v>
      </c>
      <c r="GH33">
        <v>1</v>
      </c>
      <c r="GI33">
        <v>2</v>
      </c>
      <c r="GJ33">
        <v>0</v>
      </c>
      <c r="GK33">
        <v>0</v>
      </c>
      <c r="GL33">
        <f t="shared" si="46"/>
        <v>0</v>
      </c>
      <c r="GM33">
        <f t="shared" si="47"/>
        <v>611.04999999999995</v>
      </c>
      <c r="GN33">
        <f t="shared" si="48"/>
        <v>0</v>
      </c>
      <c r="GO33">
        <f t="shared" si="49"/>
        <v>611.04999999999995</v>
      </c>
      <c r="GP33">
        <f t="shared" si="50"/>
        <v>0</v>
      </c>
      <c r="GR33">
        <v>0</v>
      </c>
      <c r="GS33">
        <v>3</v>
      </c>
      <c r="GT33">
        <v>0</v>
      </c>
      <c r="GU33" t="s">
        <v>3</v>
      </c>
      <c r="GV33">
        <f t="shared" si="51"/>
        <v>0</v>
      </c>
      <c r="GW33">
        <v>1</v>
      </c>
      <c r="GX33">
        <f t="shared" si="52"/>
        <v>0</v>
      </c>
      <c r="HA33">
        <v>0</v>
      </c>
      <c r="HB33">
        <v>0</v>
      </c>
      <c r="HC33">
        <f t="shared" si="53"/>
        <v>0</v>
      </c>
      <c r="HE33" t="s">
        <v>3</v>
      </c>
      <c r="HF33" t="s">
        <v>3</v>
      </c>
      <c r="IK33">
        <v>0</v>
      </c>
    </row>
    <row r="34" spans="1:245">
      <c r="A34">
        <v>17</v>
      </c>
      <c r="B34">
        <v>1</v>
      </c>
      <c r="E34" t="s">
        <v>65</v>
      </c>
      <c r="F34" t="s">
        <v>66</v>
      </c>
      <c r="G34" t="s">
        <v>67</v>
      </c>
      <c r="H34" t="s">
        <v>63</v>
      </c>
      <c r="I34">
        <v>100</v>
      </c>
      <c r="J34">
        <v>0</v>
      </c>
      <c r="O34">
        <f t="shared" si="14"/>
        <v>1293</v>
      </c>
      <c r="P34">
        <f t="shared" si="15"/>
        <v>1293</v>
      </c>
      <c r="Q34">
        <f t="shared" si="16"/>
        <v>0</v>
      </c>
      <c r="R34">
        <f t="shared" si="17"/>
        <v>0</v>
      </c>
      <c r="S34">
        <f t="shared" si="18"/>
        <v>0</v>
      </c>
      <c r="T34">
        <f t="shared" si="19"/>
        <v>0</v>
      </c>
      <c r="U34">
        <f t="shared" si="20"/>
        <v>0</v>
      </c>
      <c r="V34">
        <f t="shared" si="21"/>
        <v>0</v>
      </c>
      <c r="W34">
        <f t="shared" si="22"/>
        <v>0</v>
      </c>
      <c r="X34">
        <f t="shared" si="23"/>
        <v>0</v>
      </c>
      <c r="Y34">
        <f t="shared" si="24"/>
        <v>0</v>
      </c>
      <c r="AA34">
        <v>34944170</v>
      </c>
      <c r="AB34">
        <f t="shared" si="25"/>
        <v>12.93</v>
      </c>
      <c r="AC34">
        <f t="shared" si="26"/>
        <v>12.93</v>
      </c>
      <c r="AD34">
        <f t="shared" si="27"/>
        <v>0</v>
      </c>
      <c r="AE34">
        <f t="shared" si="28"/>
        <v>0</v>
      </c>
      <c r="AF34">
        <f t="shared" si="29"/>
        <v>0</v>
      </c>
      <c r="AG34">
        <f t="shared" si="30"/>
        <v>0</v>
      </c>
      <c r="AH34">
        <f t="shared" si="31"/>
        <v>0</v>
      </c>
      <c r="AI34">
        <f t="shared" si="32"/>
        <v>0</v>
      </c>
      <c r="AJ34">
        <f t="shared" si="33"/>
        <v>0</v>
      </c>
      <c r="AK34">
        <v>12.93</v>
      </c>
      <c r="AL34">
        <v>12.93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1</v>
      </c>
      <c r="AW34">
        <v>1</v>
      </c>
      <c r="AZ34">
        <v>1</v>
      </c>
      <c r="BA34">
        <v>1</v>
      </c>
      <c r="BB34">
        <v>1</v>
      </c>
      <c r="BC34">
        <v>1</v>
      </c>
      <c r="BD34" t="s">
        <v>3</v>
      </c>
      <c r="BE34" t="s">
        <v>3</v>
      </c>
      <c r="BF34" t="s">
        <v>3</v>
      </c>
      <c r="BG34" t="s">
        <v>3</v>
      </c>
      <c r="BH34">
        <v>3</v>
      </c>
      <c r="BI34">
        <v>1</v>
      </c>
      <c r="BJ34" t="s">
        <v>3</v>
      </c>
      <c r="BM34">
        <v>1100</v>
      </c>
      <c r="BN34">
        <v>0</v>
      </c>
      <c r="BO34" t="s">
        <v>3</v>
      </c>
      <c r="BP34">
        <v>0</v>
      </c>
      <c r="BQ34">
        <v>8</v>
      </c>
      <c r="BR34">
        <v>0</v>
      </c>
      <c r="BS34">
        <v>1</v>
      </c>
      <c r="BT34">
        <v>1</v>
      </c>
      <c r="BU34">
        <v>1</v>
      </c>
      <c r="BV34">
        <v>1</v>
      </c>
      <c r="BW34">
        <v>1</v>
      </c>
      <c r="BX34">
        <v>1</v>
      </c>
      <c r="BY34" t="s">
        <v>3</v>
      </c>
      <c r="BZ34">
        <v>0</v>
      </c>
      <c r="CA34">
        <v>0</v>
      </c>
      <c r="CE34">
        <v>0</v>
      </c>
      <c r="CF34">
        <v>0</v>
      </c>
      <c r="CG34">
        <v>0</v>
      </c>
      <c r="CM34">
        <v>0</v>
      </c>
      <c r="CN34" t="s">
        <v>3</v>
      </c>
      <c r="CO34">
        <v>0</v>
      </c>
      <c r="CP34">
        <f t="shared" si="34"/>
        <v>1293</v>
      </c>
      <c r="CQ34">
        <f t="shared" si="35"/>
        <v>12.93</v>
      </c>
      <c r="CR34">
        <f t="shared" si="36"/>
        <v>0</v>
      </c>
      <c r="CS34">
        <f t="shared" si="37"/>
        <v>0</v>
      </c>
      <c r="CT34">
        <f t="shared" si="38"/>
        <v>0</v>
      </c>
      <c r="CU34">
        <f t="shared" si="39"/>
        <v>0</v>
      </c>
      <c r="CV34">
        <f t="shared" si="40"/>
        <v>0</v>
      </c>
      <c r="CW34">
        <f t="shared" si="41"/>
        <v>0</v>
      </c>
      <c r="CX34">
        <f t="shared" si="42"/>
        <v>0</v>
      </c>
      <c r="CY34">
        <f t="shared" si="43"/>
        <v>0</v>
      </c>
      <c r="CZ34">
        <f t="shared" si="44"/>
        <v>0</v>
      </c>
      <c r="DC34" t="s">
        <v>3</v>
      </c>
      <c r="DD34" t="s">
        <v>3</v>
      </c>
      <c r="DE34" t="s">
        <v>3</v>
      </c>
      <c r="DF34" t="s">
        <v>3</v>
      </c>
      <c r="DG34" t="s">
        <v>3</v>
      </c>
      <c r="DH34" t="s">
        <v>3</v>
      </c>
      <c r="DI34" t="s">
        <v>3</v>
      </c>
      <c r="DJ34" t="s">
        <v>3</v>
      </c>
      <c r="DK34" t="s">
        <v>3</v>
      </c>
      <c r="DL34" t="s">
        <v>3</v>
      </c>
      <c r="DM34" t="s">
        <v>3</v>
      </c>
      <c r="DN34">
        <v>0</v>
      </c>
      <c r="DO34">
        <v>0</v>
      </c>
      <c r="DP34">
        <v>1</v>
      </c>
      <c r="DQ34">
        <v>1</v>
      </c>
      <c r="DU34">
        <v>1003</v>
      </c>
      <c r="DV34" t="s">
        <v>63</v>
      </c>
      <c r="DW34" t="s">
        <v>63</v>
      </c>
      <c r="DX34">
        <v>1</v>
      </c>
      <c r="DZ34" t="s">
        <v>3</v>
      </c>
      <c r="EA34" t="s">
        <v>3</v>
      </c>
      <c r="EB34" t="s">
        <v>3</v>
      </c>
      <c r="EC34" t="s">
        <v>3</v>
      </c>
      <c r="EE34">
        <v>35526259</v>
      </c>
      <c r="EF34">
        <v>8</v>
      </c>
      <c r="EG34" t="s">
        <v>68</v>
      </c>
      <c r="EH34">
        <v>0</v>
      </c>
      <c r="EI34" t="s">
        <v>3</v>
      </c>
      <c r="EJ34">
        <v>1</v>
      </c>
      <c r="EK34">
        <v>1100</v>
      </c>
      <c r="EL34" t="s">
        <v>69</v>
      </c>
      <c r="EM34" t="s">
        <v>70</v>
      </c>
      <c r="EO34" t="s">
        <v>3</v>
      </c>
      <c r="EQ34">
        <v>0</v>
      </c>
      <c r="ER34">
        <v>12.93</v>
      </c>
      <c r="ES34">
        <v>12.93</v>
      </c>
      <c r="ET34">
        <v>0</v>
      </c>
      <c r="EU34">
        <v>0</v>
      </c>
      <c r="EV34">
        <v>0</v>
      </c>
      <c r="EW34">
        <v>0</v>
      </c>
      <c r="EX34">
        <v>0</v>
      </c>
      <c r="EY34">
        <v>0</v>
      </c>
      <c r="FQ34">
        <v>0</v>
      </c>
      <c r="FR34">
        <f t="shared" si="45"/>
        <v>0</v>
      </c>
      <c r="FS34">
        <v>0</v>
      </c>
      <c r="FX34">
        <v>0</v>
      </c>
      <c r="FY34">
        <v>0</v>
      </c>
      <c r="GA34" t="s">
        <v>24</v>
      </c>
      <c r="GD34">
        <v>1</v>
      </c>
      <c r="GF34">
        <v>262594803</v>
      </c>
      <c r="GG34">
        <v>2</v>
      </c>
      <c r="GH34">
        <v>0</v>
      </c>
      <c r="GI34">
        <v>-2</v>
      </c>
      <c r="GJ34">
        <v>0</v>
      </c>
      <c r="GK34">
        <v>0</v>
      </c>
      <c r="GL34">
        <f t="shared" si="46"/>
        <v>0</v>
      </c>
      <c r="GM34">
        <f t="shared" si="47"/>
        <v>1293</v>
      </c>
      <c r="GN34">
        <f t="shared" si="48"/>
        <v>1293</v>
      </c>
      <c r="GO34">
        <f t="shared" si="49"/>
        <v>0</v>
      </c>
      <c r="GP34">
        <f t="shared" si="50"/>
        <v>0</v>
      </c>
      <c r="GR34">
        <v>0</v>
      </c>
      <c r="GS34">
        <v>4</v>
      </c>
      <c r="GT34">
        <v>0</v>
      </c>
      <c r="GU34" t="s">
        <v>3</v>
      </c>
      <c r="GV34">
        <f t="shared" si="51"/>
        <v>0</v>
      </c>
      <c r="GW34">
        <v>1</v>
      </c>
      <c r="GX34">
        <f t="shared" si="52"/>
        <v>0</v>
      </c>
      <c r="HA34">
        <v>0</v>
      </c>
      <c r="HB34">
        <v>0</v>
      </c>
      <c r="HC34">
        <f t="shared" si="53"/>
        <v>0</v>
      </c>
      <c r="HE34" t="s">
        <v>3</v>
      </c>
      <c r="HF34" t="s">
        <v>3</v>
      </c>
      <c r="IK34">
        <v>0</v>
      </c>
    </row>
    <row r="35" spans="1:245">
      <c r="A35">
        <v>17</v>
      </c>
      <c r="B35">
        <v>1</v>
      </c>
      <c r="E35" t="s">
        <v>71</v>
      </c>
      <c r="F35" t="s">
        <v>72</v>
      </c>
      <c r="G35" t="s">
        <v>73</v>
      </c>
      <c r="H35" t="s">
        <v>74</v>
      </c>
      <c r="I35">
        <f>ROUND(100/1000,9)</f>
        <v>0.1</v>
      </c>
      <c r="J35">
        <v>0</v>
      </c>
      <c r="O35">
        <f t="shared" si="14"/>
        <v>861.57</v>
      </c>
      <c r="P35">
        <f t="shared" si="15"/>
        <v>861.57</v>
      </c>
      <c r="Q35">
        <f t="shared" si="16"/>
        <v>0</v>
      </c>
      <c r="R35">
        <f t="shared" si="17"/>
        <v>0</v>
      </c>
      <c r="S35">
        <f t="shared" si="18"/>
        <v>0</v>
      </c>
      <c r="T35">
        <f t="shared" si="19"/>
        <v>0</v>
      </c>
      <c r="U35">
        <f t="shared" si="20"/>
        <v>0</v>
      </c>
      <c r="V35">
        <f t="shared" si="21"/>
        <v>0</v>
      </c>
      <c r="W35">
        <f t="shared" si="22"/>
        <v>2.0699999999999998</v>
      </c>
      <c r="X35">
        <f t="shared" si="23"/>
        <v>0</v>
      </c>
      <c r="Y35">
        <f t="shared" si="24"/>
        <v>0</v>
      </c>
      <c r="AA35">
        <v>34944170</v>
      </c>
      <c r="AB35">
        <f t="shared" si="25"/>
        <v>2127.33</v>
      </c>
      <c r="AC35">
        <f t="shared" si="26"/>
        <v>2127.33</v>
      </c>
      <c r="AD35">
        <f t="shared" si="27"/>
        <v>0</v>
      </c>
      <c r="AE35">
        <f t="shared" si="28"/>
        <v>0</v>
      </c>
      <c r="AF35">
        <f t="shared" si="29"/>
        <v>0</v>
      </c>
      <c r="AG35">
        <f t="shared" si="30"/>
        <v>0</v>
      </c>
      <c r="AH35">
        <f t="shared" si="31"/>
        <v>0</v>
      </c>
      <c r="AI35">
        <f t="shared" si="32"/>
        <v>0</v>
      </c>
      <c r="AJ35">
        <f t="shared" si="33"/>
        <v>20.65</v>
      </c>
      <c r="AK35">
        <v>2127.33</v>
      </c>
      <c r="AL35">
        <v>2127.33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20.65</v>
      </c>
      <c r="AT35">
        <v>0</v>
      </c>
      <c r="AU35">
        <v>0</v>
      </c>
      <c r="AV35">
        <v>1</v>
      </c>
      <c r="AW35">
        <v>1</v>
      </c>
      <c r="AZ35">
        <v>1</v>
      </c>
      <c r="BA35">
        <v>1</v>
      </c>
      <c r="BB35">
        <v>1</v>
      </c>
      <c r="BC35">
        <v>4.05</v>
      </c>
      <c r="BD35" t="s">
        <v>3</v>
      </c>
      <c r="BE35" t="s">
        <v>3</v>
      </c>
      <c r="BF35" t="s">
        <v>3</v>
      </c>
      <c r="BG35" t="s">
        <v>3</v>
      </c>
      <c r="BH35">
        <v>3</v>
      </c>
      <c r="BI35">
        <v>2</v>
      </c>
      <c r="BJ35" t="s">
        <v>75</v>
      </c>
      <c r="BM35">
        <v>500002</v>
      </c>
      <c r="BN35">
        <v>0</v>
      </c>
      <c r="BO35" t="s">
        <v>72</v>
      </c>
      <c r="BP35">
        <v>1</v>
      </c>
      <c r="BQ35">
        <v>12</v>
      </c>
      <c r="BR35">
        <v>0</v>
      </c>
      <c r="BS35">
        <v>1</v>
      </c>
      <c r="BT35">
        <v>1</v>
      </c>
      <c r="BU35">
        <v>1</v>
      </c>
      <c r="BV35">
        <v>1</v>
      </c>
      <c r="BW35">
        <v>1</v>
      </c>
      <c r="BX35">
        <v>1</v>
      </c>
      <c r="BY35" t="s">
        <v>3</v>
      </c>
      <c r="BZ35">
        <v>0</v>
      </c>
      <c r="CA35">
        <v>0</v>
      </c>
      <c r="CE35">
        <v>0</v>
      </c>
      <c r="CF35">
        <v>0</v>
      </c>
      <c r="CG35">
        <v>0</v>
      </c>
      <c r="CM35">
        <v>0</v>
      </c>
      <c r="CN35" t="s">
        <v>3</v>
      </c>
      <c r="CO35">
        <v>0</v>
      </c>
      <c r="CP35">
        <f t="shared" si="34"/>
        <v>861.57</v>
      </c>
      <c r="CQ35">
        <f t="shared" si="35"/>
        <v>8615.6864999999998</v>
      </c>
      <c r="CR35">
        <f t="shared" si="36"/>
        <v>0</v>
      </c>
      <c r="CS35">
        <f t="shared" si="37"/>
        <v>0</v>
      </c>
      <c r="CT35">
        <f t="shared" si="38"/>
        <v>0</v>
      </c>
      <c r="CU35">
        <f t="shared" si="39"/>
        <v>0</v>
      </c>
      <c r="CV35">
        <f t="shared" si="40"/>
        <v>0</v>
      </c>
      <c r="CW35">
        <f t="shared" si="41"/>
        <v>0</v>
      </c>
      <c r="CX35">
        <f t="shared" si="42"/>
        <v>20.65</v>
      </c>
      <c r="CY35">
        <f t="shared" si="43"/>
        <v>0</v>
      </c>
      <c r="CZ35">
        <f t="shared" si="44"/>
        <v>0</v>
      </c>
      <c r="DC35" t="s">
        <v>3</v>
      </c>
      <c r="DD35" t="s">
        <v>3</v>
      </c>
      <c r="DE35" t="s">
        <v>3</v>
      </c>
      <c r="DF35" t="s">
        <v>3</v>
      </c>
      <c r="DG35" t="s">
        <v>3</v>
      </c>
      <c r="DH35" t="s">
        <v>3</v>
      </c>
      <c r="DI35" t="s">
        <v>3</v>
      </c>
      <c r="DJ35" t="s">
        <v>3</v>
      </c>
      <c r="DK35" t="s">
        <v>3</v>
      </c>
      <c r="DL35" t="s">
        <v>3</v>
      </c>
      <c r="DM35" t="s">
        <v>3</v>
      </c>
      <c r="DN35">
        <v>0</v>
      </c>
      <c r="DO35">
        <v>0</v>
      </c>
      <c r="DP35">
        <v>1</v>
      </c>
      <c r="DQ35">
        <v>1</v>
      </c>
      <c r="DU35">
        <v>1013</v>
      </c>
      <c r="DV35" t="s">
        <v>74</v>
      </c>
      <c r="DW35" t="s">
        <v>76</v>
      </c>
      <c r="DX35">
        <v>1</v>
      </c>
      <c r="DZ35" t="s">
        <v>3</v>
      </c>
      <c r="EA35" t="s">
        <v>3</v>
      </c>
      <c r="EB35" t="s">
        <v>3</v>
      </c>
      <c r="EC35" t="s">
        <v>3</v>
      </c>
      <c r="EE35">
        <v>35526013</v>
      </c>
      <c r="EF35">
        <v>12</v>
      </c>
      <c r="EG35" t="s">
        <v>34</v>
      </c>
      <c r="EH35">
        <v>0</v>
      </c>
      <c r="EI35" t="s">
        <v>3</v>
      </c>
      <c r="EJ35">
        <v>2</v>
      </c>
      <c r="EK35">
        <v>500002</v>
      </c>
      <c r="EL35" t="s">
        <v>35</v>
      </c>
      <c r="EM35" t="s">
        <v>36</v>
      </c>
      <c r="EO35" t="s">
        <v>3</v>
      </c>
      <c r="EQ35">
        <v>0</v>
      </c>
      <c r="ER35">
        <v>2127.33</v>
      </c>
      <c r="ES35">
        <v>2127.33</v>
      </c>
      <c r="ET35">
        <v>0</v>
      </c>
      <c r="EU35">
        <v>0</v>
      </c>
      <c r="EV35">
        <v>0</v>
      </c>
      <c r="EW35">
        <v>0</v>
      </c>
      <c r="EX35">
        <v>0</v>
      </c>
      <c r="EY35">
        <v>0</v>
      </c>
      <c r="FQ35">
        <v>0</v>
      </c>
      <c r="FR35">
        <f t="shared" si="45"/>
        <v>0</v>
      </c>
      <c r="FS35">
        <v>0</v>
      </c>
      <c r="FX35">
        <v>0</v>
      </c>
      <c r="FY35">
        <v>0</v>
      </c>
      <c r="GA35" t="s">
        <v>3</v>
      </c>
      <c r="GD35">
        <v>1</v>
      </c>
      <c r="GF35">
        <v>10904088</v>
      </c>
      <c r="GG35">
        <v>2</v>
      </c>
      <c r="GH35">
        <v>1</v>
      </c>
      <c r="GI35">
        <v>2</v>
      </c>
      <c r="GJ35">
        <v>0</v>
      </c>
      <c r="GK35">
        <v>0</v>
      </c>
      <c r="GL35">
        <f t="shared" si="46"/>
        <v>0</v>
      </c>
      <c r="GM35">
        <f t="shared" si="47"/>
        <v>861.57</v>
      </c>
      <c r="GN35">
        <f t="shared" si="48"/>
        <v>0</v>
      </c>
      <c r="GO35">
        <f t="shared" si="49"/>
        <v>861.57</v>
      </c>
      <c r="GP35">
        <f t="shared" si="50"/>
        <v>0</v>
      </c>
      <c r="GR35">
        <v>0</v>
      </c>
      <c r="GS35">
        <v>3</v>
      </c>
      <c r="GT35">
        <v>0</v>
      </c>
      <c r="GU35" t="s">
        <v>3</v>
      </c>
      <c r="GV35">
        <f t="shared" si="51"/>
        <v>0</v>
      </c>
      <c r="GW35">
        <v>1</v>
      </c>
      <c r="GX35">
        <f t="shared" si="52"/>
        <v>0</v>
      </c>
      <c r="HA35">
        <v>0</v>
      </c>
      <c r="HB35">
        <v>0</v>
      </c>
      <c r="HC35">
        <f t="shared" si="53"/>
        <v>0</v>
      </c>
      <c r="HE35" t="s">
        <v>3</v>
      </c>
      <c r="HF35" t="s">
        <v>3</v>
      </c>
      <c r="IK35">
        <v>0</v>
      </c>
    </row>
    <row r="36" spans="1:245">
      <c r="A36">
        <v>17</v>
      </c>
      <c r="B36">
        <v>1</v>
      </c>
      <c r="E36" t="s">
        <v>77</v>
      </c>
      <c r="F36" t="s">
        <v>78</v>
      </c>
      <c r="G36" t="s">
        <v>79</v>
      </c>
      <c r="H36" t="s">
        <v>80</v>
      </c>
      <c r="I36">
        <v>1</v>
      </c>
      <c r="J36">
        <v>0</v>
      </c>
      <c r="O36">
        <f t="shared" si="14"/>
        <v>153.5</v>
      </c>
      <c r="P36">
        <f t="shared" si="15"/>
        <v>153.5</v>
      </c>
      <c r="Q36">
        <f t="shared" si="16"/>
        <v>0</v>
      </c>
      <c r="R36">
        <f t="shared" si="17"/>
        <v>0</v>
      </c>
      <c r="S36">
        <f t="shared" si="18"/>
        <v>0</v>
      </c>
      <c r="T36">
        <f t="shared" si="19"/>
        <v>0</v>
      </c>
      <c r="U36">
        <f t="shared" si="20"/>
        <v>0</v>
      </c>
      <c r="V36">
        <f t="shared" si="21"/>
        <v>0</v>
      </c>
      <c r="W36">
        <f t="shared" si="22"/>
        <v>0</v>
      </c>
      <c r="X36">
        <f t="shared" si="23"/>
        <v>0</v>
      </c>
      <c r="Y36">
        <f t="shared" si="24"/>
        <v>0</v>
      </c>
      <c r="AA36">
        <v>34944170</v>
      </c>
      <c r="AB36">
        <f t="shared" si="25"/>
        <v>153.5</v>
      </c>
      <c r="AC36">
        <f t="shared" si="26"/>
        <v>153.5</v>
      </c>
      <c r="AD36">
        <f t="shared" si="27"/>
        <v>0</v>
      </c>
      <c r="AE36">
        <f t="shared" si="28"/>
        <v>0</v>
      </c>
      <c r="AF36">
        <f t="shared" si="29"/>
        <v>0</v>
      </c>
      <c r="AG36">
        <f t="shared" si="30"/>
        <v>0</v>
      </c>
      <c r="AH36">
        <f t="shared" si="31"/>
        <v>0</v>
      </c>
      <c r="AI36">
        <f t="shared" si="32"/>
        <v>0</v>
      </c>
      <c r="AJ36">
        <f t="shared" si="33"/>
        <v>0</v>
      </c>
      <c r="AK36">
        <v>153.5</v>
      </c>
      <c r="AL36">
        <v>153.5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1</v>
      </c>
      <c r="AW36">
        <v>1</v>
      </c>
      <c r="AZ36">
        <v>1</v>
      </c>
      <c r="BA36">
        <v>1</v>
      </c>
      <c r="BB36">
        <v>1</v>
      </c>
      <c r="BC36">
        <v>1</v>
      </c>
      <c r="BD36" t="s">
        <v>3</v>
      </c>
      <c r="BE36" t="s">
        <v>3</v>
      </c>
      <c r="BF36" t="s">
        <v>3</v>
      </c>
      <c r="BG36" t="s">
        <v>3</v>
      </c>
      <c r="BH36">
        <v>3</v>
      </c>
      <c r="BI36">
        <v>1</v>
      </c>
      <c r="BJ36" t="s">
        <v>3</v>
      </c>
      <c r="BM36">
        <v>1100</v>
      </c>
      <c r="BN36">
        <v>0</v>
      </c>
      <c r="BO36" t="s">
        <v>3</v>
      </c>
      <c r="BP36">
        <v>0</v>
      </c>
      <c r="BQ36">
        <v>8</v>
      </c>
      <c r="BR36">
        <v>0</v>
      </c>
      <c r="BS36">
        <v>1</v>
      </c>
      <c r="BT36">
        <v>1</v>
      </c>
      <c r="BU36">
        <v>1</v>
      </c>
      <c r="BV36">
        <v>1</v>
      </c>
      <c r="BW36">
        <v>1</v>
      </c>
      <c r="BX36">
        <v>1</v>
      </c>
      <c r="BY36" t="s">
        <v>3</v>
      </c>
      <c r="BZ36">
        <v>0</v>
      </c>
      <c r="CA36">
        <v>0</v>
      </c>
      <c r="CE36">
        <v>0</v>
      </c>
      <c r="CF36">
        <v>0</v>
      </c>
      <c r="CG36">
        <v>0</v>
      </c>
      <c r="CM36">
        <v>0</v>
      </c>
      <c r="CN36" t="s">
        <v>3</v>
      </c>
      <c r="CO36">
        <v>0</v>
      </c>
      <c r="CP36">
        <f t="shared" si="34"/>
        <v>153.5</v>
      </c>
      <c r="CQ36">
        <f t="shared" si="35"/>
        <v>153.5</v>
      </c>
      <c r="CR36">
        <f t="shared" si="36"/>
        <v>0</v>
      </c>
      <c r="CS36">
        <f t="shared" si="37"/>
        <v>0</v>
      </c>
      <c r="CT36">
        <f t="shared" si="38"/>
        <v>0</v>
      </c>
      <c r="CU36">
        <f t="shared" si="39"/>
        <v>0</v>
      </c>
      <c r="CV36">
        <f t="shared" si="40"/>
        <v>0</v>
      </c>
      <c r="CW36">
        <f t="shared" si="41"/>
        <v>0</v>
      </c>
      <c r="CX36">
        <f t="shared" si="42"/>
        <v>0</v>
      </c>
      <c r="CY36">
        <f t="shared" si="43"/>
        <v>0</v>
      </c>
      <c r="CZ36">
        <f t="shared" si="44"/>
        <v>0</v>
      </c>
      <c r="DC36" t="s">
        <v>3</v>
      </c>
      <c r="DD36" t="s">
        <v>3</v>
      </c>
      <c r="DE36" t="s">
        <v>3</v>
      </c>
      <c r="DF36" t="s">
        <v>3</v>
      </c>
      <c r="DG36" t="s">
        <v>3</v>
      </c>
      <c r="DH36" t="s">
        <v>3</v>
      </c>
      <c r="DI36" t="s">
        <v>3</v>
      </c>
      <c r="DJ36" t="s">
        <v>3</v>
      </c>
      <c r="DK36" t="s">
        <v>3</v>
      </c>
      <c r="DL36" t="s">
        <v>3</v>
      </c>
      <c r="DM36" t="s">
        <v>3</v>
      </c>
      <c r="DN36">
        <v>0</v>
      </c>
      <c r="DO36">
        <v>0</v>
      </c>
      <c r="DP36">
        <v>1</v>
      </c>
      <c r="DQ36">
        <v>1</v>
      </c>
      <c r="DU36">
        <v>1013</v>
      </c>
      <c r="DV36" t="s">
        <v>80</v>
      </c>
      <c r="DW36" t="s">
        <v>80</v>
      </c>
      <c r="DX36">
        <v>1</v>
      </c>
      <c r="DZ36" t="s">
        <v>3</v>
      </c>
      <c r="EA36" t="s">
        <v>3</v>
      </c>
      <c r="EB36" t="s">
        <v>3</v>
      </c>
      <c r="EC36" t="s">
        <v>3</v>
      </c>
      <c r="EE36">
        <v>35526259</v>
      </c>
      <c r="EF36">
        <v>8</v>
      </c>
      <c r="EG36" t="s">
        <v>68</v>
      </c>
      <c r="EH36">
        <v>0</v>
      </c>
      <c r="EI36" t="s">
        <v>3</v>
      </c>
      <c r="EJ36">
        <v>1</v>
      </c>
      <c r="EK36">
        <v>1100</v>
      </c>
      <c r="EL36" t="s">
        <v>69</v>
      </c>
      <c r="EM36" t="s">
        <v>70</v>
      </c>
      <c r="EO36" t="s">
        <v>3</v>
      </c>
      <c r="EQ36">
        <v>0</v>
      </c>
      <c r="ER36">
        <v>153.5</v>
      </c>
      <c r="ES36">
        <v>153.5</v>
      </c>
      <c r="ET36">
        <v>0</v>
      </c>
      <c r="EU36">
        <v>0</v>
      </c>
      <c r="EV36">
        <v>0</v>
      </c>
      <c r="EW36">
        <v>0</v>
      </c>
      <c r="EX36">
        <v>0</v>
      </c>
      <c r="EY36">
        <v>0</v>
      </c>
      <c r="FQ36">
        <v>0</v>
      </c>
      <c r="FR36">
        <f t="shared" si="45"/>
        <v>0</v>
      </c>
      <c r="FS36">
        <v>0</v>
      </c>
      <c r="FX36">
        <v>0</v>
      </c>
      <c r="FY36">
        <v>0</v>
      </c>
      <c r="GA36" t="s">
        <v>24</v>
      </c>
      <c r="GD36">
        <v>1</v>
      </c>
      <c r="GF36">
        <v>405337802</v>
      </c>
      <c r="GG36">
        <v>2</v>
      </c>
      <c r="GH36">
        <v>0</v>
      </c>
      <c r="GI36">
        <v>-2</v>
      </c>
      <c r="GJ36">
        <v>0</v>
      </c>
      <c r="GK36">
        <v>0</v>
      </c>
      <c r="GL36">
        <f t="shared" si="46"/>
        <v>0</v>
      </c>
      <c r="GM36">
        <f t="shared" si="47"/>
        <v>153.5</v>
      </c>
      <c r="GN36">
        <f t="shared" si="48"/>
        <v>153.5</v>
      </c>
      <c r="GO36">
        <f t="shared" si="49"/>
        <v>0</v>
      </c>
      <c r="GP36">
        <f t="shared" si="50"/>
        <v>0</v>
      </c>
      <c r="GR36">
        <v>0</v>
      </c>
      <c r="GS36">
        <v>4</v>
      </c>
      <c r="GT36">
        <v>0</v>
      </c>
      <c r="GU36" t="s">
        <v>3</v>
      </c>
      <c r="GV36">
        <f t="shared" si="51"/>
        <v>0</v>
      </c>
      <c r="GW36">
        <v>1</v>
      </c>
      <c r="GX36">
        <f t="shared" si="52"/>
        <v>0</v>
      </c>
      <c r="HA36">
        <v>0</v>
      </c>
      <c r="HB36">
        <v>0</v>
      </c>
      <c r="HC36">
        <f t="shared" si="53"/>
        <v>0</v>
      </c>
      <c r="HE36" t="s">
        <v>3</v>
      </c>
      <c r="HF36" t="s">
        <v>3</v>
      </c>
      <c r="IK36">
        <v>0</v>
      </c>
    </row>
    <row r="37" spans="1:245">
      <c r="A37">
        <v>17</v>
      </c>
      <c r="B37">
        <v>1</v>
      </c>
      <c r="E37" t="s">
        <v>81</v>
      </c>
      <c r="F37" t="s">
        <v>82</v>
      </c>
      <c r="G37" t="s">
        <v>83</v>
      </c>
      <c r="H37" t="s">
        <v>32</v>
      </c>
      <c r="I37">
        <v>1</v>
      </c>
      <c r="J37">
        <v>0</v>
      </c>
      <c r="O37">
        <f t="shared" si="14"/>
        <v>345.45</v>
      </c>
      <c r="P37">
        <f t="shared" si="15"/>
        <v>345.45</v>
      </c>
      <c r="Q37">
        <f t="shared" si="16"/>
        <v>0</v>
      </c>
      <c r="R37">
        <f t="shared" si="17"/>
        <v>0</v>
      </c>
      <c r="S37">
        <f t="shared" si="18"/>
        <v>0</v>
      </c>
      <c r="T37">
        <f t="shared" si="19"/>
        <v>0</v>
      </c>
      <c r="U37">
        <f t="shared" si="20"/>
        <v>0</v>
      </c>
      <c r="V37">
        <f t="shared" si="21"/>
        <v>0</v>
      </c>
      <c r="W37">
        <f t="shared" si="22"/>
        <v>1.25</v>
      </c>
      <c r="X37">
        <f t="shared" si="23"/>
        <v>0</v>
      </c>
      <c r="Y37">
        <f t="shared" si="24"/>
        <v>0</v>
      </c>
      <c r="AA37">
        <v>34944170</v>
      </c>
      <c r="AB37">
        <f t="shared" si="25"/>
        <v>65.180000000000007</v>
      </c>
      <c r="AC37">
        <f t="shared" si="26"/>
        <v>65.180000000000007</v>
      </c>
      <c r="AD37">
        <f t="shared" si="27"/>
        <v>0</v>
      </c>
      <c r="AE37">
        <f t="shared" si="28"/>
        <v>0</v>
      </c>
      <c r="AF37">
        <f t="shared" si="29"/>
        <v>0</v>
      </c>
      <c r="AG37">
        <f t="shared" si="30"/>
        <v>0</v>
      </c>
      <c r="AH37">
        <f t="shared" si="31"/>
        <v>0</v>
      </c>
      <c r="AI37">
        <f t="shared" si="32"/>
        <v>0</v>
      </c>
      <c r="AJ37">
        <f t="shared" si="33"/>
        <v>1.25</v>
      </c>
      <c r="AK37">
        <v>65.180000000000007</v>
      </c>
      <c r="AL37">
        <v>65.180000000000007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1.25</v>
      </c>
      <c r="AT37">
        <v>0</v>
      </c>
      <c r="AU37">
        <v>0</v>
      </c>
      <c r="AV37">
        <v>1</v>
      </c>
      <c r="AW37">
        <v>1</v>
      </c>
      <c r="AZ37">
        <v>1</v>
      </c>
      <c r="BA37">
        <v>1</v>
      </c>
      <c r="BB37">
        <v>1</v>
      </c>
      <c r="BC37">
        <v>5.3</v>
      </c>
      <c r="BD37" t="s">
        <v>3</v>
      </c>
      <c r="BE37" t="s">
        <v>3</v>
      </c>
      <c r="BF37" t="s">
        <v>3</v>
      </c>
      <c r="BG37" t="s">
        <v>3</v>
      </c>
      <c r="BH37">
        <v>3</v>
      </c>
      <c r="BI37">
        <v>2</v>
      </c>
      <c r="BJ37" t="s">
        <v>84</v>
      </c>
      <c r="BM37">
        <v>500002</v>
      </c>
      <c r="BN37">
        <v>0</v>
      </c>
      <c r="BO37" t="s">
        <v>82</v>
      </c>
      <c r="BP37">
        <v>1</v>
      </c>
      <c r="BQ37">
        <v>12</v>
      </c>
      <c r="BR37">
        <v>0</v>
      </c>
      <c r="BS37">
        <v>1</v>
      </c>
      <c r="BT37">
        <v>1</v>
      </c>
      <c r="BU37">
        <v>1</v>
      </c>
      <c r="BV37">
        <v>1</v>
      </c>
      <c r="BW37">
        <v>1</v>
      </c>
      <c r="BX37">
        <v>1</v>
      </c>
      <c r="BY37" t="s">
        <v>3</v>
      </c>
      <c r="BZ37">
        <v>0</v>
      </c>
      <c r="CA37">
        <v>0</v>
      </c>
      <c r="CE37">
        <v>0</v>
      </c>
      <c r="CF37">
        <v>0</v>
      </c>
      <c r="CG37">
        <v>0</v>
      </c>
      <c r="CM37">
        <v>0</v>
      </c>
      <c r="CN37" t="s">
        <v>3</v>
      </c>
      <c r="CO37">
        <v>0</v>
      </c>
      <c r="CP37">
        <f t="shared" si="34"/>
        <v>345.45</v>
      </c>
      <c r="CQ37">
        <f t="shared" si="35"/>
        <v>345.45400000000001</v>
      </c>
      <c r="CR37">
        <f t="shared" si="36"/>
        <v>0</v>
      </c>
      <c r="CS37">
        <f t="shared" si="37"/>
        <v>0</v>
      </c>
      <c r="CT37">
        <f t="shared" si="38"/>
        <v>0</v>
      </c>
      <c r="CU37">
        <f t="shared" si="39"/>
        <v>0</v>
      </c>
      <c r="CV37">
        <f t="shared" si="40"/>
        <v>0</v>
      </c>
      <c r="CW37">
        <f t="shared" si="41"/>
        <v>0</v>
      </c>
      <c r="CX37">
        <f t="shared" si="42"/>
        <v>1.25</v>
      </c>
      <c r="CY37">
        <f t="shared" si="43"/>
        <v>0</v>
      </c>
      <c r="CZ37">
        <f t="shared" si="44"/>
        <v>0</v>
      </c>
      <c r="DC37" t="s">
        <v>3</v>
      </c>
      <c r="DD37" t="s">
        <v>3</v>
      </c>
      <c r="DE37" t="s">
        <v>3</v>
      </c>
      <c r="DF37" t="s">
        <v>3</v>
      </c>
      <c r="DG37" t="s">
        <v>3</v>
      </c>
      <c r="DH37" t="s">
        <v>3</v>
      </c>
      <c r="DI37" t="s">
        <v>3</v>
      </c>
      <c r="DJ37" t="s">
        <v>3</v>
      </c>
      <c r="DK37" t="s">
        <v>3</v>
      </c>
      <c r="DL37" t="s">
        <v>3</v>
      </c>
      <c r="DM37" t="s">
        <v>3</v>
      </c>
      <c r="DN37">
        <v>0</v>
      </c>
      <c r="DO37">
        <v>0</v>
      </c>
      <c r="DP37">
        <v>1</v>
      </c>
      <c r="DQ37">
        <v>1</v>
      </c>
      <c r="DU37">
        <v>1010</v>
      </c>
      <c r="DV37" t="s">
        <v>32</v>
      </c>
      <c r="DW37" t="s">
        <v>32</v>
      </c>
      <c r="DX37">
        <v>1</v>
      </c>
      <c r="DZ37" t="s">
        <v>3</v>
      </c>
      <c r="EA37" t="s">
        <v>3</v>
      </c>
      <c r="EB37" t="s">
        <v>3</v>
      </c>
      <c r="EC37" t="s">
        <v>3</v>
      </c>
      <c r="EE37">
        <v>35526013</v>
      </c>
      <c r="EF37">
        <v>12</v>
      </c>
      <c r="EG37" t="s">
        <v>34</v>
      </c>
      <c r="EH37">
        <v>0</v>
      </c>
      <c r="EI37" t="s">
        <v>3</v>
      </c>
      <c r="EJ37">
        <v>2</v>
      </c>
      <c r="EK37">
        <v>500002</v>
      </c>
      <c r="EL37" t="s">
        <v>35</v>
      </c>
      <c r="EM37" t="s">
        <v>36</v>
      </c>
      <c r="EO37" t="s">
        <v>3</v>
      </c>
      <c r="EQ37">
        <v>0</v>
      </c>
      <c r="ER37">
        <v>65.180000000000007</v>
      </c>
      <c r="ES37">
        <v>65.180000000000007</v>
      </c>
      <c r="ET37">
        <v>0</v>
      </c>
      <c r="EU37">
        <v>0</v>
      </c>
      <c r="EV37">
        <v>0</v>
      </c>
      <c r="EW37">
        <v>0</v>
      </c>
      <c r="EX37">
        <v>0</v>
      </c>
      <c r="EY37">
        <v>0</v>
      </c>
      <c r="FQ37">
        <v>0</v>
      </c>
      <c r="FR37">
        <f t="shared" si="45"/>
        <v>0</v>
      </c>
      <c r="FS37">
        <v>0</v>
      </c>
      <c r="FX37">
        <v>0</v>
      </c>
      <c r="FY37">
        <v>0</v>
      </c>
      <c r="GA37" t="s">
        <v>3</v>
      </c>
      <c r="GD37">
        <v>1</v>
      </c>
      <c r="GF37">
        <v>-2074389945</v>
      </c>
      <c r="GG37">
        <v>2</v>
      </c>
      <c r="GH37">
        <v>1</v>
      </c>
      <c r="GI37">
        <v>2</v>
      </c>
      <c r="GJ37">
        <v>0</v>
      </c>
      <c r="GK37">
        <v>0</v>
      </c>
      <c r="GL37">
        <f t="shared" si="46"/>
        <v>0</v>
      </c>
      <c r="GM37">
        <f t="shared" si="47"/>
        <v>345.45</v>
      </c>
      <c r="GN37">
        <f t="shared" si="48"/>
        <v>0</v>
      </c>
      <c r="GO37">
        <f t="shared" si="49"/>
        <v>345.45</v>
      </c>
      <c r="GP37">
        <f t="shared" si="50"/>
        <v>0</v>
      </c>
      <c r="GR37">
        <v>0</v>
      </c>
      <c r="GS37">
        <v>3</v>
      </c>
      <c r="GT37">
        <v>0</v>
      </c>
      <c r="GU37" t="s">
        <v>3</v>
      </c>
      <c r="GV37">
        <f t="shared" si="51"/>
        <v>0</v>
      </c>
      <c r="GW37">
        <v>1</v>
      </c>
      <c r="GX37">
        <f t="shared" si="52"/>
        <v>0</v>
      </c>
      <c r="HA37">
        <v>0</v>
      </c>
      <c r="HB37">
        <v>0</v>
      </c>
      <c r="HC37">
        <f t="shared" si="53"/>
        <v>0</v>
      </c>
      <c r="HE37" t="s">
        <v>3</v>
      </c>
      <c r="HF37" t="s">
        <v>3</v>
      </c>
      <c r="IK37">
        <v>0</v>
      </c>
    </row>
    <row r="39" spans="1:245">
      <c r="A39" s="2">
        <v>51</v>
      </c>
      <c r="B39" s="2">
        <f>B20</f>
        <v>1</v>
      </c>
      <c r="C39" s="2">
        <f>A20</f>
        <v>3</v>
      </c>
      <c r="D39" s="2">
        <f>ROW(A20)</f>
        <v>20</v>
      </c>
      <c r="E39" s="2"/>
      <c r="F39" s="2" t="str">
        <f>IF(F20&lt;&gt;"",F20,"")</f>
        <v>Новая локальная смета</v>
      </c>
      <c r="G39" s="2" t="str">
        <f>IF(G20&lt;&gt;"",G20,"")</f>
        <v>Новая локальная смета</v>
      </c>
      <c r="H39" s="2">
        <v>0</v>
      </c>
      <c r="I39" s="2"/>
      <c r="J39" s="2"/>
      <c r="K39" s="2"/>
      <c r="L39" s="2"/>
      <c r="M39" s="2"/>
      <c r="N39" s="2"/>
      <c r="O39" s="2">
        <f t="shared" ref="O39:T39" si="54">ROUND(AB39,2)</f>
        <v>36235.67</v>
      </c>
      <c r="P39" s="2">
        <f t="shared" si="54"/>
        <v>24252.03</v>
      </c>
      <c r="Q39" s="2">
        <f t="shared" si="54"/>
        <v>303.22000000000003</v>
      </c>
      <c r="R39" s="2">
        <f t="shared" si="54"/>
        <v>8.89</v>
      </c>
      <c r="S39" s="2">
        <f t="shared" si="54"/>
        <v>11680.42</v>
      </c>
      <c r="T39" s="2">
        <f t="shared" si="54"/>
        <v>0</v>
      </c>
      <c r="U39" s="2">
        <f>AH39</f>
        <v>40.202400000000004</v>
      </c>
      <c r="V39" s="2">
        <f>AI39</f>
        <v>2.1000000000000001E-2</v>
      </c>
      <c r="W39" s="2">
        <f>ROUND(AJ39,2)</f>
        <v>8.7200000000000006</v>
      </c>
      <c r="X39" s="2">
        <f>ROUND(AK39,2)</f>
        <v>10131.4</v>
      </c>
      <c r="Y39" s="2">
        <f>ROUND(AL39,2)</f>
        <v>7273.57</v>
      </c>
      <c r="Z39" s="2"/>
      <c r="AA39" s="2"/>
      <c r="AB39" s="2">
        <f>ROUND(SUMIF(AA24:AA37,"=34944170",O24:O37),2)</f>
        <v>36235.67</v>
      </c>
      <c r="AC39" s="2">
        <f>ROUND(SUMIF(AA24:AA37,"=34944170",P24:P37),2)</f>
        <v>24252.03</v>
      </c>
      <c r="AD39" s="2">
        <f>ROUND(SUMIF(AA24:AA37,"=34944170",Q24:Q37),2)</f>
        <v>303.22000000000003</v>
      </c>
      <c r="AE39" s="2">
        <f>ROUND(SUMIF(AA24:AA37,"=34944170",R24:R37),2)</f>
        <v>8.89</v>
      </c>
      <c r="AF39" s="2">
        <f>ROUND(SUMIF(AA24:AA37,"=34944170",S24:S37),2)</f>
        <v>11680.42</v>
      </c>
      <c r="AG39" s="2">
        <f>ROUND(SUMIF(AA24:AA37,"=34944170",T24:T37),2)</f>
        <v>0</v>
      </c>
      <c r="AH39" s="2">
        <f>SUMIF(AA24:AA37,"=34944170",U24:U37)</f>
        <v>40.202400000000004</v>
      </c>
      <c r="AI39" s="2">
        <f>SUMIF(AA24:AA37,"=34944170",V24:V37)</f>
        <v>2.1000000000000001E-2</v>
      </c>
      <c r="AJ39" s="2">
        <f>ROUND(SUMIF(AA24:AA37,"=34944170",W24:W37),2)</f>
        <v>8.7200000000000006</v>
      </c>
      <c r="AK39" s="2">
        <f>ROUND(SUMIF(AA24:AA37,"=34944170",X24:X37),2)</f>
        <v>10131.4</v>
      </c>
      <c r="AL39" s="2">
        <f>ROUND(SUMIF(AA24:AA37,"=34944170",Y24:Y37),2)</f>
        <v>7273.57</v>
      </c>
      <c r="AM39" s="2"/>
      <c r="AN39" s="2"/>
      <c r="AO39" s="2">
        <f t="shared" ref="AO39:BD39" si="55">ROUND(BX39,2)</f>
        <v>0</v>
      </c>
      <c r="AP39" s="2">
        <f t="shared" si="55"/>
        <v>0</v>
      </c>
      <c r="AQ39" s="2">
        <f t="shared" si="55"/>
        <v>0</v>
      </c>
      <c r="AR39" s="2">
        <f t="shared" si="55"/>
        <v>53640.639999999999</v>
      </c>
      <c r="AS39" s="2">
        <f t="shared" si="55"/>
        <v>1446.5</v>
      </c>
      <c r="AT39" s="2">
        <f t="shared" si="55"/>
        <v>52194.14</v>
      </c>
      <c r="AU39" s="2">
        <f t="shared" si="55"/>
        <v>0</v>
      </c>
      <c r="AV39" s="2">
        <f t="shared" si="55"/>
        <v>24252.03</v>
      </c>
      <c r="AW39" s="2">
        <f t="shared" si="55"/>
        <v>24252.03</v>
      </c>
      <c r="AX39" s="2">
        <f t="shared" si="55"/>
        <v>0</v>
      </c>
      <c r="AY39" s="2">
        <f t="shared" si="55"/>
        <v>24252.03</v>
      </c>
      <c r="AZ39" s="2">
        <f t="shared" si="55"/>
        <v>0</v>
      </c>
      <c r="BA39" s="2">
        <f t="shared" si="55"/>
        <v>0</v>
      </c>
      <c r="BB39" s="2">
        <f t="shared" si="55"/>
        <v>0</v>
      </c>
      <c r="BC39" s="2">
        <f t="shared" si="55"/>
        <v>0</v>
      </c>
      <c r="BD39" s="2">
        <f t="shared" si="55"/>
        <v>0</v>
      </c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>
        <f>ROUND(SUMIF(AA24:AA37,"=34944170",FQ24:FQ37),2)</f>
        <v>0</v>
      </c>
      <c r="BY39" s="2">
        <f>ROUND(SUMIF(AA24:AA37,"=34944170",FR24:FR37),2)</f>
        <v>0</v>
      </c>
      <c r="BZ39" s="2">
        <f>ROUND(SUMIF(AA24:AA37,"=34944170",GL24:GL37),2)</f>
        <v>0</v>
      </c>
      <c r="CA39" s="2">
        <f>ROUND(SUMIF(AA24:AA37,"=34944170",GM24:GM37),2)</f>
        <v>53640.639999999999</v>
      </c>
      <c r="CB39" s="2">
        <f>ROUND(SUMIF(AA24:AA37,"=34944170",GN24:GN37),2)</f>
        <v>1446.5</v>
      </c>
      <c r="CC39" s="2">
        <f>ROUND(SUMIF(AA24:AA37,"=34944170",GO24:GO37),2)</f>
        <v>52194.14</v>
      </c>
      <c r="CD39" s="2">
        <f>ROUND(SUMIF(AA24:AA37,"=34944170",GP24:GP37),2)</f>
        <v>0</v>
      </c>
      <c r="CE39" s="2">
        <f>AC39-BX39</f>
        <v>24252.03</v>
      </c>
      <c r="CF39" s="2">
        <f>AC39-BY39</f>
        <v>24252.03</v>
      </c>
      <c r="CG39" s="2">
        <f>BX39-BZ39</f>
        <v>0</v>
      </c>
      <c r="CH39" s="2">
        <f>AC39-BX39-BY39+BZ39</f>
        <v>24252.03</v>
      </c>
      <c r="CI39" s="2">
        <f>BY39-BZ39</f>
        <v>0</v>
      </c>
      <c r="CJ39" s="2">
        <f>ROUND(SUMIF(AA24:AA37,"=34944170",GX24:GX37),2)</f>
        <v>0</v>
      </c>
      <c r="CK39" s="2">
        <f>ROUND(SUMIF(AA24:AA37,"=34944170",GY24:GY37),2)</f>
        <v>0</v>
      </c>
      <c r="CL39" s="2">
        <f>ROUND(SUMIF(AA24:AA37,"=34944170",GZ24:GZ37),2)</f>
        <v>0</v>
      </c>
      <c r="CM39" s="2">
        <f>ROUND(SUMIF(AA24:AA37,"=34944170",HD24:HD37),2)</f>
        <v>0</v>
      </c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>
        <v>0</v>
      </c>
    </row>
    <row r="41" spans="1:245">
      <c r="A41" s="4">
        <v>50</v>
      </c>
      <c r="B41" s="4">
        <v>0</v>
      </c>
      <c r="C41" s="4">
        <v>0</v>
      </c>
      <c r="D41" s="4">
        <v>1</v>
      </c>
      <c r="E41" s="4">
        <v>201</v>
      </c>
      <c r="F41" s="4">
        <f>ROUND(Source!O39,O41)</f>
        <v>36235.67</v>
      </c>
      <c r="G41" s="4" t="s">
        <v>85</v>
      </c>
      <c r="H41" s="4" t="s">
        <v>86</v>
      </c>
      <c r="I41" s="4"/>
      <c r="J41" s="4"/>
      <c r="K41" s="4">
        <v>201</v>
      </c>
      <c r="L41" s="4">
        <v>1</v>
      </c>
      <c r="M41" s="4">
        <v>3</v>
      </c>
      <c r="N41" s="4" t="s">
        <v>3</v>
      </c>
      <c r="O41" s="4">
        <v>2</v>
      </c>
      <c r="P41" s="4"/>
      <c r="Q41" s="4"/>
      <c r="R41" s="4"/>
      <c r="S41" s="4"/>
      <c r="T41" s="4"/>
      <c r="U41" s="4"/>
      <c r="V41" s="4"/>
      <c r="W41" s="4"/>
    </row>
    <row r="42" spans="1:245">
      <c r="A42" s="4">
        <v>50</v>
      </c>
      <c r="B42" s="4">
        <v>0</v>
      </c>
      <c r="C42" s="4">
        <v>0</v>
      </c>
      <c r="D42" s="4">
        <v>1</v>
      </c>
      <c r="E42" s="4">
        <v>202</v>
      </c>
      <c r="F42" s="4">
        <f>ROUND(Source!P39,O42)</f>
        <v>24252.03</v>
      </c>
      <c r="G42" s="4" t="s">
        <v>87</v>
      </c>
      <c r="H42" s="4" t="s">
        <v>88</v>
      </c>
      <c r="I42" s="4"/>
      <c r="J42" s="4"/>
      <c r="K42" s="4">
        <v>202</v>
      </c>
      <c r="L42" s="4">
        <v>2</v>
      </c>
      <c r="M42" s="4">
        <v>3</v>
      </c>
      <c r="N42" s="4" t="s">
        <v>3</v>
      </c>
      <c r="O42" s="4">
        <v>2</v>
      </c>
      <c r="P42" s="4"/>
      <c r="Q42" s="4"/>
      <c r="R42" s="4"/>
      <c r="S42" s="4"/>
      <c r="T42" s="4"/>
      <c r="U42" s="4"/>
      <c r="V42" s="4"/>
      <c r="W42" s="4"/>
    </row>
    <row r="43" spans="1:245">
      <c r="A43" s="4">
        <v>50</v>
      </c>
      <c r="B43" s="4">
        <v>0</v>
      </c>
      <c r="C43" s="4">
        <v>0</v>
      </c>
      <c r="D43" s="4">
        <v>1</v>
      </c>
      <c r="E43" s="4">
        <v>222</v>
      </c>
      <c r="F43" s="4">
        <f>ROUND(Source!AO39,O43)</f>
        <v>0</v>
      </c>
      <c r="G43" s="4" t="s">
        <v>89</v>
      </c>
      <c r="H43" s="4" t="s">
        <v>90</v>
      </c>
      <c r="I43" s="4"/>
      <c r="J43" s="4"/>
      <c r="K43" s="4">
        <v>222</v>
      </c>
      <c r="L43" s="4">
        <v>3</v>
      </c>
      <c r="M43" s="4">
        <v>3</v>
      </c>
      <c r="N43" s="4" t="s">
        <v>3</v>
      </c>
      <c r="O43" s="4">
        <v>2</v>
      </c>
      <c r="P43" s="4"/>
      <c r="Q43" s="4"/>
      <c r="R43" s="4"/>
      <c r="S43" s="4"/>
      <c r="T43" s="4"/>
      <c r="U43" s="4"/>
      <c r="V43" s="4"/>
      <c r="W43" s="4"/>
    </row>
    <row r="44" spans="1:245">
      <c r="A44" s="4">
        <v>50</v>
      </c>
      <c r="B44" s="4">
        <v>0</v>
      </c>
      <c r="C44" s="4">
        <v>0</v>
      </c>
      <c r="D44" s="4">
        <v>1</v>
      </c>
      <c r="E44" s="4">
        <v>225</v>
      </c>
      <c r="F44" s="4">
        <f>ROUND(Source!AV39,O44)</f>
        <v>24252.03</v>
      </c>
      <c r="G44" s="4" t="s">
        <v>91</v>
      </c>
      <c r="H44" s="4" t="s">
        <v>92</v>
      </c>
      <c r="I44" s="4"/>
      <c r="J44" s="4"/>
      <c r="K44" s="4">
        <v>225</v>
      </c>
      <c r="L44" s="4">
        <v>4</v>
      </c>
      <c r="M44" s="4">
        <v>3</v>
      </c>
      <c r="N44" s="4" t="s">
        <v>3</v>
      </c>
      <c r="O44" s="4">
        <v>2</v>
      </c>
      <c r="P44" s="4"/>
      <c r="Q44" s="4"/>
      <c r="R44" s="4"/>
      <c r="S44" s="4"/>
      <c r="T44" s="4"/>
      <c r="U44" s="4"/>
      <c r="V44" s="4"/>
      <c r="W44" s="4"/>
    </row>
    <row r="45" spans="1:245">
      <c r="A45" s="4">
        <v>50</v>
      </c>
      <c r="B45" s="4">
        <v>0</v>
      </c>
      <c r="C45" s="4">
        <v>0</v>
      </c>
      <c r="D45" s="4">
        <v>1</v>
      </c>
      <c r="E45" s="4">
        <v>226</v>
      </c>
      <c r="F45" s="4">
        <f>ROUND(Source!AW39,O45)</f>
        <v>24252.03</v>
      </c>
      <c r="G45" s="4" t="s">
        <v>93</v>
      </c>
      <c r="H45" s="4" t="s">
        <v>94</v>
      </c>
      <c r="I45" s="4"/>
      <c r="J45" s="4"/>
      <c r="K45" s="4">
        <v>226</v>
      </c>
      <c r="L45" s="4">
        <v>5</v>
      </c>
      <c r="M45" s="4">
        <v>3</v>
      </c>
      <c r="N45" s="4" t="s">
        <v>3</v>
      </c>
      <c r="O45" s="4">
        <v>2</v>
      </c>
      <c r="P45" s="4"/>
      <c r="Q45" s="4"/>
      <c r="R45" s="4"/>
      <c r="S45" s="4"/>
      <c r="T45" s="4"/>
      <c r="U45" s="4"/>
      <c r="V45" s="4"/>
      <c r="W45" s="4"/>
    </row>
    <row r="46" spans="1:245">
      <c r="A46" s="4">
        <v>50</v>
      </c>
      <c r="B46" s="4">
        <v>0</v>
      </c>
      <c r="C46" s="4">
        <v>0</v>
      </c>
      <c r="D46" s="4">
        <v>1</v>
      </c>
      <c r="E46" s="4">
        <v>227</v>
      </c>
      <c r="F46" s="4">
        <f>ROUND(Source!AX39,O46)</f>
        <v>0</v>
      </c>
      <c r="G46" s="4" t="s">
        <v>95</v>
      </c>
      <c r="H46" s="4" t="s">
        <v>96</v>
      </c>
      <c r="I46" s="4"/>
      <c r="J46" s="4"/>
      <c r="K46" s="4">
        <v>227</v>
      </c>
      <c r="L46" s="4">
        <v>6</v>
      </c>
      <c r="M46" s="4">
        <v>3</v>
      </c>
      <c r="N46" s="4" t="s">
        <v>3</v>
      </c>
      <c r="O46" s="4">
        <v>2</v>
      </c>
      <c r="P46" s="4"/>
      <c r="Q46" s="4"/>
      <c r="R46" s="4"/>
      <c r="S46" s="4"/>
      <c r="T46" s="4"/>
      <c r="U46" s="4"/>
      <c r="V46" s="4"/>
      <c r="W46" s="4"/>
    </row>
    <row r="47" spans="1:245">
      <c r="A47" s="4">
        <v>50</v>
      </c>
      <c r="B47" s="4">
        <v>0</v>
      </c>
      <c r="C47" s="4">
        <v>0</v>
      </c>
      <c r="D47" s="4">
        <v>1</v>
      </c>
      <c r="E47" s="4">
        <v>228</v>
      </c>
      <c r="F47" s="4">
        <f>ROUND(Source!AY39,O47)</f>
        <v>24252.03</v>
      </c>
      <c r="G47" s="4" t="s">
        <v>97</v>
      </c>
      <c r="H47" s="4" t="s">
        <v>98</v>
      </c>
      <c r="I47" s="4"/>
      <c r="J47" s="4"/>
      <c r="K47" s="4">
        <v>228</v>
      </c>
      <c r="L47" s="4">
        <v>7</v>
      </c>
      <c r="M47" s="4">
        <v>3</v>
      </c>
      <c r="N47" s="4" t="s">
        <v>3</v>
      </c>
      <c r="O47" s="4">
        <v>2</v>
      </c>
      <c r="P47" s="4"/>
      <c r="Q47" s="4"/>
      <c r="R47" s="4"/>
      <c r="S47" s="4"/>
      <c r="T47" s="4"/>
      <c r="U47" s="4"/>
      <c r="V47" s="4"/>
      <c r="W47" s="4"/>
    </row>
    <row r="48" spans="1:245">
      <c r="A48" s="4">
        <v>50</v>
      </c>
      <c r="B48" s="4">
        <v>0</v>
      </c>
      <c r="C48" s="4">
        <v>0</v>
      </c>
      <c r="D48" s="4">
        <v>1</v>
      </c>
      <c r="E48" s="4">
        <v>216</v>
      </c>
      <c r="F48" s="4">
        <f>ROUND(Source!AP39,O48)</f>
        <v>0</v>
      </c>
      <c r="G48" s="4" t="s">
        <v>99</v>
      </c>
      <c r="H48" s="4" t="s">
        <v>100</v>
      </c>
      <c r="I48" s="4"/>
      <c r="J48" s="4"/>
      <c r="K48" s="4">
        <v>216</v>
      </c>
      <c r="L48" s="4">
        <v>8</v>
      </c>
      <c r="M48" s="4">
        <v>3</v>
      </c>
      <c r="N48" s="4" t="s">
        <v>3</v>
      </c>
      <c r="O48" s="4">
        <v>2</v>
      </c>
      <c r="P48" s="4"/>
      <c r="Q48" s="4"/>
      <c r="R48" s="4"/>
      <c r="S48" s="4"/>
      <c r="T48" s="4"/>
      <c r="U48" s="4"/>
      <c r="V48" s="4"/>
      <c r="W48" s="4"/>
    </row>
    <row r="49" spans="1:23">
      <c r="A49" s="4">
        <v>50</v>
      </c>
      <c r="B49" s="4">
        <v>0</v>
      </c>
      <c r="C49" s="4">
        <v>0</v>
      </c>
      <c r="D49" s="4">
        <v>1</v>
      </c>
      <c r="E49" s="4">
        <v>223</v>
      </c>
      <c r="F49" s="4">
        <f>ROUND(Source!AQ39,O49)</f>
        <v>0</v>
      </c>
      <c r="G49" s="4" t="s">
        <v>101</v>
      </c>
      <c r="H49" s="4" t="s">
        <v>102</v>
      </c>
      <c r="I49" s="4"/>
      <c r="J49" s="4"/>
      <c r="K49" s="4">
        <v>223</v>
      </c>
      <c r="L49" s="4">
        <v>9</v>
      </c>
      <c r="M49" s="4">
        <v>3</v>
      </c>
      <c r="N49" s="4" t="s">
        <v>3</v>
      </c>
      <c r="O49" s="4">
        <v>2</v>
      </c>
      <c r="P49" s="4"/>
      <c r="Q49" s="4"/>
      <c r="R49" s="4"/>
      <c r="S49" s="4"/>
      <c r="T49" s="4"/>
      <c r="U49" s="4"/>
      <c r="V49" s="4"/>
      <c r="W49" s="4"/>
    </row>
    <row r="50" spans="1:23">
      <c r="A50" s="4">
        <v>50</v>
      </c>
      <c r="B50" s="4">
        <v>0</v>
      </c>
      <c r="C50" s="4">
        <v>0</v>
      </c>
      <c r="D50" s="4">
        <v>1</v>
      </c>
      <c r="E50" s="4">
        <v>229</v>
      </c>
      <c r="F50" s="4">
        <f>ROUND(Source!AZ39,O50)</f>
        <v>0</v>
      </c>
      <c r="G50" s="4" t="s">
        <v>103</v>
      </c>
      <c r="H50" s="4" t="s">
        <v>104</v>
      </c>
      <c r="I50" s="4"/>
      <c r="J50" s="4"/>
      <c r="K50" s="4">
        <v>229</v>
      </c>
      <c r="L50" s="4">
        <v>10</v>
      </c>
      <c r="M50" s="4">
        <v>3</v>
      </c>
      <c r="N50" s="4" t="s">
        <v>3</v>
      </c>
      <c r="O50" s="4">
        <v>2</v>
      </c>
      <c r="P50" s="4"/>
      <c r="Q50" s="4"/>
      <c r="R50" s="4"/>
      <c r="S50" s="4"/>
      <c r="T50" s="4"/>
      <c r="U50" s="4"/>
      <c r="V50" s="4"/>
      <c r="W50" s="4"/>
    </row>
    <row r="51" spans="1:23">
      <c r="A51" s="4">
        <v>50</v>
      </c>
      <c r="B51" s="4">
        <v>0</v>
      </c>
      <c r="C51" s="4">
        <v>0</v>
      </c>
      <c r="D51" s="4">
        <v>1</v>
      </c>
      <c r="E51" s="4">
        <v>203</v>
      </c>
      <c r="F51" s="4">
        <f>ROUND(Source!Q39,O51)</f>
        <v>303.22000000000003</v>
      </c>
      <c r="G51" s="4" t="s">
        <v>105</v>
      </c>
      <c r="H51" s="4" t="s">
        <v>106</v>
      </c>
      <c r="I51" s="4"/>
      <c r="J51" s="4"/>
      <c r="K51" s="4">
        <v>203</v>
      </c>
      <c r="L51" s="4">
        <v>11</v>
      </c>
      <c r="M51" s="4">
        <v>3</v>
      </c>
      <c r="N51" s="4" t="s">
        <v>3</v>
      </c>
      <c r="O51" s="4">
        <v>2</v>
      </c>
      <c r="P51" s="4"/>
      <c r="Q51" s="4"/>
      <c r="R51" s="4"/>
      <c r="S51" s="4"/>
      <c r="T51" s="4"/>
      <c r="U51" s="4"/>
      <c r="V51" s="4"/>
      <c r="W51" s="4"/>
    </row>
    <row r="52" spans="1:23">
      <c r="A52" s="4">
        <v>50</v>
      </c>
      <c r="B52" s="4">
        <v>0</v>
      </c>
      <c r="C52" s="4">
        <v>0</v>
      </c>
      <c r="D52" s="4">
        <v>1</v>
      </c>
      <c r="E52" s="4">
        <v>231</v>
      </c>
      <c r="F52" s="4">
        <f>ROUND(Source!BB39,O52)</f>
        <v>0</v>
      </c>
      <c r="G52" s="4" t="s">
        <v>107</v>
      </c>
      <c r="H52" s="4" t="s">
        <v>108</v>
      </c>
      <c r="I52" s="4"/>
      <c r="J52" s="4"/>
      <c r="K52" s="4">
        <v>231</v>
      </c>
      <c r="L52" s="4">
        <v>12</v>
      </c>
      <c r="M52" s="4">
        <v>3</v>
      </c>
      <c r="N52" s="4" t="s">
        <v>3</v>
      </c>
      <c r="O52" s="4">
        <v>2</v>
      </c>
      <c r="P52" s="4"/>
      <c r="Q52" s="4"/>
      <c r="R52" s="4"/>
      <c r="S52" s="4"/>
      <c r="T52" s="4"/>
      <c r="U52" s="4"/>
      <c r="V52" s="4"/>
      <c r="W52" s="4"/>
    </row>
    <row r="53" spans="1:23">
      <c r="A53" s="4">
        <v>50</v>
      </c>
      <c r="B53" s="4">
        <v>0</v>
      </c>
      <c r="C53" s="4">
        <v>0</v>
      </c>
      <c r="D53" s="4">
        <v>1</v>
      </c>
      <c r="E53" s="4">
        <v>204</v>
      </c>
      <c r="F53" s="4">
        <f>ROUND(Source!R39,O53)</f>
        <v>8.89</v>
      </c>
      <c r="G53" s="4" t="s">
        <v>109</v>
      </c>
      <c r="H53" s="4" t="s">
        <v>110</v>
      </c>
      <c r="I53" s="4"/>
      <c r="J53" s="4"/>
      <c r="K53" s="4">
        <v>204</v>
      </c>
      <c r="L53" s="4">
        <v>13</v>
      </c>
      <c r="M53" s="4">
        <v>3</v>
      </c>
      <c r="N53" s="4" t="s">
        <v>3</v>
      </c>
      <c r="O53" s="4">
        <v>2</v>
      </c>
      <c r="P53" s="4"/>
      <c r="Q53" s="4"/>
      <c r="R53" s="4"/>
      <c r="S53" s="4"/>
      <c r="T53" s="4"/>
      <c r="U53" s="4"/>
      <c r="V53" s="4"/>
      <c r="W53" s="4"/>
    </row>
    <row r="54" spans="1:23">
      <c r="A54" s="4">
        <v>50</v>
      </c>
      <c r="B54" s="4">
        <v>0</v>
      </c>
      <c r="C54" s="4">
        <v>0</v>
      </c>
      <c r="D54" s="4">
        <v>1</v>
      </c>
      <c r="E54" s="4">
        <v>205</v>
      </c>
      <c r="F54" s="4">
        <f>ROUND(Source!S39,O54)</f>
        <v>11680.42</v>
      </c>
      <c r="G54" s="4" t="s">
        <v>111</v>
      </c>
      <c r="H54" s="4" t="s">
        <v>112</v>
      </c>
      <c r="I54" s="4"/>
      <c r="J54" s="4"/>
      <c r="K54" s="4">
        <v>205</v>
      </c>
      <c r="L54" s="4">
        <v>14</v>
      </c>
      <c r="M54" s="4">
        <v>3</v>
      </c>
      <c r="N54" s="4" t="s">
        <v>3</v>
      </c>
      <c r="O54" s="4">
        <v>2</v>
      </c>
      <c r="P54" s="4"/>
      <c r="Q54" s="4"/>
      <c r="R54" s="4"/>
      <c r="S54" s="4"/>
      <c r="T54" s="4"/>
      <c r="U54" s="4"/>
      <c r="V54" s="4"/>
      <c r="W54" s="4"/>
    </row>
    <row r="55" spans="1:23">
      <c r="A55" s="4">
        <v>50</v>
      </c>
      <c r="B55" s="4">
        <v>0</v>
      </c>
      <c r="C55" s="4">
        <v>0</v>
      </c>
      <c r="D55" s="4">
        <v>1</v>
      </c>
      <c r="E55" s="4">
        <v>232</v>
      </c>
      <c r="F55" s="4">
        <f>ROUND(Source!BC39,O55)</f>
        <v>0</v>
      </c>
      <c r="G55" s="4" t="s">
        <v>113</v>
      </c>
      <c r="H55" s="4" t="s">
        <v>114</v>
      </c>
      <c r="I55" s="4"/>
      <c r="J55" s="4"/>
      <c r="K55" s="4">
        <v>232</v>
      </c>
      <c r="L55" s="4">
        <v>15</v>
      </c>
      <c r="M55" s="4">
        <v>3</v>
      </c>
      <c r="N55" s="4" t="s">
        <v>3</v>
      </c>
      <c r="O55" s="4">
        <v>2</v>
      </c>
      <c r="P55" s="4"/>
      <c r="Q55" s="4"/>
      <c r="R55" s="4"/>
      <c r="S55" s="4"/>
      <c r="T55" s="4"/>
      <c r="U55" s="4"/>
      <c r="V55" s="4"/>
      <c r="W55" s="4"/>
    </row>
    <row r="56" spans="1:23">
      <c r="A56" s="4">
        <v>50</v>
      </c>
      <c r="B56" s="4">
        <v>0</v>
      </c>
      <c r="C56" s="4">
        <v>0</v>
      </c>
      <c r="D56" s="4">
        <v>1</v>
      </c>
      <c r="E56" s="4">
        <v>214</v>
      </c>
      <c r="F56" s="4">
        <f>ROUND(Source!AS39,O56)</f>
        <v>1446.5</v>
      </c>
      <c r="G56" s="4" t="s">
        <v>115</v>
      </c>
      <c r="H56" s="4" t="s">
        <v>116</v>
      </c>
      <c r="I56" s="4"/>
      <c r="J56" s="4"/>
      <c r="K56" s="4">
        <v>214</v>
      </c>
      <c r="L56" s="4">
        <v>16</v>
      </c>
      <c r="M56" s="4">
        <v>3</v>
      </c>
      <c r="N56" s="4" t="s">
        <v>3</v>
      </c>
      <c r="O56" s="4">
        <v>2</v>
      </c>
      <c r="P56" s="4"/>
      <c r="Q56" s="4"/>
      <c r="R56" s="4"/>
      <c r="S56" s="4"/>
      <c r="T56" s="4"/>
      <c r="U56" s="4"/>
      <c r="V56" s="4"/>
      <c r="W56" s="4"/>
    </row>
    <row r="57" spans="1:23">
      <c r="A57" s="4">
        <v>50</v>
      </c>
      <c r="B57" s="4">
        <v>0</v>
      </c>
      <c r="C57" s="4">
        <v>0</v>
      </c>
      <c r="D57" s="4">
        <v>1</v>
      </c>
      <c r="E57" s="4">
        <v>215</v>
      </c>
      <c r="F57" s="4">
        <f>ROUND(Source!AT39,O57)</f>
        <v>52194.14</v>
      </c>
      <c r="G57" s="4" t="s">
        <v>117</v>
      </c>
      <c r="H57" s="4" t="s">
        <v>118</v>
      </c>
      <c r="I57" s="4"/>
      <c r="J57" s="4"/>
      <c r="K57" s="4">
        <v>215</v>
      </c>
      <c r="L57" s="4">
        <v>17</v>
      </c>
      <c r="M57" s="4">
        <v>3</v>
      </c>
      <c r="N57" s="4" t="s">
        <v>3</v>
      </c>
      <c r="O57" s="4">
        <v>2</v>
      </c>
      <c r="P57" s="4"/>
      <c r="Q57" s="4"/>
      <c r="R57" s="4"/>
      <c r="S57" s="4"/>
      <c r="T57" s="4"/>
      <c r="U57" s="4"/>
      <c r="V57" s="4"/>
      <c r="W57" s="4"/>
    </row>
    <row r="58" spans="1:23">
      <c r="A58" s="4">
        <v>50</v>
      </c>
      <c r="B58" s="4">
        <v>0</v>
      </c>
      <c r="C58" s="4">
        <v>0</v>
      </c>
      <c r="D58" s="4">
        <v>1</v>
      </c>
      <c r="E58" s="4">
        <v>217</v>
      </c>
      <c r="F58" s="4">
        <f>ROUND(Source!AU39,O58)</f>
        <v>0</v>
      </c>
      <c r="G58" s="4" t="s">
        <v>119</v>
      </c>
      <c r="H58" s="4" t="s">
        <v>120</v>
      </c>
      <c r="I58" s="4"/>
      <c r="J58" s="4"/>
      <c r="K58" s="4">
        <v>217</v>
      </c>
      <c r="L58" s="4">
        <v>18</v>
      </c>
      <c r="M58" s="4">
        <v>3</v>
      </c>
      <c r="N58" s="4" t="s">
        <v>3</v>
      </c>
      <c r="O58" s="4">
        <v>2</v>
      </c>
      <c r="P58" s="4"/>
      <c r="Q58" s="4"/>
      <c r="R58" s="4"/>
      <c r="S58" s="4"/>
      <c r="T58" s="4"/>
      <c r="U58" s="4"/>
      <c r="V58" s="4"/>
      <c r="W58" s="4"/>
    </row>
    <row r="59" spans="1:23">
      <c r="A59" s="4">
        <v>50</v>
      </c>
      <c r="B59" s="4">
        <v>0</v>
      </c>
      <c r="C59" s="4">
        <v>0</v>
      </c>
      <c r="D59" s="4">
        <v>1</v>
      </c>
      <c r="E59" s="4">
        <v>230</v>
      </c>
      <c r="F59" s="4">
        <f>ROUND(Source!BA39,O59)</f>
        <v>0</v>
      </c>
      <c r="G59" s="4" t="s">
        <v>121</v>
      </c>
      <c r="H59" s="4" t="s">
        <v>122</v>
      </c>
      <c r="I59" s="4"/>
      <c r="J59" s="4"/>
      <c r="K59" s="4">
        <v>230</v>
      </c>
      <c r="L59" s="4">
        <v>19</v>
      </c>
      <c r="M59" s="4">
        <v>3</v>
      </c>
      <c r="N59" s="4" t="s">
        <v>3</v>
      </c>
      <c r="O59" s="4">
        <v>2</v>
      </c>
      <c r="P59" s="4"/>
      <c r="Q59" s="4"/>
      <c r="R59" s="4"/>
      <c r="S59" s="4"/>
      <c r="T59" s="4"/>
      <c r="U59" s="4"/>
      <c r="V59" s="4"/>
      <c r="W59" s="4"/>
    </row>
    <row r="60" spans="1:23">
      <c r="A60" s="4">
        <v>50</v>
      </c>
      <c r="B60" s="4">
        <v>0</v>
      </c>
      <c r="C60" s="4">
        <v>0</v>
      </c>
      <c r="D60" s="4">
        <v>1</v>
      </c>
      <c r="E60" s="4">
        <v>206</v>
      </c>
      <c r="F60" s="4">
        <f>ROUND(Source!T39,O60)</f>
        <v>0</v>
      </c>
      <c r="G60" s="4" t="s">
        <v>123</v>
      </c>
      <c r="H60" s="4" t="s">
        <v>124</v>
      </c>
      <c r="I60" s="4"/>
      <c r="J60" s="4"/>
      <c r="K60" s="4">
        <v>206</v>
      </c>
      <c r="L60" s="4">
        <v>20</v>
      </c>
      <c r="M60" s="4">
        <v>3</v>
      </c>
      <c r="N60" s="4" t="s">
        <v>3</v>
      </c>
      <c r="O60" s="4">
        <v>2</v>
      </c>
      <c r="P60" s="4"/>
      <c r="Q60" s="4"/>
      <c r="R60" s="4"/>
      <c r="S60" s="4"/>
      <c r="T60" s="4"/>
      <c r="U60" s="4"/>
      <c r="V60" s="4"/>
      <c r="W60" s="4"/>
    </row>
    <row r="61" spans="1:23">
      <c r="A61" s="4">
        <v>50</v>
      </c>
      <c r="B61" s="4">
        <v>0</v>
      </c>
      <c r="C61" s="4">
        <v>0</v>
      </c>
      <c r="D61" s="4">
        <v>1</v>
      </c>
      <c r="E61" s="4">
        <v>207</v>
      </c>
      <c r="F61" s="4">
        <f>Source!U39</f>
        <v>40.202400000000004</v>
      </c>
      <c r="G61" s="4" t="s">
        <v>125</v>
      </c>
      <c r="H61" s="4" t="s">
        <v>126</v>
      </c>
      <c r="I61" s="4"/>
      <c r="J61" s="4"/>
      <c r="K61" s="4">
        <v>207</v>
      </c>
      <c r="L61" s="4">
        <v>21</v>
      </c>
      <c r="M61" s="4">
        <v>3</v>
      </c>
      <c r="N61" s="4" t="s">
        <v>3</v>
      </c>
      <c r="O61" s="4">
        <v>-1</v>
      </c>
      <c r="P61" s="4"/>
      <c r="Q61" s="4"/>
      <c r="R61" s="4"/>
      <c r="S61" s="4"/>
      <c r="T61" s="4"/>
      <c r="U61" s="4"/>
      <c r="V61" s="4"/>
      <c r="W61" s="4"/>
    </row>
    <row r="62" spans="1:23">
      <c r="A62" s="4">
        <v>50</v>
      </c>
      <c r="B62" s="4">
        <v>0</v>
      </c>
      <c r="C62" s="4">
        <v>0</v>
      </c>
      <c r="D62" s="4">
        <v>1</v>
      </c>
      <c r="E62" s="4">
        <v>208</v>
      </c>
      <c r="F62" s="4">
        <f>Source!V39</f>
        <v>2.1000000000000001E-2</v>
      </c>
      <c r="G62" s="4" t="s">
        <v>127</v>
      </c>
      <c r="H62" s="4" t="s">
        <v>128</v>
      </c>
      <c r="I62" s="4"/>
      <c r="J62" s="4"/>
      <c r="K62" s="4">
        <v>208</v>
      </c>
      <c r="L62" s="4">
        <v>22</v>
      </c>
      <c r="M62" s="4">
        <v>3</v>
      </c>
      <c r="N62" s="4" t="s">
        <v>3</v>
      </c>
      <c r="O62" s="4">
        <v>-1</v>
      </c>
      <c r="P62" s="4"/>
      <c r="Q62" s="4"/>
      <c r="R62" s="4"/>
      <c r="S62" s="4"/>
      <c r="T62" s="4"/>
      <c r="U62" s="4"/>
      <c r="V62" s="4"/>
      <c r="W62" s="4"/>
    </row>
    <row r="63" spans="1:23">
      <c r="A63" s="4">
        <v>50</v>
      </c>
      <c r="B63" s="4">
        <v>0</v>
      </c>
      <c r="C63" s="4">
        <v>0</v>
      </c>
      <c r="D63" s="4">
        <v>1</v>
      </c>
      <c r="E63" s="4">
        <v>209</v>
      </c>
      <c r="F63" s="4">
        <f>ROUND(Source!W39,O63)</f>
        <v>8.7200000000000006</v>
      </c>
      <c r="G63" s="4" t="s">
        <v>129</v>
      </c>
      <c r="H63" s="4" t="s">
        <v>130</v>
      </c>
      <c r="I63" s="4"/>
      <c r="J63" s="4"/>
      <c r="K63" s="4">
        <v>209</v>
      </c>
      <c r="L63" s="4">
        <v>23</v>
      </c>
      <c r="M63" s="4">
        <v>3</v>
      </c>
      <c r="N63" s="4" t="s">
        <v>3</v>
      </c>
      <c r="O63" s="4">
        <v>2</v>
      </c>
      <c r="P63" s="4"/>
      <c r="Q63" s="4"/>
      <c r="R63" s="4"/>
      <c r="S63" s="4"/>
      <c r="T63" s="4"/>
      <c r="U63" s="4"/>
      <c r="V63" s="4"/>
      <c r="W63" s="4"/>
    </row>
    <row r="64" spans="1:23">
      <c r="A64" s="4">
        <v>50</v>
      </c>
      <c r="B64" s="4">
        <v>0</v>
      </c>
      <c r="C64" s="4">
        <v>0</v>
      </c>
      <c r="D64" s="4">
        <v>1</v>
      </c>
      <c r="E64" s="4">
        <v>233</v>
      </c>
      <c r="F64" s="4">
        <f>ROUND(Source!BD39,O64)</f>
        <v>0</v>
      </c>
      <c r="G64" s="4" t="s">
        <v>131</v>
      </c>
      <c r="H64" s="4" t="s">
        <v>132</v>
      </c>
      <c r="I64" s="4"/>
      <c r="J64" s="4"/>
      <c r="K64" s="4">
        <v>233</v>
      </c>
      <c r="L64" s="4">
        <v>24</v>
      </c>
      <c r="M64" s="4">
        <v>3</v>
      </c>
      <c r="N64" s="4" t="s">
        <v>3</v>
      </c>
      <c r="O64" s="4">
        <v>2</v>
      </c>
      <c r="P64" s="4"/>
      <c r="Q64" s="4"/>
      <c r="R64" s="4"/>
      <c r="S64" s="4"/>
      <c r="T64" s="4"/>
      <c r="U64" s="4"/>
      <c r="V64" s="4"/>
      <c r="W64" s="4"/>
    </row>
    <row r="65" spans="1:206">
      <c r="A65" s="4">
        <v>50</v>
      </c>
      <c r="B65" s="4">
        <v>0</v>
      </c>
      <c r="C65" s="4">
        <v>0</v>
      </c>
      <c r="D65" s="4">
        <v>1</v>
      </c>
      <c r="E65" s="4">
        <v>210</v>
      </c>
      <c r="F65" s="4">
        <f>ROUND(Source!X39,O65)</f>
        <v>10131.4</v>
      </c>
      <c r="G65" s="4" t="s">
        <v>133</v>
      </c>
      <c r="H65" s="4" t="s">
        <v>134</v>
      </c>
      <c r="I65" s="4"/>
      <c r="J65" s="4"/>
      <c r="K65" s="4">
        <v>210</v>
      </c>
      <c r="L65" s="4">
        <v>25</v>
      </c>
      <c r="M65" s="4">
        <v>3</v>
      </c>
      <c r="N65" s="4" t="s">
        <v>3</v>
      </c>
      <c r="O65" s="4">
        <v>2</v>
      </c>
      <c r="P65" s="4"/>
      <c r="Q65" s="4"/>
      <c r="R65" s="4"/>
      <c r="S65" s="4"/>
      <c r="T65" s="4"/>
      <c r="U65" s="4"/>
      <c r="V65" s="4"/>
      <c r="W65" s="4"/>
    </row>
    <row r="66" spans="1:206">
      <c r="A66" s="4">
        <v>50</v>
      </c>
      <c r="B66" s="4">
        <v>0</v>
      </c>
      <c r="C66" s="4">
        <v>0</v>
      </c>
      <c r="D66" s="4">
        <v>1</v>
      </c>
      <c r="E66" s="4">
        <v>211</v>
      </c>
      <c r="F66" s="4">
        <f>ROUND(Source!Y39,O66)</f>
        <v>7273.57</v>
      </c>
      <c r="G66" s="4" t="s">
        <v>135</v>
      </c>
      <c r="H66" s="4" t="s">
        <v>136</v>
      </c>
      <c r="I66" s="4"/>
      <c r="J66" s="4"/>
      <c r="K66" s="4">
        <v>211</v>
      </c>
      <c r="L66" s="4">
        <v>26</v>
      </c>
      <c r="M66" s="4">
        <v>3</v>
      </c>
      <c r="N66" s="4" t="s">
        <v>3</v>
      </c>
      <c r="O66" s="4">
        <v>2</v>
      </c>
      <c r="P66" s="4"/>
      <c r="Q66" s="4"/>
      <c r="R66" s="4"/>
      <c r="S66" s="4"/>
      <c r="T66" s="4"/>
      <c r="U66" s="4"/>
      <c r="V66" s="4"/>
      <c r="W66" s="4"/>
    </row>
    <row r="67" spans="1:206">
      <c r="A67" s="4">
        <v>50</v>
      </c>
      <c r="B67" s="4">
        <v>0</v>
      </c>
      <c r="C67" s="4">
        <v>0</v>
      </c>
      <c r="D67" s="4">
        <v>1</v>
      </c>
      <c r="E67" s="4">
        <v>224</v>
      </c>
      <c r="F67" s="4">
        <f>ROUND(Source!AR39,O67)</f>
        <v>53640.639999999999</v>
      </c>
      <c r="G67" s="4" t="s">
        <v>137</v>
      </c>
      <c r="H67" s="4" t="s">
        <v>138</v>
      </c>
      <c r="I67" s="4"/>
      <c r="J67" s="4"/>
      <c r="K67" s="4">
        <v>224</v>
      </c>
      <c r="L67" s="4">
        <v>27</v>
      </c>
      <c r="M67" s="4">
        <v>3</v>
      </c>
      <c r="N67" s="4" t="s">
        <v>3</v>
      </c>
      <c r="O67" s="4">
        <v>2</v>
      </c>
      <c r="P67" s="4"/>
      <c r="Q67" s="4"/>
      <c r="R67" s="4"/>
      <c r="S67" s="4"/>
      <c r="T67" s="4"/>
      <c r="U67" s="4"/>
      <c r="V67" s="4"/>
      <c r="W67" s="4"/>
    </row>
    <row r="69" spans="1:206">
      <c r="A69" s="2">
        <v>51</v>
      </c>
      <c r="B69" s="2">
        <f>B12</f>
        <v>130</v>
      </c>
      <c r="C69" s="2">
        <f>A12</f>
        <v>1</v>
      </c>
      <c r="D69" s="2">
        <f>ROW(A12)</f>
        <v>12</v>
      </c>
      <c r="E69" s="2"/>
      <c r="F69" s="2" t="str">
        <f>IF(F12&lt;&gt;"",F12,"")</f>
        <v>Новый объект</v>
      </c>
      <c r="G69" s="2" t="str">
        <f>IF(G12&lt;&gt;"",G12,"")</f>
        <v>охрана Мисцево</v>
      </c>
      <c r="H69" s="2">
        <v>0</v>
      </c>
      <c r="I69" s="2"/>
      <c r="J69" s="2"/>
      <c r="K69" s="2"/>
      <c r="L69" s="2"/>
      <c r="M69" s="2"/>
      <c r="N69" s="2"/>
      <c r="O69" s="2">
        <f t="shared" ref="O69:T69" si="56">ROUND(O39,2)</f>
        <v>36235.67</v>
      </c>
      <c r="P69" s="2">
        <f t="shared" si="56"/>
        <v>24252.03</v>
      </c>
      <c r="Q69" s="2">
        <f t="shared" si="56"/>
        <v>303.22000000000003</v>
      </c>
      <c r="R69" s="2">
        <f t="shared" si="56"/>
        <v>8.89</v>
      </c>
      <c r="S69" s="2">
        <f t="shared" si="56"/>
        <v>11680.42</v>
      </c>
      <c r="T69" s="2">
        <f t="shared" si="56"/>
        <v>0</v>
      </c>
      <c r="U69" s="2">
        <f>U39</f>
        <v>40.202400000000004</v>
      </c>
      <c r="V69" s="2">
        <f>V39</f>
        <v>2.1000000000000001E-2</v>
      </c>
      <c r="W69" s="2">
        <f>ROUND(W39,2)</f>
        <v>8.7200000000000006</v>
      </c>
      <c r="X69" s="2">
        <f>ROUND(X39,2)</f>
        <v>10131.4</v>
      </c>
      <c r="Y69" s="2">
        <f>ROUND(Y39,2)</f>
        <v>7273.57</v>
      </c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>
        <f t="shared" ref="AO69:BD69" si="57">ROUND(AO39,2)</f>
        <v>0</v>
      </c>
      <c r="AP69" s="2">
        <f t="shared" si="57"/>
        <v>0</v>
      </c>
      <c r="AQ69" s="2">
        <f t="shared" si="57"/>
        <v>0</v>
      </c>
      <c r="AR69" s="2">
        <f t="shared" si="57"/>
        <v>53640.639999999999</v>
      </c>
      <c r="AS69" s="2">
        <f t="shared" si="57"/>
        <v>1446.5</v>
      </c>
      <c r="AT69" s="2">
        <f t="shared" si="57"/>
        <v>52194.14</v>
      </c>
      <c r="AU69" s="2">
        <f t="shared" si="57"/>
        <v>0</v>
      </c>
      <c r="AV69" s="2">
        <f t="shared" si="57"/>
        <v>24252.03</v>
      </c>
      <c r="AW69" s="2">
        <f t="shared" si="57"/>
        <v>24252.03</v>
      </c>
      <c r="AX69" s="2">
        <f t="shared" si="57"/>
        <v>0</v>
      </c>
      <c r="AY69" s="2">
        <f t="shared" si="57"/>
        <v>24252.03</v>
      </c>
      <c r="AZ69" s="2">
        <f t="shared" si="57"/>
        <v>0</v>
      </c>
      <c r="BA69" s="2">
        <f t="shared" si="57"/>
        <v>0</v>
      </c>
      <c r="BB69" s="2">
        <f t="shared" si="57"/>
        <v>0</v>
      </c>
      <c r="BC69" s="2">
        <f t="shared" si="57"/>
        <v>0</v>
      </c>
      <c r="BD69" s="2">
        <f t="shared" si="57"/>
        <v>0</v>
      </c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  <c r="GL69" s="3"/>
      <c r="GM69" s="3"/>
      <c r="GN69" s="3"/>
      <c r="GO69" s="3"/>
      <c r="GP69" s="3"/>
      <c r="GQ69" s="3"/>
      <c r="GR69" s="3"/>
      <c r="GS69" s="3"/>
      <c r="GT69" s="3"/>
      <c r="GU69" s="3"/>
      <c r="GV69" s="3"/>
      <c r="GW69" s="3"/>
      <c r="GX69" s="3">
        <v>0</v>
      </c>
    </row>
    <row r="71" spans="1:206">
      <c r="A71" s="4">
        <v>50</v>
      </c>
      <c r="B71" s="4">
        <v>0</v>
      </c>
      <c r="C71" s="4">
        <v>0</v>
      </c>
      <c r="D71" s="4">
        <v>1</v>
      </c>
      <c r="E71" s="4">
        <v>201</v>
      </c>
      <c r="F71" s="4">
        <f>ROUND(Source!O69,O71)</f>
        <v>36235.67</v>
      </c>
      <c r="G71" s="4" t="s">
        <v>85</v>
      </c>
      <c r="H71" s="4" t="s">
        <v>86</v>
      </c>
      <c r="I71" s="4"/>
      <c r="J71" s="4"/>
      <c r="K71" s="4">
        <v>201</v>
      </c>
      <c r="L71" s="4">
        <v>1</v>
      </c>
      <c r="M71" s="4">
        <v>3</v>
      </c>
      <c r="N71" s="4" t="s">
        <v>3</v>
      </c>
      <c r="O71" s="4">
        <v>2</v>
      </c>
      <c r="P71" s="4"/>
      <c r="Q71" s="4"/>
      <c r="R71" s="4"/>
      <c r="S71" s="4"/>
      <c r="T71" s="4"/>
      <c r="U71" s="4"/>
      <c r="V71" s="4"/>
      <c r="W71" s="4"/>
    </row>
    <row r="72" spans="1:206">
      <c r="A72" s="4">
        <v>50</v>
      </c>
      <c r="B72" s="4">
        <v>0</v>
      </c>
      <c r="C72" s="4">
        <v>0</v>
      </c>
      <c r="D72" s="4">
        <v>1</v>
      </c>
      <c r="E72" s="4">
        <v>202</v>
      </c>
      <c r="F72" s="4">
        <f>ROUND(Source!P69,O72)</f>
        <v>24252.03</v>
      </c>
      <c r="G72" s="4" t="s">
        <v>87</v>
      </c>
      <c r="H72" s="4" t="s">
        <v>88</v>
      </c>
      <c r="I72" s="4"/>
      <c r="J72" s="4"/>
      <c r="K72" s="4">
        <v>202</v>
      </c>
      <c r="L72" s="4">
        <v>2</v>
      </c>
      <c r="M72" s="4">
        <v>3</v>
      </c>
      <c r="N72" s="4" t="s">
        <v>3</v>
      </c>
      <c r="O72" s="4">
        <v>2</v>
      </c>
      <c r="P72" s="4"/>
      <c r="Q72" s="4"/>
      <c r="R72" s="4"/>
      <c r="S72" s="4"/>
      <c r="T72" s="4"/>
      <c r="U72" s="4"/>
      <c r="V72" s="4"/>
      <c r="W72" s="4"/>
    </row>
    <row r="73" spans="1:206">
      <c r="A73" s="4">
        <v>50</v>
      </c>
      <c r="B73" s="4">
        <v>0</v>
      </c>
      <c r="C73" s="4">
        <v>0</v>
      </c>
      <c r="D73" s="4">
        <v>1</v>
      </c>
      <c r="E73" s="4">
        <v>222</v>
      </c>
      <c r="F73" s="4">
        <f>ROUND(Source!AO69,O73)</f>
        <v>0</v>
      </c>
      <c r="G73" s="4" t="s">
        <v>89</v>
      </c>
      <c r="H73" s="4" t="s">
        <v>90</v>
      </c>
      <c r="I73" s="4"/>
      <c r="J73" s="4"/>
      <c r="K73" s="4">
        <v>222</v>
      </c>
      <c r="L73" s="4">
        <v>3</v>
      </c>
      <c r="M73" s="4">
        <v>3</v>
      </c>
      <c r="N73" s="4" t="s">
        <v>3</v>
      </c>
      <c r="O73" s="4">
        <v>2</v>
      </c>
      <c r="P73" s="4"/>
      <c r="Q73" s="4"/>
      <c r="R73" s="4"/>
      <c r="S73" s="4"/>
      <c r="T73" s="4"/>
      <c r="U73" s="4"/>
      <c r="V73" s="4"/>
      <c r="W73" s="4"/>
    </row>
    <row r="74" spans="1:206">
      <c r="A74" s="4">
        <v>50</v>
      </c>
      <c r="B74" s="4">
        <v>0</v>
      </c>
      <c r="C74" s="4">
        <v>0</v>
      </c>
      <c r="D74" s="4">
        <v>1</v>
      </c>
      <c r="E74" s="4">
        <v>225</v>
      </c>
      <c r="F74" s="4">
        <f>ROUND(Source!AV69,O74)</f>
        <v>24252.03</v>
      </c>
      <c r="G74" s="4" t="s">
        <v>91</v>
      </c>
      <c r="H74" s="4" t="s">
        <v>92</v>
      </c>
      <c r="I74" s="4"/>
      <c r="J74" s="4"/>
      <c r="K74" s="4">
        <v>225</v>
      </c>
      <c r="L74" s="4">
        <v>4</v>
      </c>
      <c r="M74" s="4">
        <v>3</v>
      </c>
      <c r="N74" s="4" t="s">
        <v>3</v>
      </c>
      <c r="O74" s="4">
        <v>2</v>
      </c>
      <c r="P74" s="4"/>
      <c r="Q74" s="4"/>
      <c r="R74" s="4"/>
      <c r="S74" s="4"/>
      <c r="T74" s="4"/>
      <c r="U74" s="4"/>
      <c r="V74" s="4"/>
      <c r="W74" s="4"/>
    </row>
    <row r="75" spans="1:206">
      <c r="A75" s="4">
        <v>50</v>
      </c>
      <c r="B75" s="4">
        <v>0</v>
      </c>
      <c r="C75" s="4">
        <v>0</v>
      </c>
      <c r="D75" s="4">
        <v>1</v>
      </c>
      <c r="E75" s="4">
        <v>226</v>
      </c>
      <c r="F75" s="4">
        <f>ROUND(Source!AW69,O75)</f>
        <v>24252.03</v>
      </c>
      <c r="G75" s="4" t="s">
        <v>93</v>
      </c>
      <c r="H75" s="4" t="s">
        <v>94</v>
      </c>
      <c r="I75" s="4"/>
      <c r="J75" s="4"/>
      <c r="K75" s="4">
        <v>226</v>
      </c>
      <c r="L75" s="4">
        <v>5</v>
      </c>
      <c r="M75" s="4">
        <v>3</v>
      </c>
      <c r="N75" s="4" t="s">
        <v>3</v>
      </c>
      <c r="O75" s="4">
        <v>2</v>
      </c>
      <c r="P75" s="4"/>
      <c r="Q75" s="4"/>
      <c r="R75" s="4"/>
      <c r="S75" s="4"/>
      <c r="T75" s="4"/>
      <c r="U75" s="4"/>
      <c r="V75" s="4"/>
      <c r="W75" s="4"/>
    </row>
    <row r="76" spans="1:206">
      <c r="A76" s="4">
        <v>50</v>
      </c>
      <c r="B76" s="4">
        <v>0</v>
      </c>
      <c r="C76" s="4">
        <v>0</v>
      </c>
      <c r="D76" s="4">
        <v>1</v>
      </c>
      <c r="E76" s="4">
        <v>227</v>
      </c>
      <c r="F76" s="4">
        <f>ROUND(Source!AX69,O76)</f>
        <v>0</v>
      </c>
      <c r="G76" s="4" t="s">
        <v>95</v>
      </c>
      <c r="H76" s="4" t="s">
        <v>96</v>
      </c>
      <c r="I76" s="4"/>
      <c r="J76" s="4"/>
      <c r="K76" s="4">
        <v>227</v>
      </c>
      <c r="L76" s="4">
        <v>6</v>
      </c>
      <c r="M76" s="4">
        <v>3</v>
      </c>
      <c r="N76" s="4" t="s">
        <v>3</v>
      </c>
      <c r="O76" s="4">
        <v>2</v>
      </c>
      <c r="P76" s="4"/>
      <c r="Q76" s="4"/>
      <c r="R76" s="4"/>
      <c r="S76" s="4"/>
      <c r="T76" s="4"/>
      <c r="U76" s="4"/>
      <c r="V76" s="4"/>
      <c r="W76" s="4"/>
    </row>
    <row r="77" spans="1:206">
      <c r="A77" s="4">
        <v>50</v>
      </c>
      <c r="B77" s="4">
        <v>0</v>
      </c>
      <c r="C77" s="4">
        <v>0</v>
      </c>
      <c r="D77" s="4">
        <v>1</v>
      </c>
      <c r="E77" s="4">
        <v>228</v>
      </c>
      <c r="F77" s="4">
        <f>ROUND(Source!AY69,O77)</f>
        <v>24252.03</v>
      </c>
      <c r="G77" s="4" t="s">
        <v>97</v>
      </c>
      <c r="H77" s="4" t="s">
        <v>98</v>
      </c>
      <c r="I77" s="4"/>
      <c r="J77" s="4"/>
      <c r="K77" s="4">
        <v>228</v>
      </c>
      <c r="L77" s="4">
        <v>7</v>
      </c>
      <c r="M77" s="4">
        <v>3</v>
      </c>
      <c r="N77" s="4" t="s">
        <v>3</v>
      </c>
      <c r="O77" s="4">
        <v>2</v>
      </c>
      <c r="P77" s="4"/>
      <c r="Q77" s="4"/>
      <c r="R77" s="4"/>
      <c r="S77" s="4"/>
      <c r="T77" s="4"/>
      <c r="U77" s="4"/>
      <c r="V77" s="4"/>
      <c r="W77" s="4"/>
    </row>
    <row r="78" spans="1:206">
      <c r="A78" s="4">
        <v>50</v>
      </c>
      <c r="B78" s="4">
        <v>0</v>
      </c>
      <c r="C78" s="4">
        <v>0</v>
      </c>
      <c r="D78" s="4">
        <v>1</v>
      </c>
      <c r="E78" s="4">
        <v>216</v>
      </c>
      <c r="F78" s="4">
        <f>ROUND(Source!AP69,O78)</f>
        <v>0</v>
      </c>
      <c r="G78" s="4" t="s">
        <v>99</v>
      </c>
      <c r="H78" s="4" t="s">
        <v>100</v>
      </c>
      <c r="I78" s="4"/>
      <c r="J78" s="4"/>
      <c r="K78" s="4">
        <v>216</v>
      </c>
      <c r="L78" s="4">
        <v>8</v>
      </c>
      <c r="M78" s="4">
        <v>3</v>
      </c>
      <c r="N78" s="4" t="s">
        <v>3</v>
      </c>
      <c r="O78" s="4">
        <v>2</v>
      </c>
      <c r="P78" s="4"/>
      <c r="Q78" s="4"/>
      <c r="R78" s="4"/>
      <c r="S78" s="4"/>
      <c r="T78" s="4"/>
      <c r="U78" s="4"/>
      <c r="V78" s="4"/>
      <c r="W78" s="4"/>
    </row>
    <row r="79" spans="1:206">
      <c r="A79" s="4">
        <v>50</v>
      </c>
      <c r="B79" s="4">
        <v>0</v>
      </c>
      <c r="C79" s="4">
        <v>0</v>
      </c>
      <c r="D79" s="4">
        <v>1</v>
      </c>
      <c r="E79" s="4">
        <v>223</v>
      </c>
      <c r="F79" s="4">
        <f>ROUND(Source!AQ69,O79)</f>
        <v>0</v>
      </c>
      <c r="G79" s="4" t="s">
        <v>101</v>
      </c>
      <c r="H79" s="4" t="s">
        <v>102</v>
      </c>
      <c r="I79" s="4"/>
      <c r="J79" s="4"/>
      <c r="K79" s="4">
        <v>223</v>
      </c>
      <c r="L79" s="4">
        <v>9</v>
      </c>
      <c r="M79" s="4">
        <v>3</v>
      </c>
      <c r="N79" s="4" t="s">
        <v>3</v>
      </c>
      <c r="O79" s="4">
        <v>2</v>
      </c>
      <c r="P79" s="4"/>
      <c r="Q79" s="4"/>
      <c r="R79" s="4"/>
      <c r="S79" s="4"/>
      <c r="T79" s="4"/>
      <c r="U79" s="4"/>
      <c r="V79" s="4"/>
      <c r="W79" s="4"/>
    </row>
    <row r="80" spans="1:206">
      <c r="A80" s="4">
        <v>50</v>
      </c>
      <c r="B80" s="4">
        <v>0</v>
      </c>
      <c r="C80" s="4">
        <v>0</v>
      </c>
      <c r="D80" s="4">
        <v>1</v>
      </c>
      <c r="E80" s="4">
        <v>229</v>
      </c>
      <c r="F80" s="4">
        <f>ROUND(Source!AZ69,O80)</f>
        <v>0</v>
      </c>
      <c r="G80" s="4" t="s">
        <v>103</v>
      </c>
      <c r="H80" s="4" t="s">
        <v>104</v>
      </c>
      <c r="I80" s="4"/>
      <c r="J80" s="4"/>
      <c r="K80" s="4">
        <v>229</v>
      </c>
      <c r="L80" s="4">
        <v>10</v>
      </c>
      <c r="M80" s="4">
        <v>3</v>
      </c>
      <c r="N80" s="4" t="s">
        <v>3</v>
      </c>
      <c r="O80" s="4">
        <v>2</v>
      </c>
      <c r="P80" s="4"/>
      <c r="Q80" s="4"/>
      <c r="R80" s="4"/>
      <c r="S80" s="4"/>
      <c r="T80" s="4"/>
      <c r="U80" s="4"/>
      <c r="V80" s="4"/>
      <c r="W80" s="4"/>
    </row>
    <row r="81" spans="1:23">
      <c r="A81" s="4">
        <v>50</v>
      </c>
      <c r="B81" s="4">
        <v>0</v>
      </c>
      <c r="C81" s="4">
        <v>0</v>
      </c>
      <c r="D81" s="4">
        <v>1</v>
      </c>
      <c r="E81" s="4">
        <v>203</v>
      </c>
      <c r="F81" s="4">
        <f>ROUND(Source!Q69,O81)</f>
        <v>303.22000000000003</v>
      </c>
      <c r="G81" s="4" t="s">
        <v>105</v>
      </c>
      <c r="H81" s="4" t="s">
        <v>106</v>
      </c>
      <c r="I81" s="4"/>
      <c r="J81" s="4"/>
      <c r="K81" s="4">
        <v>203</v>
      </c>
      <c r="L81" s="4">
        <v>11</v>
      </c>
      <c r="M81" s="4">
        <v>3</v>
      </c>
      <c r="N81" s="4" t="s">
        <v>3</v>
      </c>
      <c r="O81" s="4">
        <v>2</v>
      </c>
      <c r="P81" s="4"/>
      <c r="Q81" s="4"/>
      <c r="R81" s="4"/>
      <c r="S81" s="4"/>
      <c r="T81" s="4"/>
      <c r="U81" s="4"/>
      <c r="V81" s="4"/>
      <c r="W81" s="4"/>
    </row>
    <row r="82" spans="1:23">
      <c r="A82" s="4">
        <v>50</v>
      </c>
      <c r="B82" s="4">
        <v>0</v>
      </c>
      <c r="C82" s="4">
        <v>0</v>
      </c>
      <c r="D82" s="4">
        <v>1</v>
      </c>
      <c r="E82" s="4">
        <v>231</v>
      </c>
      <c r="F82" s="4">
        <f>ROUND(Source!BB69,O82)</f>
        <v>0</v>
      </c>
      <c r="G82" s="4" t="s">
        <v>107</v>
      </c>
      <c r="H82" s="4" t="s">
        <v>108</v>
      </c>
      <c r="I82" s="4"/>
      <c r="J82" s="4"/>
      <c r="K82" s="4">
        <v>231</v>
      </c>
      <c r="L82" s="4">
        <v>12</v>
      </c>
      <c r="M82" s="4">
        <v>3</v>
      </c>
      <c r="N82" s="4" t="s">
        <v>3</v>
      </c>
      <c r="O82" s="4">
        <v>2</v>
      </c>
      <c r="P82" s="4"/>
      <c r="Q82" s="4"/>
      <c r="R82" s="4"/>
      <c r="S82" s="4"/>
      <c r="T82" s="4"/>
      <c r="U82" s="4"/>
      <c r="V82" s="4"/>
      <c r="W82" s="4"/>
    </row>
    <row r="83" spans="1:23">
      <c r="A83" s="4">
        <v>50</v>
      </c>
      <c r="B83" s="4">
        <v>0</v>
      </c>
      <c r="C83" s="4">
        <v>0</v>
      </c>
      <c r="D83" s="4">
        <v>1</v>
      </c>
      <c r="E83" s="4">
        <v>204</v>
      </c>
      <c r="F83" s="4">
        <f>ROUND(Source!R69,O83)</f>
        <v>8.89</v>
      </c>
      <c r="G83" s="4" t="s">
        <v>109</v>
      </c>
      <c r="H83" s="4" t="s">
        <v>110</v>
      </c>
      <c r="I83" s="4"/>
      <c r="J83" s="4"/>
      <c r="K83" s="4">
        <v>204</v>
      </c>
      <c r="L83" s="4">
        <v>13</v>
      </c>
      <c r="M83" s="4">
        <v>3</v>
      </c>
      <c r="N83" s="4" t="s">
        <v>3</v>
      </c>
      <c r="O83" s="4">
        <v>2</v>
      </c>
      <c r="P83" s="4"/>
      <c r="Q83" s="4"/>
      <c r="R83" s="4"/>
      <c r="S83" s="4"/>
      <c r="T83" s="4"/>
      <c r="U83" s="4"/>
      <c r="V83" s="4"/>
      <c r="W83" s="4"/>
    </row>
    <row r="84" spans="1:23">
      <c r="A84" s="4">
        <v>50</v>
      </c>
      <c r="B84" s="4">
        <v>0</v>
      </c>
      <c r="C84" s="4">
        <v>0</v>
      </c>
      <c r="D84" s="4">
        <v>1</v>
      </c>
      <c r="E84" s="4">
        <v>205</v>
      </c>
      <c r="F84" s="4">
        <f>ROUND(Source!S69,O84)</f>
        <v>11680.42</v>
      </c>
      <c r="G84" s="4" t="s">
        <v>111</v>
      </c>
      <c r="H84" s="4" t="s">
        <v>112</v>
      </c>
      <c r="I84" s="4"/>
      <c r="J84" s="4"/>
      <c r="K84" s="4">
        <v>205</v>
      </c>
      <c r="L84" s="4">
        <v>14</v>
      </c>
      <c r="M84" s="4">
        <v>3</v>
      </c>
      <c r="N84" s="4" t="s">
        <v>3</v>
      </c>
      <c r="O84" s="4">
        <v>2</v>
      </c>
      <c r="P84" s="4"/>
      <c r="Q84" s="4"/>
      <c r="R84" s="4"/>
      <c r="S84" s="4"/>
      <c r="T84" s="4"/>
      <c r="U84" s="4"/>
      <c r="V84" s="4"/>
      <c r="W84" s="4"/>
    </row>
    <row r="85" spans="1:23">
      <c r="A85" s="4">
        <v>50</v>
      </c>
      <c r="B85" s="4">
        <v>0</v>
      </c>
      <c r="C85" s="4">
        <v>0</v>
      </c>
      <c r="D85" s="4">
        <v>1</v>
      </c>
      <c r="E85" s="4">
        <v>232</v>
      </c>
      <c r="F85" s="4">
        <f>ROUND(Source!BC69,O85)</f>
        <v>0</v>
      </c>
      <c r="G85" s="4" t="s">
        <v>113</v>
      </c>
      <c r="H85" s="4" t="s">
        <v>114</v>
      </c>
      <c r="I85" s="4"/>
      <c r="J85" s="4"/>
      <c r="K85" s="4">
        <v>232</v>
      </c>
      <c r="L85" s="4">
        <v>15</v>
      </c>
      <c r="M85" s="4">
        <v>3</v>
      </c>
      <c r="N85" s="4" t="s">
        <v>3</v>
      </c>
      <c r="O85" s="4">
        <v>2</v>
      </c>
      <c r="P85" s="4"/>
      <c r="Q85" s="4"/>
      <c r="R85" s="4"/>
      <c r="S85" s="4"/>
      <c r="T85" s="4"/>
      <c r="U85" s="4"/>
      <c r="V85" s="4"/>
      <c r="W85" s="4"/>
    </row>
    <row r="86" spans="1:23">
      <c r="A86" s="4">
        <v>50</v>
      </c>
      <c r="B86" s="4">
        <v>0</v>
      </c>
      <c r="C86" s="4">
        <v>0</v>
      </c>
      <c r="D86" s="4">
        <v>1</v>
      </c>
      <c r="E86" s="4">
        <v>214</v>
      </c>
      <c r="F86" s="4">
        <f>ROUND(Source!AS69,O86)</f>
        <v>1446.5</v>
      </c>
      <c r="G86" s="4" t="s">
        <v>115</v>
      </c>
      <c r="H86" s="4" t="s">
        <v>116</v>
      </c>
      <c r="I86" s="4"/>
      <c r="J86" s="4"/>
      <c r="K86" s="4">
        <v>214</v>
      </c>
      <c r="L86" s="4">
        <v>16</v>
      </c>
      <c r="M86" s="4">
        <v>3</v>
      </c>
      <c r="N86" s="4" t="s">
        <v>3</v>
      </c>
      <c r="O86" s="4">
        <v>2</v>
      </c>
      <c r="P86" s="4"/>
      <c r="Q86" s="4"/>
      <c r="R86" s="4"/>
      <c r="S86" s="4"/>
      <c r="T86" s="4"/>
      <c r="U86" s="4"/>
      <c r="V86" s="4"/>
      <c r="W86" s="4"/>
    </row>
    <row r="87" spans="1:23">
      <c r="A87" s="4">
        <v>50</v>
      </c>
      <c r="B87" s="4">
        <v>0</v>
      </c>
      <c r="C87" s="4">
        <v>0</v>
      </c>
      <c r="D87" s="4">
        <v>1</v>
      </c>
      <c r="E87" s="4">
        <v>215</v>
      </c>
      <c r="F87" s="4">
        <f>ROUND(Source!AT69,O87)</f>
        <v>52194.14</v>
      </c>
      <c r="G87" s="4" t="s">
        <v>117</v>
      </c>
      <c r="H87" s="4" t="s">
        <v>118</v>
      </c>
      <c r="I87" s="4"/>
      <c r="J87" s="4"/>
      <c r="K87" s="4">
        <v>215</v>
      </c>
      <c r="L87" s="4">
        <v>17</v>
      </c>
      <c r="M87" s="4">
        <v>3</v>
      </c>
      <c r="N87" s="4" t="s">
        <v>3</v>
      </c>
      <c r="O87" s="4">
        <v>2</v>
      </c>
      <c r="P87" s="4"/>
      <c r="Q87" s="4"/>
      <c r="R87" s="4"/>
      <c r="S87" s="4"/>
      <c r="T87" s="4"/>
      <c r="U87" s="4"/>
      <c r="V87" s="4"/>
      <c r="W87" s="4"/>
    </row>
    <row r="88" spans="1:23">
      <c r="A88" s="4">
        <v>50</v>
      </c>
      <c r="B88" s="4">
        <v>0</v>
      </c>
      <c r="C88" s="4">
        <v>0</v>
      </c>
      <c r="D88" s="4">
        <v>1</v>
      </c>
      <c r="E88" s="4">
        <v>217</v>
      </c>
      <c r="F88" s="4">
        <f>ROUND(Source!AU69,O88)</f>
        <v>0</v>
      </c>
      <c r="G88" s="4" t="s">
        <v>119</v>
      </c>
      <c r="H88" s="4" t="s">
        <v>120</v>
      </c>
      <c r="I88" s="4"/>
      <c r="J88" s="4"/>
      <c r="K88" s="4">
        <v>217</v>
      </c>
      <c r="L88" s="4">
        <v>18</v>
      </c>
      <c r="M88" s="4">
        <v>3</v>
      </c>
      <c r="N88" s="4" t="s">
        <v>3</v>
      </c>
      <c r="O88" s="4">
        <v>2</v>
      </c>
      <c r="P88" s="4"/>
      <c r="Q88" s="4"/>
      <c r="R88" s="4"/>
      <c r="S88" s="4"/>
      <c r="T88" s="4"/>
      <c r="U88" s="4"/>
      <c r="V88" s="4"/>
      <c r="W88" s="4"/>
    </row>
    <row r="89" spans="1:23">
      <c r="A89" s="4">
        <v>50</v>
      </c>
      <c r="B89" s="4">
        <v>0</v>
      </c>
      <c r="C89" s="4">
        <v>0</v>
      </c>
      <c r="D89" s="4">
        <v>1</v>
      </c>
      <c r="E89" s="4">
        <v>230</v>
      </c>
      <c r="F89" s="4">
        <f>ROUND(Source!BA69,O89)</f>
        <v>0</v>
      </c>
      <c r="G89" s="4" t="s">
        <v>121</v>
      </c>
      <c r="H89" s="4" t="s">
        <v>122</v>
      </c>
      <c r="I89" s="4"/>
      <c r="J89" s="4"/>
      <c r="K89" s="4">
        <v>230</v>
      </c>
      <c r="L89" s="4">
        <v>19</v>
      </c>
      <c r="M89" s="4">
        <v>3</v>
      </c>
      <c r="N89" s="4" t="s">
        <v>3</v>
      </c>
      <c r="O89" s="4">
        <v>2</v>
      </c>
      <c r="P89" s="4"/>
      <c r="Q89" s="4"/>
      <c r="R89" s="4"/>
      <c r="S89" s="4"/>
      <c r="T89" s="4"/>
      <c r="U89" s="4"/>
      <c r="V89" s="4"/>
      <c r="W89" s="4"/>
    </row>
    <row r="90" spans="1:23">
      <c r="A90" s="4">
        <v>50</v>
      </c>
      <c r="B90" s="4">
        <v>0</v>
      </c>
      <c r="C90" s="4">
        <v>0</v>
      </c>
      <c r="D90" s="4">
        <v>1</v>
      </c>
      <c r="E90" s="4">
        <v>206</v>
      </c>
      <c r="F90" s="4">
        <f>ROUND(Source!T69,O90)</f>
        <v>0</v>
      </c>
      <c r="G90" s="4" t="s">
        <v>123</v>
      </c>
      <c r="H90" s="4" t="s">
        <v>124</v>
      </c>
      <c r="I90" s="4"/>
      <c r="J90" s="4"/>
      <c r="K90" s="4">
        <v>206</v>
      </c>
      <c r="L90" s="4">
        <v>20</v>
      </c>
      <c r="M90" s="4">
        <v>3</v>
      </c>
      <c r="N90" s="4" t="s">
        <v>3</v>
      </c>
      <c r="O90" s="4">
        <v>2</v>
      </c>
      <c r="P90" s="4"/>
      <c r="Q90" s="4"/>
      <c r="R90" s="4"/>
      <c r="S90" s="4"/>
      <c r="T90" s="4"/>
      <c r="U90" s="4"/>
      <c r="V90" s="4"/>
      <c r="W90" s="4"/>
    </row>
    <row r="91" spans="1:23">
      <c r="A91" s="4">
        <v>50</v>
      </c>
      <c r="B91" s="4">
        <v>0</v>
      </c>
      <c r="C91" s="4">
        <v>0</v>
      </c>
      <c r="D91" s="4">
        <v>1</v>
      </c>
      <c r="E91" s="4">
        <v>207</v>
      </c>
      <c r="F91" s="4">
        <f>Source!U69</f>
        <v>40.202400000000004</v>
      </c>
      <c r="G91" s="4" t="s">
        <v>125</v>
      </c>
      <c r="H91" s="4" t="s">
        <v>126</v>
      </c>
      <c r="I91" s="4"/>
      <c r="J91" s="4"/>
      <c r="K91" s="4">
        <v>207</v>
      </c>
      <c r="L91" s="4">
        <v>21</v>
      </c>
      <c r="M91" s="4">
        <v>3</v>
      </c>
      <c r="N91" s="4" t="s">
        <v>3</v>
      </c>
      <c r="O91" s="4">
        <v>-1</v>
      </c>
      <c r="P91" s="4"/>
      <c r="Q91" s="4"/>
      <c r="R91" s="4"/>
      <c r="S91" s="4"/>
      <c r="T91" s="4"/>
      <c r="U91" s="4"/>
      <c r="V91" s="4"/>
      <c r="W91" s="4"/>
    </row>
    <row r="92" spans="1:23">
      <c r="A92" s="4">
        <v>50</v>
      </c>
      <c r="B92" s="4">
        <v>0</v>
      </c>
      <c r="C92" s="4">
        <v>0</v>
      </c>
      <c r="D92" s="4">
        <v>1</v>
      </c>
      <c r="E92" s="4">
        <v>208</v>
      </c>
      <c r="F92" s="4">
        <f>Source!V69</f>
        <v>2.1000000000000001E-2</v>
      </c>
      <c r="G92" s="4" t="s">
        <v>127</v>
      </c>
      <c r="H92" s="4" t="s">
        <v>128</v>
      </c>
      <c r="I92" s="4"/>
      <c r="J92" s="4"/>
      <c r="K92" s="4">
        <v>208</v>
      </c>
      <c r="L92" s="4">
        <v>22</v>
      </c>
      <c r="M92" s="4">
        <v>3</v>
      </c>
      <c r="N92" s="4" t="s">
        <v>3</v>
      </c>
      <c r="O92" s="4">
        <v>-1</v>
      </c>
      <c r="P92" s="4"/>
      <c r="Q92" s="4"/>
      <c r="R92" s="4"/>
      <c r="S92" s="4"/>
      <c r="T92" s="4"/>
      <c r="U92" s="4"/>
      <c r="V92" s="4"/>
      <c r="W92" s="4"/>
    </row>
    <row r="93" spans="1:23">
      <c r="A93" s="4">
        <v>50</v>
      </c>
      <c r="B93" s="4">
        <v>0</v>
      </c>
      <c r="C93" s="4">
        <v>0</v>
      </c>
      <c r="D93" s="4">
        <v>1</v>
      </c>
      <c r="E93" s="4">
        <v>209</v>
      </c>
      <c r="F93" s="4">
        <f>ROUND(Source!W69,O93)</f>
        <v>8.7200000000000006</v>
      </c>
      <c r="G93" s="4" t="s">
        <v>129</v>
      </c>
      <c r="H93" s="4" t="s">
        <v>130</v>
      </c>
      <c r="I93" s="4"/>
      <c r="J93" s="4"/>
      <c r="K93" s="4">
        <v>209</v>
      </c>
      <c r="L93" s="4">
        <v>23</v>
      </c>
      <c r="M93" s="4">
        <v>3</v>
      </c>
      <c r="N93" s="4" t="s">
        <v>3</v>
      </c>
      <c r="O93" s="4">
        <v>2</v>
      </c>
      <c r="P93" s="4"/>
      <c r="Q93" s="4"/>
      <c r="R93" s="4"/>
      <c r="S93" s="4"/>
      <c r="T93" s="4"/>
      <c r="U93" s="4"/>
      <c r="V93" s="4"/>
      <c r="W93" s="4"/>
    </row>
    <row r="94" spans="1:23">
      <c r="A94" s="4">
        <v>50</v>
      </c>
      <c r="B94" s="4">
        <v>0</v>
      </c>
      <c r="C94" s="4">
        <v>0</v>
      </c>
      <c r="D94" s="4">
        <v>1</v>
      </c>
      <c r="E94" s="4">
        <v>233</v>
      </c>
      <c r="F94" s="4">
        <f>ROUND(Source!BD69,O94)</f>
        <v>0</v>
      </c>
      <c r="G94" s="4" t="s">
        <v>131</v>
      </c>
      <c r="H94" s="4" t="s">
        <v>132</v>
      </c>
      <c r="I94" s="4"/>
      <c r="J94" s="4"/>
      <c r="K94" s="4">
        <v>233</v>
      </c>
      <c r="L94" s="4">
        <v>24</v>
      </c>
      <c r="M94" s="4">
        <v>3</v>
      </c>
      <c r="N94" s="4" t="s">
        <v>3</v>
      </c>
      <c r="O94" s="4">
        <v>2</v>
      </c>
      <c r="P94" s="4"/>
      <c r="Q94" s="4"/>
      <c r="R94" s="4"/>
      <c r="S94" s="4"/>
      <c r="T94" s="4"/>
      <c r="U94" s="4"/>
      <c r="V94" s="4"/>
      <c r="W94" s="4"/>
    </row>
    <row r="95" spans="1:23">
      <c r="A95" s="4">
        <v>50</v>
      </c>
      <c r="B95" s="4">
        <v>0</v>
      </c>
      <c r="C95" s="4">
        <v>0</v>
      </c>
      <c r="D95" s="4">
        <v>1</v>
      </c>
      <c r="E95" s="4">
        <v>210</v>
      </c>
      <c r="F95" s="4">
        <f>ROUND(Source!X69,O95)</f>
        <v>10131.4</v>
      </c>
      <c r="G95" s="4" t="s">
        <v>133</v>
      </c>
      <c r="H95" s="4" t="s">
        <v>134</v>
      </c>
      <c r="I95" s="4"/>
      <c r="J95" s="4"/>
      <c r="K95" s="4">
        <v>210</v>
      </c>
      <c r="L95" s="4">
        <v>25</v>
      </c>
      <c r="M95" s="4">
        <v>3</v>
      </c>
      <c r="N95" s="4" t="s">
        <v>3</v>
      </c>
      <c r="O95" s="4">
        <v>2</v>
      </c>
      <c r="P95" s="4"/>
      <c r="Q95" s="4"/>
      <c r="R95" s="4"/>
      <c r="S95" s="4"/>
      <c r="T95" s="4"/>
      <c r="U95" s="4"/>
      <c r="V95" s="4"/>
      <c r="W95" s="4"/>
    </row>
    <row r="96" spans="1:23">
      <c r="A96" s="4">
        <v>50</v>
      </c>
      <c r="B96" s="4">
        <v>0</v>
      </c>
      <c r="C96" s="4">
        <v>0</v>
      </c>
      <c r="D96" s="4">
        <v>1</v>
      </c>
      <c r="E96" s="4">
        <v>211</v>
      </c>
      <c r="F96" s="4">
        <f>ROUND(Source!Y69,O96)</f>
        <v>7273.57</v>
      </c>
      <c r="G96" s="4" t="s">
        <v>135</v>
      </c>
      <c r="H96" s="4" t="s">
        <v>136</v>
      </c>
      <c r="I96" s="4"/>
      <c r="J96" s="4"/>
      <c r="K96" s="4">
        <v>211</v>
      </c>
      <c r="L96" s="4">
        <v>26</v>
      </c>
      <c r="M96" s="4">
        <v>3</v>
      </c>
      <c r="N96" s="4" t="s">
        <v>3</v>
      </c>
      <c r="O96" s="4">
        <v>2</v>
      </c>
      <c r="P96" s="4"/>
      <c r="Q96" s="4"/>
      <c r="R96" s="4"/>
      <c r="S96" s="4"/>
      <c r="T96" s="4"/>
      <c r="U96" s="4"/>
      <c r="V96" s="4"/>
      <c r="W96" s="4"/>
    </row>
    <row r="97" spans="1:23">
      <c r="A97" s="4">
        <v>50</v>
      </c>
      <c r="B97" s="4">
        <v>0</v>
      </c>
      <c r="C97" s="4">
        <v>0</v>
      </c>
      <c r="D97" s="4">
        <v>1</v>
      </c>
      <c r="E97" s="4">
        <v>224</v>
      </c>
      <c r="F97" s="4">
        <f>ROUND(Source!AR69,O97)</f>
        <v>53640.639999999999</v>
      </c>
      <c r="G97" s="4" t="s">
        <v>137</v>
      </c>
      <c r="H97" s="4" t="s">
        <v>138</v>
      </c>
      <c r="I97" s="4"/>
      <c r="J97" s="4"/>
      <c r="K97" s="4">
        <v>224</v>
      </c>
      <c r="L97" s="4">
        <v>27</v>
      </c>
      <c r="M97" s="4">
        <v>3</v>
      </c>
      <c r="N97" s="4" t="s">
        <v>3</v>
      </c>
      <c r="O97" s="4">
        <v>2</v>
      </c>
      <c r="P97" s="4"/>
      <c r="Q97" s="4"/>
      <c r="R97" s="4"/>
      <c r="S97" s="4"/>
      <c r="T97" s="4"/>
      <c r="U97" s="4"/>
      <c r="V97" s="4"/>
      <c r="W97" s="4"/>
    </row>
    <row r="98" spans="1:23">
      <c r="A98" s="4">
        <v>50</v>
      </c>
      <c r="B98" s="4">
        <v>1</v>
      </c>
      <c r="C98" s="4">
        <v>0</v>
      </c>
      <c r="D98" s="4">
        <v>2</v>
      </c>
      <c r="E98" s="4">
        <v>0</v>
      </c>
      <c r="F98" s="4">
        <f>ROUND(F97*0.2,O98)</f>
        <v>10728.13</v>
      </c>
      <c r="G98" s="4" t="s">
        <v>139</v>
      </c>
      <c r="H98" s="4" t="s">
        <v>140</v>
      </c>
      <c r="I98" s="4"/>
      <c r="J98" s="4"/>
      <c r="K98" s="4">
        <v>212</v>
      </c>
      <c r="L98" s="4">
        <v>28</v>
      </c>
      <c r="M98" s="4">
        <v>0</v>
      </c>
      <c r="N98" s="4" t="s">
        <v>3</v>
      </c>
      <c r="O98" s="4">
        <v>2</v>
      </c>
      <c r="P98" s="4"/>
      <c r="Q98" s="4"/>
      <c r="R98" s="4"/>
      <c r="S98" s="4"/>
      <c r="T98" s="4"/>
      <c r="U98" s="4"/>
      <c r="V98" s="4"/>
      <c r="W98" s="4"/>
    </row>
    <row r="99" spans="1:23">
      <c r="A99" s="4">
        <v>50</v>
      </c>
      <c r="B99" s="4">
        <v>1</v>
      </c>
      <c r="C99" s="4">
        <v>0</v>
      </c>
      <c r="D99" s="4">
        <v>2</v>
      </c>
      <c r="E99" s="4">
        <v>213</v>
      </c>
      <c r="F99" s="4">
        <f>ROUND(F97+F98,O99)</f>
        <v>64368.77</v>
      </c>
      <c r="G99" s="4" t="s">
        <v>141</v>
      </c>
      <c r="H99" s="4" t="s">
        <v>141</v>
      </c>
      <c r="I99" s="4"/>
      <c r="J99" s="4"/>
      <c r="K99" s="4">
        <v>212</v>
      </c>
      <c r="L99" s="4">
        <v>29</v>
      </c>
      <c r="M99" s="4">
        <v>0</v>
      </c>
      <c r="N99" s="4" t="s">
        <v>3</v>
      </c>
      <c r="O99" s="4">
        <v>2</v>
      </c>
      <c r="P99" s="4"/>
      <c r="Q99" s="4"/>
      <c r="R99" s="4"/>
      <c r="S99" s="4"/>
      <c r="T99" s="4"/>
      <c r="U99" s="4"/>
      <c r="V99" s="4"/>
      <c r="W99" s="4"/>
    </row>
    <row r="102" spans="1:23">
      <c r="A102">
        <v>70</v>
      </c>
      <c r="B102">
        <v>1</v>
      </c>
      <c r="D102">
        <v>1</v>
      </c>
      <c r="E102" t="s">
        <v>142</v>
      </c>
      <c r="F102" t="s">
        <v>143</v>
      </c>
      <c r="G102">
        <v>0</v>
      </c>
      <c r="H102">
        <v>0</v>
      </c>
      <c r="I102" t="s">
        <v>3</v>
      </c>
      <c r="J102">
        <v>1</v>
      </c>
      <c r="K102">
        <v>0</v>
      </c>
      <c r="L102" t="s">
        <v>3</v>
      </c>
      <c r="M102" t="s">
        <v>3</v>
      </c>
      <c r="N102">
        <v>0</v>
      </c>
    </row>
    <row r="103" spans="1:23">
      <c r="A103">
        <v>70</v>
      </c>
      <c r="B103">
        <v>1</v>
      </c>
      <c r="D103">
        <v>2</v>
      </c>
      <c r="E103" t="s">
        <v>144</v>
      </c>
      <c r="F103" t="s">
        <v>145</v>
      </c>
      <c r="G103">
        <v>1</v>
      </c>
      <c r="H103">
        <v>0</v>
      </c>
      <c r="I103" t="s">
        <v>3</v>
      </c>
      <c r="J103">
        <v>1</v>
      </c>
      <c r="K103">
        <v>0</v>
      </c>
      <c r="L103" t="s">
        <v>3</v>
      </c>
      <c r="M103" t="s">
        <v>3</v>
      </c>
      <c r="N103">
        <v>0</v>
      </c>
    </row>
    <row r="104" spans="1:23">
      <c r="A104">
        <v>70</v>
      </c>
      <c r="B104">
        <v>1</v>
      </c>
      <c r="D104">
        <v>3</v>
      </c>
      <c r="E104" t="s">
        <v>146</v>
      </c>
      <c r="F104" t="s">
        <v>147</v>
      </c>
      <c r="G104">
        <v>0</v>
      </c>
      <c r="H104">
        <v>0</v>
      </c>
      <c r="I104" t="s">
        <v>3</v>
      </c>
      <c r="J104">
        <v>1</v>
      </c>
      <c r="K104">
        <v>0</v>
      </c>
      <c r="L104" t="s">
        <v>3</v>
      </c>
      <c r="M104" t="s">
        <v>3</v>
      </c>
      <c r="N104">
        <v>0</v>
      </c>
    </row>
    <row r="105" spans="1:23">
      <c r="A105">
        <v>70</v>
      </c>
      <c r="B105">
        <v>1</v>
      </c>
      <c r="D105">
        <v>4</v>
      </c>
      <c r="E105" t="s">
        <v>148</v>
      </c>
      <c r="F105" t="s">
        <v>149</v>
      </c>
      <c r="G105">
        <v>0</v>
      </c>
      <c r="H105">
        <v>0</v>
      </c>
      <c r="I105" t="s">
        <v>150</v>
      </c>
      <c r="J105">
        <v>0</v>
      </c>
      <c r="K105">
        <v>0</v>
      </c>
      <c r="L105" t="s">
        <v>3</v>
      </c>
      <c r="M105" t="s">
        <v>3</v>
      </c>
      <c r="N105">
        <v>0</v>
      </c>
    </row>
    <row r="106" spans="1:23">
      <c r="A106">
        <v>70</v>
      </c>
      <c r="B106">
        <v>1</v>
      </c>
      <c r="D106">
        <v>5</v>
      </c>
      <c r="E106" t="s">
        <v>151</v>
      </c>
      <c r="F106" t="s">
        <v>152</v>
      </c>
      <c r="G106">
        <v>0</v>
      </c>
      <c r="H106">
        <v>0</v>
      </c>
      <c r="I106" t="s">
        <v>153</v>
      </c>
      <c r="J106">
        <v>0</v>
      </c>
      <c r="K106">
        <v>0</v>
      </c>
      <c r="L106" t="s">
        <v>3</v>
      </c>
      <c r="M106" t="s">
        <v>3</v>
      </c>
      <c r="N106">
        <v>0</v>
      </c>
    </row>
    <row r="107" spans="1:23">
      <c r="A107">
        <v>70</v>
      </c>
      <c r="B107">
        <v>1</v>
      </c>
      <c r="D107">
        <v>6</v>
      </c>
      <c r="E107" t="s">
        <v>154</v>
      </c>
      <c r="F107" t="s">
        <v>155</v>
      </c>
      <c r="G107">
        <v>0</v>
      </c>
      <c r="H107">
        <v>0</v>
      </c>
      <c r="I107" t="s">
        <v>156</v>
      </c>
      <c r="J107">
        <v>0</v>
      </c>
      <c r="K107">
        <v>0</v>
      </c>
      <c r="L107" t="s">
        <v>3</v>
      </c>
      <c r="M107" t="s">
        <v>3</v>
      </c>
      <c r="N107">
        <v>0</v>
      </c>
    </row>
    <row r="108" spans="1:23">
      <c r="A108">
        <v>70</v>
      </c>
      <c r="B108">
        <v>1</v>
      </c>
      <c r="D108">
        <v>7</v>
      </c>
      <c r="E108" t="s">
        <v>157</v>
      </c>
      <c r="F108" t="s">
        <v>158</v>
      </c>
      <c r="G108">
        <v>1</v>
      </c>
      <c r="H108">
        <v>0</v>
      </c>
      <c r="I108" t="s">
        <v>3</v>
      </c>
      <c r="J108">
        <v>0</v>
      </c>
      <c r="K108">
        <v>0</v>
      </c>
      <c r="L108" t="s">
        <v>3</v>
      </c>
      <c r="M108" t="s">
        <v>3</v>
      </c>
      <c r="N108">
        <v>0</v>
      </c>
    </row>
    <row r="109" spans="1:23">
      <c r="A109">
        <v>70</v>
      </c>
      <c r="B109">
        <v>1</v>
      </c>
      <c r="D109">
        <v>8</v>
      </c>
      <c r="E109" t="s">
        <v>159</v>
      </c>
      <c r="F109" t="s">
        <v>160</v>
      </c>
      <c r="G109">
        <v>0</v>
      </c>
      <c r="H109">
        <v>0</v>
      </c>
      <c r="I109" t="s">
        <v>161</v>
      </c>
      <c r="J109">
        <v>0</v>
      </c>
      <c r="K109">
        <v>0</v>
      </c>
      <c r="L109" t="s">
        <v>3</v>
      </c>
      <c r="M109" t="s">
        <v>3</v>
      </c>
      <c r="N109">
        <v>0</v>
      </c>
    </row>
    <row r="110" spans="1:23">
      <c r="A110">
        <v>70</v>
      </c>
      <c r="B110">
        <v>1</v>
      </c>
      <c r="D110">
        <v>9</v>
      </c>
      <c r="E110" t="s">
        <v>162</v>
      </c>
      <c r="F110" t="s">
        <v>163</v>
      </c>
      <c r="G110">
        <v>0</v>
      </c>
      <c r="H110">
        <v>0</v>
      </c>
      <c r="I110" t="s">
        <v>164</v>
      </c>
      <c r="J110">
        <v>0</v>
      </c>
      <c r="K110">
        <v>0</v>
      </c>
      <c r="L110" t="s">
        <v>3</v>
      </c>
      <c r="M110" t="s">
        <v>3</v>
      </c>
      <c r="N110">
        <v>0</v>
      </c>
    </row>
    <row r="111" spans="1:23">
      <c r="A111">
        <v>70</v>
      </c>
      <c r="B111">
        <v>1</v>
      </c>
      <c r="D111">
        <v>10</v>
      </c>
      <c r="E111" t="s">
        <v>165</v>
      </c>
      <c r="F111" t="s">
        <v>166</v>
      </c>
      <c r="G111">
        <v>0</v>
      </c>
      <c r="H111">
        <v>0</v>
      </c>
      <c r="I111" t="s">
        <v>167</v>
      </c>
      <c r="J111">
        <v>0</v>
      </c>
      <c r="K111">
        <v>0</v>
      </c>
      <c r="L111" t="s">
        <v>3</v>
      </c>
      <c r="M111" t="s">
        <v>3</v>
      </c>
      <c r="N111">
        <v>0</v>
      </c>
    </row>
    <row r="112" spans="1:23">
      <c r="A112">
        <v>70</v>
      </c>
      <c r="B112">
        <v>1</v>
      </c>
      <c r="D112">
        <v>11</v>
      </c>
      <c r="E112" t="s">
        <v>168</v>
      </c>
      <c r="F112" t="s">
        <v>169</v>
      </c>
      <c r="G112">
        <v>0</v>
      </c>
      <c r="H112">
        <v>0</v>
      </c>
      <c r="I112" t="s">
        <v>170</v>
      </c>
      <c r="J112">
        <v>0</v>
      </c>
      <c r="K112">
        <v>0</v>
      </c>
      <c r="L112" t="s">
        <v>3</v>
      </c>
      <c r="M112" t="s">
        <v>3</v>
      </c>
      <c r="N112">
        <v>0</v>
      </c>
    </row>
    <row r="113" spans="1:14">
      <c r="A113">
        <v>70</v>
      </c>
      <c r="B113">
        <v>1</v>
      </c>
      <c r="D113">
        <v>12</v>
      </c>
      <c r="E113" t="s">
        <v>171</v>
      </c>
      <c r="F113" t="s">
        <v>172</v>
      </c>
      <c r="G113">
        <v>0</v>
      </c>
      <c r="H113">
        <v>0</v>
      </c>
      <c r="I113" t="s">
        <v>3</v>
      </c>
      <c r="J113">
        <v>0</v>
      </c>
      <c r="K113">
        <v>0</v>
      </c>
      <c r="L113" t="s">
        <v>3</v>
      </c>
      <c r="M113" t="s">
        <v>3</v>
      </c>
      <c r="N113">
        <v>0</v>
      </c>
    </row>
    <row r="114" spans="1:14">
      <c r="A114">
        <v>70</v>
      </c>
      <c r="B114">
        <v>1</v>
      </c>
      <c r="D114">
        <v>1</v>
      </c>
      <c r="E114" t="s">
        <v>173</v>
      </c>
      <c r="F114" t="s">
        <v>174</v>
      </c>
      <c r="G114">
        <v>0.9</v>
      </c>
      <c r="H114">
        <v>1</v>
      </c>
      <c r="I114" t="s">
        <v>175</v>
      </c>
      <c r="J114">
        <v>0</v>
      </c>
      <c r="K114">
        <v>0</v>
      </c>
      <c r="L114" t="s">
        <v>3</v>
      </c>
      <c r="M114" t="s">
        <v>3</v>
      </c>
      <c r="N114">
        <v>0</v>
      </c>
    </row>
    <row r="115" spans="1:14">
      <c r="A115">
        <v>70</v>
      </c>
      <c r="B115">
        <v>1</v>
      </c>
      <c r="D115">
        <v>2</v>
      </c>
      <c r="E115" t="s">
        <v>176</v>
      </c>
      <c r="F115" t="s">
        <v>177</v>
      </c>
      <c r="G115">
        <v>0.85</v>
      </c>
      <c r="H115">
        <v>1</v>
      </c>
      <c r="I115" t="s">
        <v>178</v>
      </c>
      <c r="J115">
        <v>0</v>
      </c>
      <c r="K115">
        <v>0</v>
      </c>
      <c r="L115" t="s">
        <v>3</v>
      </c>
      <c r="M115" t="s">
        <v>3</v>
      </c>
      <c r="N115">
        <v>0</v>
      </c>
    </row>
    <row r="116" spans="1:14">
      <c r="A116">
        <v>70</v>
      </c>
      <c r="B116">
        <v>1</v>
      </c>
      <c r="D116">
        <v>3</v>
      </c>
      <c r="E116" t="s">
        <v>179</v>
      </c>
      <c r="F116" t="s">
        <v>180</v>
      </c>
      <c r="G116">
        <v>1</v>
      </c>
      <c r="H116">
        <v>0.85</v>
      </c>
      <c r="I116" t="s">
        <v>181</v>
      </c>
      <c r="J116">
        <v>0</v>
      </c>
      <c r="K116">
        <v>0</v>
      </c>
      <c r="L116" t="s">
        <v>3</v>
      </c>
      <c r="M116" t="s">
        <v>3</v>
      </c>
      <c r="N116">
        <v>0</v>
      </c>
    </row>
    <row r="117" spans="1:14">
      <c r="A117">
        <v>70</v>
      </c>
      <c r="B117">
        <v>1</v>
      </c>
      <c r="D117">
        <v>4</v>
      </c>
      <c r="E117" t="s">
        <v>182</v>
      </c>
      <c r="F117" t="s">
        <v>183</v>
      </c>
      <c r="G117">
        <v>1</v>
      </c>
      <c r="H117">
        <v>0</v>
      </c>
      <c r="I117" t="s">
        <v>3</v>
      </c>
      <c r="J117">
        <v>0</v>
      </c>
      <c r="K117">
        <v>0</v>
      </c>
      <c r="L117" t="s">
        <v>3</v>
      </c>
      <c r="M117" t="s">
        <v>3</v>
      </c>
      <c r="N117">
        <v>0</v>
      </c>
    </row>
    <row r="118" spans="1:14">
      <c r="A118">
        <v>70</v>
      </c>
      <c r="B118">
        <v>1</v>
      </c>
      <c r="D118">
        <v>5</v>
      </c>
      <c r="E118" t="s">
        <v>184</v>
      </c>
      <c r="F118" t="s">
        <v>185</v>
      </c>
      <c r="G118">
        <v>1</v>
      </c>
      <c r="H118">
        <v>0.8</v>
      </c>
      <c r="I118" t="s">
        <v>186</v>
      </c>
      <c r="J118">
        <v>0</v>
      </c>
      <c r="K118">
        <v>0</v>
      </c>
      <c r="L118" t="s">
        <v>3</v>
      </c>
      <c r="M118" t="s">
        <v>3</v>
      </c>
      <c r="N118">
        <v>0</v>
      </c>
    </row>
    <row r="119" spans="1:14">
      <c r="A119">
        <v>70</v>
      </c>
      <c r="B119">
        <v>1</v>
      </c>
      <c r="D119">
        <v>6</v>
      </c>
      <c r="E119" t="s">
        <v>187</v>
      </c>
      <c r="F119" t="s">
        <v>188</v>
      </c>
      <c r="G119">
        <v>0.85</v>
      </c>
      <c r="H119">
        <v>0</v>
      </c>
      <c r="I119" t="s">
        <v>3</v>
      </c>
      <c r="J119">
        <v>0</v>
      </c>
      <c r="K119">
        <v>0</v>
      </c>
      <c r="L119" t="s">
        <v>3</v>
      </c>
      <c r="M119" t="s">
        <v>3</v>
      </c>
      <c r="N119">
        <v>0</v>
      </c>
    </row>
    <row r="120" spans="1:14">
      <c r="A120">
        <v>70</v>
      </c>
      <c r="B120">
        <v>1</v>
      </c>
      <c r="D120">
        <v>7</v>
      </c>
      <c r="E120" t="s">
        <v>189</v>
      </c>
      <c r="F120" t="s">
        <v>190</v>
      </c>
      <c r="G120">
        <v>0.8</v>
      </c>
      <c r="H120">
        <v>0</v>
      </c>
      <c r="I120" t="s">
        <v>3</v>
      </c>
      <c r="J120">
        <v>0</v>
      </c>
      <c r="K120">
        <v>0</v>
      </c>
      <c r="L120" t="s">
        <v>3</v>
      </c>
      <c r="M120" t="s">
        <v>3</v>
      </c>
      <c r="N120">
        <v>0</v>
      </c>
    </row>
    <row r="121" spans="1:14">
      <c r="A121">
        <v>70</v>
      </c>
      <c r="B121">
        <v>1</v>
      </c>
      <c r="D121">
        <v>8</v>
      </c>
      <c r="E121" t="s">
        <v>191</v>
      </c>
      <c r="F121" t="s">
        <v>192</v>
      </c>
      <c r="G121">
        <v>0.7</v>
      </c>
      <c r="H121">
        <v>0</v>
      </c>
      <c r="I121" t="s">
        <v>3</v>
      </c>
      <c r="J121">
        <v>0</v>
      </c>
      <c r="K121">
        <v>0</v>
      </c>
      <c r="L121" t="s">
        <v>3</v>
      </c>
      <c r="M121" t="s">
        <v>3</v>
      </c>
      <c r="N121">
        <v>0</v>
      </c>
    </row>
    <row r="122" spans="1:14">
      <c r="A122">
        <v>70</v>
      </c>
      <c r="B122">
        <v>1</v>
      </c>
      <c r="D122">
        <v>9</v>
      </c>
      <c r="E122" t="s">
        <v>193</v>
      </c>
      <c r="F122" t="s">
        <v>194</v>
      </c>
      <c r="G122">
        <v>0.9</v>
      </c>
      <c r="H122">
        <v>0</v>
      </c>
      <c r="I122" t="s">
        <v>3</v>
      </c>
      <c r="J122">
        <v>0</v>
      </c>
      <c r="K122">
        <v>0</v>
      </c>
      <c r="L122" t="s">
        <v>3</v>
      </c>
      <c r="M122" t="s">
        <v>3</v>
      </c>
      <c r="N122">
        <v>0</v>
      </c>
    </row>
    <row r="123" spans="1:14">
      <c r="A123">
        <v>70</v>
      </c>
      <c r="B123">
        <v>1</v>
      </c>
      <c r="D123">
        <v>10</v>
      </c>
      <c r="E123" t="s">
        <v>195</v>
      </c>
      <c r="F123" t="s">
        <v>196</v>
      </c>
      <c r="G123">
        <v>0.6</v>
      </c>
      <c r="H123">
        <v>0</v>
      </c>
      <c r="I123" t="s">
        <v>3</v>
      </c>
      <c r="J123">
        <v>0</v>
      </c>
      <c r="K123">
        <v>0</v>
      </c>
      <c r="L123" t="s">
        <v>3</v>
      </c>
      <c r="M123" t="s">
        <v>3</v>
      </c>
      <c r="N123">
        <v>0</v>
      </c>
    </row>
    <row r="124" spans="1:14">
      <c r="A124">
        <v>70</v>
      </c>
      <c r="B124">
        <v>1</v>
      </c>
      <c r="D124">
        <v>11</v>
      </c>
      <c r="E124" t="s">
        <v>197</v>
      </c>
      <c r="F124" t="s">
        <v>198</v>
      </c>
      <c r="G124">
        <v>1.2</v>
      </c>
      <c r="H124">
        <v>0</v>
      </c>
      <c r="I124" t="s">
        <v>3</v>
      </c>
      <c r="J124">
        <v>0</v>
      </c>
      <c r="K124">
        <v>0</v>
      </c>
      <c r="L124" t="s">
        <v>3</v>
      </c>
      <c r="M124" t="s">
        <v>3</v>
      </c>
      <c r="N124">
        <v>0</v>
      </c>
    </row>
    <row r="125" spans="1:14">
      <c r="A125">
        <v>70</v>
      </c>
      <c r="B125">
        <v>1</v>
      </c>
      <c r="D125">
        <v>12</v>
      </c>
      <c r="E125" t="s">
        <v>199</v>
      </c>
      <c r="F125" t="s">
        <v>200</v>
      </c>
      <c r="G125">
        <v>0</v>
      </c>
      <c r="H125">
        <v>0</v>
      </c>
      <c r="I125" t="s">
        <v>3</v>
      </c>
      <c r="J125">
        <v>0</v>
      </c>
      <c r="K125">
        <v>0</v>
      </c>
      <c r="L125" t="s">
        <v>3</v>
      </c>
      <c r="M125" t="s">
        <v>3</v>
      </c>
      <c r="N125">
        <v>0</v>
      </c>
    </row>
    <row r="126" spans="1:14">
      <c r="A126">
        <v>70</v>
      </c>
      <c r="B126">
        <v>1</v>
      </c>
      <c r="D126">
        <v>13</v>
      </c>
      <c r="E126" t="s">
        <v>201</v>
      </c>
      <c r="F126" t="s">
        <v>202</v>
      </c>
      <c r="G126">
        <v>1</v>
      </c>
      <c r="H126">
        <v>0</v>
      </c>
      <c r="I126" t="s">
        <v>3</v>
      </c>
      <c r="J126">
        <v>0</v>
      </c>
      <c r="K126">
        <v>0</v>
      </c>
      <c r="L126" t="s">
        <v>3</v>
      </c>
      <c r="M126" t="s">
        <v>3</v>
      </c>
      <c r="N126">
        <v>0</v>
      </c>
    </row>
    <row r="128" spans="1:14">
      <c r="A128">
        <v>-1</v>
      </c>
    </row>
    <row r="130" spans="1:40">
      <c r="A130" s="3">
        <v>75</v>
      </c>
      <c r="B130" s="3" t="s">
        <v>203</v>
      </c>
      <c r="C130" s="3">
        <v>2020</v>
      </c>
      <c r="D130" s="3">
        <v>0</v>
      </c>
      <c r="E130" s="3">
        <v>3</v>
      </c>
      <c r="F130" s="3"/>
      <c r="G130" s="3">
        <v>0</v>
      </c>
      <c r="H130" s="3">
        <v>1</v>
      </c>
      <c r="I130" s="3">
        <v>0</v>
      </c>
      <c r="J130" s="3">
        <v>3</v>
      </c>
      <c r="K130" s="3">
        <v>0</v>
      </c>
      <c r="L130" s="3">
        <v>0</v>
      </c>
      <c r="M130" s="3">
        <v>0</v>
      </c>
      <c r="N130" s="3">
        <v>34944170</v>
      </c>
      <c r="O130" s="3">
        <v>1</v>
      </c>
    </row>
    <row r="131" spans="1:40">
      <c r="A131" s="5">
        <v>1</v>
      </c>
      <c r="B131" s="5" t="s">
        <v>204</v>
      </c>
      <c r="C131" s="5" t="s">
        <v>205</v>
      </c>
      <c r="D131" s="5">
        <v>2020</v>
      </c>
      <c r="E131" s="5">
        <v>2</v>
      </c>
      <c r="F131" s="5">
        <v>1</v>
      </c>
      <c r="G131" s="5">
        <v>1</v>
      </c>
      <c r="H131" s="5">
        <v>0</v>
      </c>
      <c r="I131" s="5">
        <v>2</v>
      </c>
      <c r="J131" s="5">
        <v>1</v>
      </c>
      <c r="K131" s="5">
        <v>1</v>
      </c>
      <c r="L131" s="5">
        <v>1</v>
      </c>
      <c r="M131" s="5">
        <v>1</v>
      </c>
      <c r="N131" s="5">
        <v>1</v>
      </c>
      <c r="O131" s="5">
        <v>1</v>
      </c>
      <c r="P131" s="5">
        <v>1</v>
      </c>
      <c r="Q131" s="5">
        <v>1</v>
      </c>
      <c r="R131" s="5" t="s">
        <v>3</v>
      </c>
      <c r="S131" s="5" t="s">
        <v>3</v>
      </c>
      <c r="T131" s="5" t="s">
        <v>3</v>
      </c>
      <c r="U131" s="5" t="s">
        <v>3</v>
      </c>
      <c r="V131" s="5" t="s">
        <v>3</v>
      </c>
      <c r="W131" s="5" t="s">
        <v>3</v>
      </c>
      <c r="X131" s="5" t="s">
        <v>3</v>
      </c>
      <c r="Y131" s="5" t="s">
        <v>3</v>
      </c>
      <c r="Z131" s="5" t="s">
        <v>3</v>
      </c>
      <c r="AA131" s="5" t="s">
        <v>3</v>
      </c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>
        <v>34944171</v>
      </c>
    </row>
    <row r="132" spans="1:40">
      <c r="A132" s="5">
        <v>2</v>
      </c>
      <c r="B132" s="5" t="s">
        <v>206</v>
      </c>
      <c r="C132" s="5" t="s">
        <v>207</v>
      </c>
      <c r="D132" s="5">
        <v>0</v>
      </c>
      <c r="E132" s="5">
        <v>0</v>
      </c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>
        <v>34944172</v>
      </c>
    </row>
    <row r="136" spans="1:40">
      <c r="A136">
        <v>65</v>
      </c>
      <c r="C136">
        <v>1</v>
      </c>
      <c r="D136">
        <v>0</v>
      </c>
      <c r="E136">
        <v>245</v>
      </c>
    </row>
  </sheetData>
  <printOptions gridLines="1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C55"/>
  <sheetViews>
    <sheetView workbookViewId="0"/>
  </sheetViews>
  <sheetFormatPr defaultColWidth="9.140625" defaultRowHeight="12.75"/>
  <cols>
    <col min="1" max="256" width="9.140625" customWidth="1"/>
  </cols>
  <sheetData>
    <row r="1" spans="1:133">
      <c r="A1">
        <v>0</v>
      </c>
      <c r="B1" t="s">
        <v>0</v>
      </c>
      <c r="D1" t="s">
        <v>208</v>
      </c>
      <c r="F1">
        <v>0</v>
      </c>
      <c r="G1">
        <v>0</v>
      </c>
      <c r="H1">
        <v>0</v>
      </c>
      <c r="I1" t="s">
        <v>2</v>
      </c>
      <c r="J1" t="s">
        <v>3</v>
      </c>
      <c r="K1">
        <v>1</v>
      </c>
      <c r="L1">
        <v>58436</v>
      </c>
      <c r="M1">
        <v>10</v>
      </c>
      <c r="N1">
        <v>11</v>
      </c>
      <c r="O1">
        <v>3</v>
      </c>
      <c r="P1">
        <v>0</v>
      </c>
      <c r="Q1">
        <v>0</v>
      </c>
    </row>
    <row r="12" spans="1:133">
      <c r="A12" s="1">
        <v>1</v>
      </c>
      <c r="B12" s="1">
        <v>53</v>
      </c>
      <c r="C12" s="1">
        <v>0</v>
      </c>
      <c r="D12" s="1"/>
      <c r="E12" s="1">
        <v>0</v>
      </c>
      <c r="F12" s="1" t="s">
        <v>4</v>
      </c>
      <c r="G12" s="1" t="s">
        <v>5</v>
      </c>
      <c r="H12" s="1" t="s">
        <v>3</v>
      </c>
      <c r="I12" s="1">
        <v>0</v>
      </c>
      <c r="J12" s="1" t="s">
        <v>3</v>
      </c>
      <c r="K12" s="1">
        <v>0</v>
      </c>
      <c r="L12" s="1">
        <v>0</v>
      </c>
      <c r="M12" s="1">
        <v>2</v>
      </c>
      <c r="N12" s="1"/>
      <c r="O12" s="1">
        <v>0</v>
      </c>
      <c r="P12" s="1">
        <v>0</v>
      </c>
      <c r="Q12" s="1">
        <v>0</v>
      </c>
      <c r="R12" s="1">
        <v>0</v>
      </c>
      <c r="S12" s="1"/>
      <c r="T12" s="1">
        <v>1</v>
      </c>
      <c r="U12" s="1" t="s">
        <v>3</v>
      </c>
      <c r="V12" s="1">
        <v>0</v>
      </c>
      <c r="W12" s="1" t="s">
        <v>3</v>
      </c>
      <c r="X12" s="1" t="s">
        <v>3</v>
      </c>
      <c r="Y12" s="1" t="s">
        <v>3</v>
      </c>
      <c r="Z12" s="1" t="s">
        <v>3</v>
      </c>
      <c r="AA12" s="1" t="s">
        <v>3</v>
      </c>
      <c r="AB12" s="1" t="s">
        <v>3</v>
      </c>
      <c r="AC12" s="1" t="s">
        <v>3</v>
      </c>
      <c r="AD12" s="1" t="s">
        <v>3</v>
      </c>
      <c r="AE12" s="1" t="s">
        <v>3</v>
      </c>
      <c r="AF12" s="1" t="s">
        <v>3</v>
      </c>
      <c r="AG12" s="1" t="s">
        <v>3</v>
      </c>
      <c r="AH12" s="1" t="s">
        <v>3</v>
      </c>
      <c r="AI12" s="1" t="s">
        <v>3</v>
      </c>
      <c r="AJ12" s="1" t="s">
        <v>3</v>
      </c>
      <c r="AK12" s="1"/>
      <c r="AL12" s="1" t="s">
        <v>3</v>
      </c>
      <c r="AM12" s="1" t="s">
        <v>3</v>
      </c>
      <c r="AN12" s="1" t="s">
        <v>3</v>
      </c>
      <c r="AO12" s="1"/>
      <c r="AP12" s="1" t="s">
        <v>3</v>
      </c>
      <c r="AQ12" s="1" t="s">
        <v>3</v>
      </c>
      <c r="AR12" s="1" t="s">
        <v>3</v>
      </c>
      <c r="AS12" s="1"/>
      <c r="AT12" s="1"/>
      <c r="AU12" s="1"/>
      <c r="AV12" s="1"/>
      <c r="AW12" s="1"/>
      <c r="AX12" s="1" t="s">
        <v>3</v>
      </c>
      <c r="AY12" s="1" t="s">
        <v>3</v>
      </c>
      <c r="AZ12" s="1" t="s">
        <v>3</v>
      </c>
      <c r="BA12" s="1"/>
      <c r="BB12" s="1">
        <v>0</v>
      </c>
      <c r="BC12" s="1"/>
      <c r="BD12" s="1"/>
      <c r="BE12" s="1"/>
      <c r="BF12" s="1"/>
      <c r="BG12" s="1"/>
      <c r="BH12" s="1" t="s">
        <v>6</v>
      </c>
      <c r="BI12" s="1" t="s">
        <v>7</v>
      </c>
      <c r="BJ12" s="1">
        <v>1</v>
      </c>
      <c r="BK12" s="1">
        <v>1</v>
      </c>
      <c r="BL12" s="1">
        <v>0</v>
      </c>
      <c r="BM12" s="1">
        <v>0</v>
      </c>
      <c r="BN12" s="1">
        <v>1</v>
      </c>
      <c r="BO12" s="1">
        <v>0</v>
      </c>
      <c r="BP12" s="1">
        <v>6</v>
      </c>
      <c r="BQ12" s="1">
        <v>2</v>
      </c>
      <c r="BR12" s="1">
        <v>1</v>
      </c>
      <c r="BS12" s="1">
        <v>1</v>
      </c>
      <c r="BT12" s="1">
        <v>0</v>
      </c>
      <c r="BU12" s="1">
        <v>0</v>
      </c>
      <c r="BV12" s="1">
        <v>0</v>
      </c>
      <c r="BW12" s="1">
        <v>0</v>
      </c>
      <c r="BX12" s="1">
        <v>0</v>
      </c>
      <c r="BY12" s="1" t="s">
        <v>8</v>
      </c>
      <c r="BZ12" s="1" t="s">
        <v>9</v>
      </c>
      <c r="CA12" s="1" t="s">
        <v>10</v>
      </c>
      <c r="CB12" s="1" t="s">
        <v>10</v>
      </c>
      <c r="CC12" s="1" t="s">
        <v>10</v>
      </c>
      <c r="CD12" s="1" t="s">
        <v>10</v>
      </c>
      <c r="CE12" s="1" t="s">
        <v>11</v>
      </c>
      <c r="CF12" s="1">
        <v>0</v>
      </c>
      <c r="CG12" s="1">
        <v>0</v>
      </c>
      <c r="CH12" s="1">
        <v>8200</v>
      </c>
      <c r="CI12" s="1" t="s">
        <v>3</v>
      </c>
      <c r="CJ12" s="1" t="s">
        <v>3</v>
      </c>
      <c r="CK12" s="1">
        <v>1</v>
      </c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>
        <v>0</v>
      </c>
    </row>
    <row r="14" spans="1:133">
      <c r="A14" s="1">
        <v>22</v>
      </c>
      <c r="B14" s="1">
        <v>0</v>
      </c>
      <c r="C14" s="1">
        <v>0</v>
      </c>
      <c r="D14" s="1">
        <v>34944170</v>
      </c>
      <c r="E14" s="1">
        <v>0</v>
      </c>
      <c r="F14" s="1">
        <v>3</v>
      </c>
      <c r="G14" s="1"/>
      <c r="H14" s="1"/>
      <c r="I14" s="1"/>
      <c r="J14" s="1"/>
      <c r="K14" s="1"/>
      <c r="L14" s="1"/>
      <c r="M14" s="1"/>
      <c r="N14" s="1"/>
      <c r="O14" s="1"/>
    </row>
    <row r="16" spans="1:133">
      <c r="A16" s="6">
        <v>3</v>
      </c>
      <c r="B16" s="6">
        <v>1</v>
      </c>
      <c r="C16" s="6" t="s">
        <v>12</v>
      </c>
      <c r="D16" s="6" t="s">
        <v>12</v>
      </c>
      <c r="E16" s="7">
        <f>(Source!F56)/1000</f>
        <v>1.4464999999999999</v>
      </c>
      <c r="F16" s="7">
        <f>(Source!F57)/1000</f>
        <v>52.194139999999997</v>
      </c>
      <c r="G16" s="7">
        <f>(Source!F48)/1000</f>
        <v>0</v>
      </c>
      <c r="H16" s="7">
        <f>(Source!F58)/1000+(Source!F59)/1000</f>
        <v>0</v>
      </c>
      <c r="I16" s="7">
        <f>E16+F16+G16+H16</f>
        <v>53.640639999999998</v>
      </c>
      <c r="J16" s="7">
        <f>(Source!F54)/1000</f>
        <v>11.68042</v>
      </c>
      <c r="AI16" s="6">
        <v>0</v>
      </c>
      <c r="AJ16" s="6">
        <v>0</v>
      </c>
      <c r="AK16" s="6" t="s">
        <v>3</v>
      </c>
      <c r="AL16" s="6" t="s">
        <v>3</v>
      </c>
      <c r="AM16" s="6" t="s">
        <v>3</v>
      </c>
      <c r="AN16" s="6">
        <v>0</v>
      </c>
      <c r="AO16" s="6" t="s">
        <v>3</v>
      </c>
      <c r="AP16" s="6" t="s">
        <v>3</v>
      </c>
      <c r="AT16" s="7">
        <v>36235.67</v>
      </c>
      <c r="AU16" s="7">
        <v>24252.03</v>
      </c>
      <c r="AV16" s="7">
        <v>0</v>
      </c>
      <c r="AW16" s="7">
        <v>0</v>
      </c>
      <c r="AX16" s="7">
        <v>0</v>
      </c>
      <c r="AY16" s="7">
        <v>303.22000000000003</v>
      </c>
      <c r="AZ16" s="7">
        <v>8.89</v>
      </c>
      <c r="BA16" s="7">
        <v>11680.42</v>
      </c>
      <c r="BB16" s="7">
        <v>1446.5</v>
      </c>
      <c r="BC16" s="7">
        <v>52194.14</v>
      </c>
      <c r="BD16" s="7">
        <v>0</v>
      </c>
      <c r="BE16" s="7">
        <v>0</v>
      </c>
      <c r="BF16" s="7">
        <v>40.202400000000004</v>
      </c>
      <c r="BG16" s="7">
        <v>2.1000000000000001E-2</v>
      </c>
      <c r="BH16" s="7">
        <v>8.7200000000000006</v>
      </c>
      <c r="BI16" s="7">
        <v>10131.4</v>
      </c>
      <c r="BJ16" s="7">
        <v>7273.57</v>
      </c>
      <c r="BK16" s="7">
        <v>53640.639999999999</v>
      </c>
    </row>
    <row r="18" spans="1:19">
      <c r="A18">
        <v>51</v>
      </c>
      <c r="E18" s="8">
        <f>SUMIF(A16:A17,3,E16:E17)</f>
        <v>1.4464999999999999</v>
      </c>
      <c r="F18" s="8">
        <f>SUMIF(A16:A17,3,F16:F17)</f>
        <v>52.194139999999997</v>
      </c>
      <c r="G18" s="8">
        <f>SUMIF(A16:A17,3,G16:G17)</f>
        <v>0</v>
      </c>
      <c r="H18" s="8">
        <f>SUMIF(A16:A17,3,H16:H17)</f>
        <v>0</v>
      </c>
      <c r="I18" s="8">
        <f>SUMIF(A16:A17,3,I16:I17)</f>
        <v>53.640639999999998</v>
      </c>
      <c r="J18" s="8">
        <f>SUMIF(A16:A17,3,J16:J17)</f>
        <v>11.68042</v>
      </c>
      <c r="K18" s="8"/>
      <c r="L18" s="8"/>
      <c r="M18" s="8"/>
      <c r="N18" s="8"/>
      <c r="O18" s="8"/>
      <c r="P18" s="8"/>
      <c r="Q18" s="8"/>
      <c r="R18" s="8"/>
      <c r="S18" s="8"/>
    </row>
    <row r="20" spans="1:19">
      <c r="A20" s="4">
        <v>50</v>
      </c>
      <c r="B20" s="4">
        <v>0</v>
      </c>
      <c r="C20" s="4">
        <v>0</v>
      </c>
      <c r="D20" s="4">
        <v>1</v>
      </c>
      <c r="E20" s="4">
        <v>201</v>
      </c>
      <c r="F20" s="4">
        <v>36235.67</v>
      </c>
      <c r="G20" s="4" t="s">
        <v>85</v>
      </c>
      <c r="H20" s="4" t="s">
        <v>86</v>
      </c>
      <c r="I20" s="4"/>
      <c r="J20" s="4"/>
      <c r="K20" s="4">
        <v>201</v>
      </c>
      <c r="L20" s="4">
        <v>1</v>
      </c>
      <c r="M20" s="4">
        <v>3</v>
      </c>
      <c r="N20" s="4" t="s">
        <v>3</v>
      </c>
      <c r="O20" s="4">
        <v>2</v>
      </c>
      <c r="P20" s="4"/>
    </row>
    <row r="21" spans="1:19">
      <c r="A21" s="4">
        <v>50</v>
      </c>
      <c r="B21" s="4">
        <v>0</v>
      </c>
      <c r="C21" s="4">
        <v>0</v>
      </c>
      <c r="D21" s="4">
        <v>1</v>
      </c>
      <c r="E21" s="4">
        <v>202</v>
      </c>
      <c r="F21" s="4">
        <v>24252.03</v>
      </c>
      <c r="G21" s="4" t="s">
        <v>87</v>
      </c>
      <c r="H21" s="4" t="s">
        <v>88</v>
      </c>
      <c r="I21" s="4"/>
      <c r="J21" s="4"/>
      <c r="K21" s="4">
        <v>202</v>
      </c>
      <c r="L21" s="4">
        <v>2</v>
      </c>
      <c r="M21" s="4">
        <v>3</v>
      </c>
      <c r="N21" s="4" t="s">
        <v>3</v>
      </c>
      <c r="O21" s="4">
        <v>2</v>
      </c>
      <c r="P21" s="4"/>
    </row>
    <row r="22" spans="1:19">
      <c r="A22" s="4">
        <v>50</v>
      </c>
      <c r="B22" s="4">
        <v>0</v>
      </c>
      <c r="C22" s="4">
        <v>0</v>
      </c>
      <c r="D22" s="4">
        <v>1</v>
      </c>
      <c r="E22" s="4">
        <v>222</v>
      </c>
      <c r="F22" s="4">
        <v>0</v>
      </c>
      <c r="G22" s="4" t="s">
        <v>89</v>
      </c>
      <c r="H22" s="4" t="s">
        <v>90</v>
      </c>
      <c r="I22" s="4"/>
      <c r="J22" s="4"/>
      <c r="K22" s="4">
        <v>222</v>
      </c>
      <c r="L22" s="4">
        <v>3</v>
      </c>
      <c r="M22" s="4">
        <v>3</v>
      </c>
      <c r="N22" s="4" t="s">
        <v>3</v>
      </c>
      <c r="O22" s="4">
        <v>2</v>
      </c>
      <c r="P22" s="4"/>
    </row>
    <row r="23" spans="1:19">
      <c r="A23" s="4">
        <v>50</v>
      </c>
      <c r="B23" s="4">
        <v>0</v>
      </c>
      <c r="C23" s="4">
        <v>0</v>
      </c>
      <c r="D23" s="4">
        <v>1</v>
      </c>
      <c r="E23" s="4">
        <v>225</v>
      </c>
      <c r="F23" s="4">
        <v>24252.03</v>
      </c>
      <c r="G23" s="4" t="s">
        <v>91</v>
      </c>
      <c r="H23" s="4" t="s">
        <v>92</v>
      </c>
      <c r="I23" s="4"/>
      <c r="J23" s="4"/>
      <c r="K23" s="4">
        <v>225</v>
      </c>
      <c r="L23" s="4">
        <v>4</v>
      </c>
      <c r="M23" s="4">
        <v>3</v>
      </c>
      <c r="N23" s="4" t="s">
        <v>3</v>
      </c>
      <c r="O23" s="4">
        <v>2</v>
      </c>
      <c r="P23" s="4"/>
    </row>
    <row r="24" spans="1:19">
      <c r="A24" s="4">
        <v>50</v>
      </c>
      <c r="B24" s="4">
        <v>0</v>
      </c>
      <c r="C24" s="4">
        <v>0</v>
      </c>
      <c r="D24" s="4">
        <v>1</v>
      </c>
      <c r="E24" s="4">
        <v>226</v>
      </c>
      <c r="F24" s="4">
        <v>24252.03</v>
      </c>
      <c r="G24" s="4" t="s">
        <v>93</v>
      </c>
      <c r="H24" s="4" t="s">
        <v>94</v>
      </c>
      <c r="I24" s="4"/>
      <c r="J24" s="4"/>
      <c r="K24" s="4">
        <v>226</v>
      </c>
      <c r="L24" s="4">
        <v>5</v>
      </c>
      <c r="M24" s="4">
        <v>3</v>
      </c>
      <c r="N24" s="4" t="s">
        <v>3</v>
      </c>
      <c r="O24" s="4">
        <v>2</v>
      </c>
      <c r="P24" s="4"/>
    </row>
    <row r="25" spans="1:19">
      <c r="A25" s="4">
        <v>50</v>
      </c>
      <c r="B25" s="4">
        <v>0</v>
      </c>
      <c r="C25" s="4">
        <v>0</v>
      </c>
      <c r="D25" s="4">
        <v>1</v>
      </c>
      <c r="E25" s="4">
        <v>227</v>
      </c>
      <c r="F25" s="4">
        <v>0</v>
      </c>
      <c r="G25" s="4" t="s">
        <v>95</v>
      </c>
      <c r="H25" s="4" t="s">
        <v>96</v>
      </c>
      <c r="I25" s="4"/>
      <c r="J25" s="4"/>
      <c r="K25" s="4">
        <v>227</v>
      </c>
      <c r="L25" s="4">
        <v>6</v>
      </c>
      <c r="M25" s="4">
        <v>3</v>
      </c>
      <c r="N25" s="4" t="s">
        <v>3</v>
      </c>
      <c r="O25" s="4">
        <v>2</v>
      </c>
      <c r="P25" s="4"/>
    </row>
    <row r="26" spans="1:19">
      <c r="A26" s="4">
        <v>50</v>
      </c>
      <c r="B26" s="4">
        <v>0</v>
      </c>
      <c r="C26" s="4">
        <v>0</v>
      </c>
      <c r="D26" s="4">
        <v>1</v>
      </c>
      <c r="E26" s="4">
        <v>228</v>
      </c>
      <c r="F26" s="4">
        <v>24252.03</v>
      </c>
      <c r="G26" s="4" t="s">
        <v>97</v>
      </c>
      <c r="H26" s="4" t="s">
        <v>98</v>
      </c>
      <c r="I26" s="4"/>
      <c r="J26" s="4"/>
      <c r="K26" s="4">
        <v>228</v>
      </c>
      <c r="L26" s="4">
        <v>7</v>
      </c>
      <c r="M26" s="4">
        <v>3</v>
      </c>
      <c r="N26" s="4" t="s">
        <v>3</v>
      </c>
      <c r="O26" s="4">
        <v>2</v>
      </c>
      <c r="P26" s="4"/>
    </row>
    <row r="27" spans="1:19">
      <c r="A27" s="4">
        <v>50</v>
      </c>
      <c r="B27" s="4">
        <v>0</v>
      </c>
      <c r="C27" s="4">
        <v>0</v>
      </c>
      <c r="D27" s="4">
        <v>1</v>
      </c>
      <c r="E27" s="4">
        <v>216</v>
      </c>
      <c r="F27" s="4">
        <v>0</v>
      </c>
      <c r="G27" s="4" t="s">
        <v>99</v>
      </c>
      <c r="H27" s="4" t="s">
        <v>100</v>
      </c>
      <c r="I27" s="4"/>
      <c r="J27" s="4"/>
      <c r="K27" s="4">
        <v>216</v>
      </c>
      <c r="L27" s="4">
        <v>8</v>
      </c>
      <c r="M27" s="4">
        <v>3</v>
      </c>
      <c r="N27" s="4" t="s">
        <v>3</v>
      </c>
      <c r="O27" s="4">
        <v>2</v>
      </c>
      <c r="P27" s="4"/>
    </row>
    <row r="28" spans="1:19">
      <c r="A28" s="4">
        <v>50</v>
      </c>
      <c r="B28" s="4">
        <v>0</v>
      </c>
      <c r="C28" s="4">
        <v>0</v>
      </c>
      <c r="D28" s="4">
        <v>1</v>
      </c>
      <c r="E28" s="4">
        <v>223</v>
      </c>
      <c r="F28" s="4">
        <v>0</v>
      </c>
      <c r="G28" s="4" t="s">
        <v>101</v>
      </c>
      <c r="H28" s="4" t="s">
        <v>102</v>
      </c>
      <c r="I28" s="4"/>
      <c r="J28" s="4"/>
      <c r="K28" s="4">
        <v>223</v>
      </c>
      <c r="L28" s="4">
        <v>9</v>
      </c>
      <c r="M28" s="4">
        <v>3</v>
      </c>
      <c r="N28" s="4" t="s">
        <v>3</v>
      </c>
      <c r="O28" s="4">
        <v>2</v>
      </c>
      <c r="P28" s="4"/>
    </row>
    <row r="29" spans="1:19">
      <c r="A29" s="4">
        <v>50</v>
      </c>
      <c r="B29" s="4">
        <v>0</v>
      </c>
      <c r="C29" s="4">
        <v>0</v>
      </c>
      <c r="D29" s="4">
        <v>1</v>
      </c>
      <c r="E29" s="4">
        <v>229</v>
      </c>
      <c r="F29" s="4">
        <v>0</v>
      </c>
      <c r="G29" s="4" t="s">
        <v>103</v>
      </c>
      <c r="H29" s="4" t="s">
        <v>104</v>
      </c>
      <c r="I29" s="4"/>
      <c r="J29" s="4"/>
      <c r="K29" s="4">
        <v>229</v>
      </c>
      <c r="L29" s="4">
        <v>10</v>
      </c>
      <c r="M29" s="4">
        <v>3</v>
      </c>
      <c r="N29" s="4" t="s">
        <v>3</v>
      </c>
      <c r="O29" s="4">
        <v>2</v>
      </c>
      <c r="P29" s="4"/>
    </row>
    <row r="30" spans="1:19">
      <c r="A30" s="4">
        <v>50</v>
      </c>
      <c r="B30" s="4">
        <v>0</v>
      </c>
      <c r="C30" s="4">
        <v>0</v>
      </c>
      <c r="D30" s="4">
        <v>1</v>
      </c>
      <c r="E30" s="4">
        <v>203</v>
      </c>
      <c r="F30" s="4">
        <v>303.22000000000003</v>
      </c>
      <c r="G30" s="4" t="s">
        <v>105</v>
      </c>
      <c r="H30" s="4" t="s">
        <v>106</v>
      </c>
      <c r="I30" s="4"/>
      <c r="J30" s="4"/>
      <c r="K30" s="4">
        <v>203</v>
      </c>
      <c r="L30" s="4">
        <v>11</v>
      </c>
      <c r="M30" s="4">
        <v>3</v>
      </c>
      <c r="N30" s="4" t="s">
        <v>3</v>
      </c>
      <c r="O30" s="4">
        <v>2</v>
      </c>
      <c r="P30" s="4"/>
    </row>
    <row r="31" spans="1:19">
      <c r="A31" s="4">
        <v>50</v>
      </c>
      <c r="B31" s="4">
        <v>0</v>
      </c>
      <c r="C31" s="4">
        <v>0</v>
      </c>
      <c r="D31" s="4">
        <v>1</v>
      </c>
      <c r="E31" s="4">
        <v>231</v>
      </c>
      <c r="F31" s="4">
        <v>0</v>
      </c>
      <c r="G31" s="4" t="s">
        <v>107</v>
      </c>
      <c r="H31" s="4" t="s">
        <v>108</v>
      </c>
      <c r="I31" s="4"/>
      <c r="J31" s="4"/>
      <c r="K31" s="4">
        <v>231</v>
      </c>
      <c r="L31" s="4">
        <v>12</v>
      </c>
      <c r="M31" s="4">
        <v>3</v>
      </c>
      <c r="N31" s="4" t="s">
        <v>3</v>
      </c>
      <c r="O31" s="4">
        <v>2</v>
      </c>
      <c r="P31" s="4"/>
    </row>
    <row r="32" spans="1:19">
      <c r="A32" s="4">
        <v>50</v>
      </c>
      <c r="B32" s="4">
        <v>0</v>
      </c>
      <c r="C32" s="4">
        <v>0</v>
      </c>
      <c r="D32" s="4">
        <v>1</v>
      </c>
      <c r="E32" s="4">
        <v>204</v>
      </c>
      <c r="F32" s="4">
        <v>8.89</v>
      </c>
      <c r="G32" s="4" t="s">
        <v>109</v>
      </c>
      <c r="H32" s="4" t="s">
        <v>110</v>
      </c>
      <c r="I32" s="4"/>
      <c r="J32" s="4"/>
      <c r="K32" s="4">
        <v>204</v>
      </c>
      <c r="L32" s="4">
        <v>13</v>
      </c>
      <c r="M32" s="4">
        <v>3</v>
      </c>
      <c r="N32" s="4" t="s">
        <v>3</v>
      </c>
      <c r="O32" s="4">
        <v>2</v>
      </c>
      <c r="P32" s="4"/>
    </row>
    <row r="33" spans="1:16">
      <c r="A33" s="4">
        <v>50</v>
      </c>
      <c r="B33" s="4">
        <v>0</v>
      </c>
      <c r="C33" s="4">
        <v>0</v>
      </c>
      <c r="D33" s="4">
        <v>1</v>
      </c>
      <c r="E33" s="4">
        <v>205</v>
      </c>
      <c r="F33" s="4">
        <v>11680.42</v>
      </c>
      <c r="G33" s="4" t="s">
        <v>111</v>
      </c>
      <c r="H33" s="4" t="s">
        <v>112</v>
      </c>
      <c r="I33" s="4"/>
      <c r="J33" s="4"/>
      <c r="K33" s="4">
        <v>205</v>
      </c>
      <c r="L33" s="4">
        <v>14</v>
      </c>
      <c r="M33" s="4">
        <v>3</v>
      </c>
      <c r="N33" s="4" t="s">
        <v>3</v>
      </c>
      <c r="O33" s="4">
        <v>2</v>
      </c>
      <c r="P33" s="4"/>
    </row>
    <row r="34" spans="1:16">
      <c r="A34" s="4">
        <v>50</v>
      </c>
      <c r="B34" s="4">
        <v>0</v>
      </c>
      <c r="C34" s="4">
        <v>0</v>
      </c>
      <c r="D34" s="4">
        <v>1</v>
      </c>
      <c r="E34" s="4">
        <v>232</v>
      </c>
      <c r="F34" s="4">
        <v>0</v>
      </c>
      <c r="G34" s="4" t="s">
        <v>113</v>
      </c>
      <c r="H34" s="4" t="s">
        <v>114</v>
      </c>
      <c r="I34" s="4"/>
      <c r="J34" s="4"/>
      <c r="K34" s="4">
        <v>232</v>
      </c>
      <c r="L34" s="4">
        <v>15</v>
      </c>
      <c r="M34" s="4">
        <v>3</v>
      </c>
      <c r="N34" s="4" t="s">
        <v>3</v>
      </c>
      <c r="O34" s="4">
        <v>2</v>
      </c>
      <c r="P34" s="4"/>
    </row>
    <row r="35" spans="1:16">
      <c r="A35" s="4">
        <v>50</v>
      </c>
      <c r="B35" s="4">
        <v>0</v>
      </c>
      <c r="C35" s="4">
        <v>0</v>
      </c>
      <c r="D35" s="4">
        <v>1</v>
      </c>
      <c r="E35" s="4">
        <v>214</v>
      </c>
      <c r="F35" s="4">
        <v>1446.5</v>
      </c>
      <c r="G35" s="4" t="s">
        <v>115</v>
      </c>
      <c r="H35" s="4" t="s">
        <v>116</v>
      </c>
      <c r="I35" s="4"/>
      <c r="J35" s="4"/>
      <c r="K35" s="4">
        <v>214</v>
      </c>
      <c r="L35" s="4">
        <v>16</v>
      </c>
      <c r="M35" s="4">
        <v>3</v>
      </c>
      <c r="N35" s="4" t="s">
        <v>3</v>
      </c>
      <c r="O35" s="4">
        <v>2</v>
      </c>
      <c r="P35" s="4"/>
    </row>
    <row r="36" spans="1:16">
      <c r="A36" s="4">
        <v>50</v>
      </c>
      <c r="B36" s="4">
        <v>0</v>
      </c>
      <c r="C36" s="4">
        <v>0</v>
      </c>
      <c r="D36" s="4">
        <v>1</v>
      </c>
      <c r="E36" s="4">
        <v>215</v>
      </c>
      <c r="F36" s="4">
        <v>52194.14</v>
      </c>
      <c r="G36" s="4" t="s">
        <v>117</v>
      </c>
      <c r="H36" s="4" t="s">
        <v>118</v>
      </c>
      <c r="I36" s="4"/>
      <c r="J36" s="4"/>
      <c r="K36" s="4">
        <v>215</v>
      </c>
      <c r="L36" s="4">
        <v>17</v>
      </c>
      <c r="M36" s="4">
        <v>3</v>
      </c>
      <c r="N36" s="4" t="s">
        <v>3</v>
      </c>
      <c r="O36" s="4">
        <v>2</v>
      </c>
      <c r="P36" s="4"/>
    </row>
    <row r="37" spans="1:16">
      <c r="A37" s="4">
        <v>50</v>
      </c>
      <c r="B37" s="4">
        <v>0</v>
      </c>
      <c r="C37" s="4">
        <v>0</v>
      </c>
      <c r="D37" s="4">
        <v>1</v>
      </c>
      <c r="E37" s="4">
        <v>217</v>
      </c>
      <c r="F37" s="4">
        <v>0</v>
      </c>
      <c r="G37" s="4" t="s">
        <v>119</v>
      </c>
      <c r="H37" s="4" t="s">
        <v>120</v>
      </c>
      <c r="I37" s="4"/>
      <c r="J37" s="4"/>
      <c r="K37" s="4">
        <v>217</v>
      </c>
      <c r="L37" s="4">
        <v>18</v>
      </c>
      <c r="M37" s="4">
        <v>3</v>
      </c>
      <c r="N37" s="4" t="s">
        <v>3</v>
      </c>
      <c r="O37" s="4">
        <v>2</v>
      </c>
      <c r="P37" s="4"/>
    </row>
    <row r="38" spans="1:16">
      <c r="A38" s="4">
        <v>50</v>
      </c>
      <c r="B38" s="4">
        <v>0</v>
      </c>
      <c r="C38" s="4">
        <v>0</v>
      </c>
      <c r="D38" s="4">
        <v>1</v>
      </c>
      <c r="E38" s="4">
        <v>230</v>
      </c>
      <c r="F38" s="4">
        <v>0</v>
      </c>
      <c r="G38" s="4" t="s">
        <v>121</v>
      </c>
      <c r="H38" s="4" t="s">
        <v>122</v>
      </c>
      <c r="I38" s="4"/>
      <c r="J38" s="4"/>
      <c r="K38" s="4">
        <v>230</v>
      </c>
      <c r="L38" s="4">
        <v>19</v>
      </c>
      <c r="M38" s="4">
        <v>3</v>
      </c>
      <c r="N38" s="4" t="s">
        <v>3</v>
      </c>
      <c r="O38" s="4">
        <v>2</v>
      </c>
      <c r="P38" s="4"/>
    </row>
    <row r="39" spans="1:16">
      <c r="A39" s="4">
        <v>50</v>
      </c>
      <c r="B39" s="4">
        <v>0</v>
      </c>
      <c r="C39" s="4">
        <v>0</v>
      </c>
      <c r="D39" s="4">
        <v>1</v>
      </c>
      <c r="E39" s="4">
        <v>206</v>
      </c>
      <c r="F39" s="4">
        <v>0</v>
      </c>
      <c r="G39" s="4" t="s">
        <v>123</v>
      </c>
      <c r="H39" s="4" t="s">
        <v>124</v>
      </c>
      <c r="I39" s="4"/>
      <c r="J39" s="4"/>
      <c r="K39" s="4">
        <v>206</v>
      </c>
      <c r="L39" s="4">
        <v>20</v>
      </c>
      <c r="M39" s="4">
        <v>3</v>
      </c>
      <c r="N39" s="4" t="s">
        <v>3</v>
      </c>
      <c r="O39" s="4">
        <v>2</v>
      </c>
      <c r="P39" s="4"/>
    </row>
    <row r="40" spans="1:16">
      <c r="A40" s="4">
        <v>50</v>
      </c>
      <c r="B40" s="4">
        <v>0</v>
      </c>
      <c r="C40" s="4">
        <v>0</v>
      </c>
      <c r="D40" s="4">
        <v>1</v>
      </c>
      <c r="E40" s="4">
        <v>207</v>
      </c>
      <c r="F40" s="4">
        <v>40.202400000000004</v>
      </c>
      <c r="G40" s="4" t="s">
        <v>125</v>
      </c>
      <c r="H40" s="4" t="s">
        <v>126</v>
      </c>
      <c r="I40" s="4"/>
      <c r="J40" s="4"/>
      <c r="K40" s="4">
        <v>207</v>
      </c>
      <c r="L40" s="4">
        <v>21</v>
      </c>
      <c r="M40" s="4">
        <v>3</v>
      </c>
      <c r="N40" s="4" t="s">
        <v>3</v>
      </c>
      <c r="O40" s="4">
        <v>-1</v>
      </c>
      <c r="P40" s="4"/>
    </row>
    <row r="41" spans="1:16">
      <c r="A41" s="4">
        <v>50</v>
      </c>
      <c r="B41" s="4">
        <v>0</v>
      </c>
      <c r="C41" s="4">
        <v>0</v>
      </c>
      <c r="D41" s="4">
        <v>1</v>
      </c>
      <c r="E41" s="4">
        <v>208</v>
      </c>
      <c r="F41" s="4">
        <v>2.1000000000000001E-2</v>
      </c>
      <c r="G41" s="4" t="s">
        <v>127</v>
      </c>
      <c r="H41" s="4" t="s">
        <v>128</v>
      </c>
      <c r="I41" s="4"/>
      <c r="J41" s="4"/>
      <c r="K41" s="4">
        <v>208</v>
      </c>
      <c r="L41" s="4">
        <v>22</v>
      </c>
      <c r="M41" s="4">
        <v>3</v>
      </c>
      <c r="N41" s="4" t="s">
        <v>3</v>
      </c>
      <c r="O41" s="4">
        <v>-1</v>
      </c>
      <c r="P41" s="4"/>
    </row>
    <row r="42" spans="1:16">
      <c r="A42" s="4">
        <v>50</v>
      </c>
      <c r="B42" s="4">
        <v>0</v>
      </c>
      <c r="C42" s="4">
        <v>0</v>
      </c>
      <c r="D42" s="4">
        <v>1</v>
      </c>
      <c r="E42" s="4">
        <v>209</v>
      </c>
      <c r="F42" s="4">
        <v>8.7200000000000006</v>
      </c>
      <c r="G42" s="4" t="s">
        <v>129</v>
      </c>
      <c r="H42" s="4" t="s">
        <v>130</v>
      </c>
      <c r="I42" s="4"/>
      <c r="J42" s="4"/>
      <c r="K42" s="4">
        <v>209</v>
      </c>
      <c r="L42" s="4">
        <v>23</v>
      </c>
      <c r="M42" s="4">
        <v>3</v>
      </c>
      <c r="N42" s="4" t="s">
        <v>3</v>
      </c>
      <c r="O42" s="4">
        <v>2</v>
      </c>
      <c r="P42" s="4"/>
    </row>
    <row r="43" spans="1:16">
      <c r="A43" s="4">
        <v>50</v>
      </c>
      <c r="B43" s="4">
        <v>0</v>
      </c>
      <c r="C43" s="4">
        <v>0</v>
      </c>
      <c r="D43" s="4">
        <v>1</v>
      </c>
      <c r="E43" s="4">
        <v>233</v>
      </c>
      <c r="F43" s="4">
        <v>0</v>
      </c>
      <c r="G43" s="4" t="s">
        <v>131</v>
      </c>
      <c r="H43" s="4" t="s">
        <v>132</v>
      </c>
      <c r="I43" s="4"/>
      <c r="J43" s="4"/>
      <c r="K43" s="4">
        <v>233</v>
      </c>
      <c r="L43" s="4">
        <v>24</v>
      </c>
      <c r="M43" s="4">
        <v>3</v>
      </c>
      <c r="N43" s="4" t="s">
        <v>3</v>
      </c>
      <c r="O43" s="4">
        <v>2</v>
      </c>
      <c r="P43" s="4"/>
    </row>
    <row r="44" spans="1:16">
      <c r="A44" s="4">
        <v>50</v>
      </c>
      <c r="B44" s="4">
        <v>0</v>
      </c>
      <c r="C44" s="4">
        <v>0</v>
      </c>
      <c r="D44" s="4">
        <v>1</v>
      </c>
      <c r="E44" s="4">
        <v>210</v>
      </c>
      <c r="F44" s="4">
        <v>10131.4</v>
      </c>
      <c r="G44" s="4" t="s">
        <v>133</v>
      </c>
      <c r="H44" s="4" t="s">
        <v>134</v>
      </c>
      <c r="I44" s="4"/>
      <c r="J44" s="4"/>
      <c r="K44" s="4">
        <v>210</v>
      </c>
      <c r="L44" s="4">
        <v>25</v>
      </c>
      <c r="M44" s="4">
        <v>3</v>
      </c>
      <c r="N44" s="4" t="s">
        <v>3</v>
      </c>
      <c r="O44" s="4">
        <v>2</v>
      </c>
      <c r="P44" s="4"/>
    </row>
    <row r="45" spans="1:16">
      <c r="A45" s="4">
        <v>50</v>
      </c>
      <c r="B45" s="4">
        <v>0</v>
      </c>
      <c r="C45" s="4">
        <v>0</v>
      </c>
      <c r="D45" s="4">
        <v>1</v>
      </c>
      <c r="E45" s="4">
        <v>211</v>
      </c>
      <c r="F45" s="4">
        <v>7273.57</v>
      </c>
      <c r="G45" s="4" t="s">
        <v>135</v>
      </c>
      <c r="H45" s="4" t="s">
        <v>136</v>
      </c>
      <c r="I45" s="4"/>
      <c r="J45" s="4"/>
      <c r="K45" s="4">
        <v>211</v>
      </c>
      <c r="L45" s="4">
        <v>26</v>
      </c>
      <c r="M45" s="4">
        <v>3</v>
      </c>
      <c r="N45" s="4" t="s">
        <v>3</v>
      </c>
      <c r="O45" s="4">
        <v>2</v>
      </c>
      <c r="P45" s="4"/>
    </row>
    <row r="46" spans="1:16">
      <c r="A46" s="4">
        <v>50</v>
      </c>
      <c r="B46" s="4">
        <v>0</v>
      </c>
      <c r="C46" s="4">
        <v>0</v>
      </c>
      <c r="D46" s="4">
        <v>1</v>
      </c>
      <c r="E46" s="4">
        <v>224</v>
      </c>
      <c r="F46" s="4">
        <v>53640.639999999999</v>
      </c>
      <c r="G46" s="4" t="s">
        <v>137</v>
      </c>
      <c r="H46" s="4" t="s">
        <v>138</v>
      </c>
      <c r="I46" s="4"/>
      <c r="J46" s="4"/>
      <c r="K46" s="4">
        <v>224</v>
      </c>
      <c r="L46" s="4">
        <v>27</v>
      </c>
      <c r="M46" s="4">
        <v>3</v>
      </c>
      <c r="N46" s="4" t="s">
        <v>3</v>
      </c>
      <c r="O46" s="4">
        <v>2</v>
      </c>
      <c r="P46" s="4"/>
    </row>
    <row r="47" spans="1:16">
      <c r="A47" s="4">
        <v>50</v>
      </c>
      <c r="B47" s="4">
        <v>1</v>
      </c>
      <c r="C47" s="4">
        <v>0</v>
      </c>
      <c r="D47" s="4">
        <v>2</v>
      </c>
      <c r="E47" s="4">
        <v>0</v>
      </c>
      <c r="F47" s="4">
        <v>10728.13</v>
      </c>
      <c r="G47" s="4" t="s">
        <v>139</v>
      </c>
      <c r="H47" s="4" t="s">
        <v>140</v>
      </c>
      <c r="I47" s="4"/>
      <c r="J47" s="4"/>
      <c r="K47" s="4">
        <v>212</v>
      </c>
      <c r="L47" s="4">
        <v>28</v>
      </c>
      <c r="M47" s="4">
        <v>0</v>
      </c>
      <c r="N47" s="4" t="s">
        <v>3</v>
      </c>
      <c r="O47" s="4">
        <v>2</v>
      </c>
      <c r="P47" s="4"/>
    </row>
    <row r="48" spans="1:16">
      <c r="A48" s="4">
        <v>50</v>
      </c>
      <c r="B48" s="4">
        <v>1</v>
      </c>
      <c r="C48" s="4">
        <v>0</v>
      </c>
      <c r="D48" s="4">
        <v>2</v>
      </c>
      <c r="E48" s="4">
        <v>213</v>
      </c>
      <c r="F48" s="4">
        <v>64368.77</v>
      </c>
      <c r="G48" s="4" t="s">
        <v>141</v>
      </c>
      <c r="H48" s="4" t="s">
        <v>141</v>
      </c>
      <c r="I48" s="4"/>
      <c r="J48" s="4"/>
      <c r="K48" s="4">
        <v>212</v>
      </c>
      <c r="L48" s="4">
        <v>29</v>
      </c>
      <c r="M48" s="4">
        <v>0</v>
      </c>
      <c r="N48" s="4" t="s">
        <v>3</v>
      </c>
      <c r="O48" s="4">
        <v>2</v>
      </c>
      <c r="P48" s="4"/>
    </row>
    <row r="50" spans="1:40">
      <c r="A50">
        <v>-1</v>
      </c>
    </row>
    <row r="53" spans="1:40">
      <c r="A53" s="3">
        <v>75</v>
      </c>
      <c r="B53" s="3" t="s">
        <v>203</v>
      </c>
      <c r="C53" s="3">
        <v>2020</v>
      </c>
      <c r="D53" s="3">
        <v>0</v>
      </c>
      <c r="E53" s="3">
        <v>3</v>
      </c>
      <c r="F53" s="3"/>
      <c r="G53" s="3">
        <v>0</v>
      </c>
      <c r="H53" s="3">
        <v>1</v>
      </c>
      <c r="I53" s="3">
        <v>0</v>
      </c>
      <c r="J53" s="3">
        <v>3</v>
      </c>
      <c r="K53" s="3">
        <v>0</v>
      </c>
      <c r="L53" s="3">
        <v>0</v>
      </c>
      <c r="M53" s="3">
        <v>0</v>
      </c>
      <c r="N53" s="3">
        <v>34944170</v>
      </c>
      <c r="O53" s="3">
        <v>1</v>
      </c>
    </row>
    <row r="54" spans="1:40">
      <c r="A54" s="5">
        <v>1</v>
      </c>
      <c r="B54" s="5" t="s">
        <v>204</v>
      </c>
      <c r="C54" s="5" t="s">
        <v>205</v>
      </c>
      <c r="D54" s="5">
        <v>2020</v>
      </c>
      <c r="E54" s="5">
        <v>2</v>
      </c>
      <c r="F54" s="5">
        <v>1</v>
      </c>
      <c r="G54" s="5">
        <v>1</v>
      </c>
      <c r="H54" s="5">
        <v>0</v>
      </c>
      <c r="I54" s="5">
        <v>2</v>
      </c>
      <c r="J54" s="5">
        <v>1</v>
      </c>
      <c r="K54" s="5">
        <v>1</v>
      </c>
      <c r="L54" s="5">
        <v>1</v>
      </c>
      <c r="M54" s="5">
        <v>1</v>
      </c>
      <c r="N54" s="5">
        <v>1</v>
      </c>
      <c r="O54" s="5">
        <v>1</v>
      </c>
      <c r="P54" s="5">
        <v>1</v>
      </c>
      <c r="Q54" s="5">
        <v>1</v>
      </c>
      <c r="R54" s="5" t="s">
        <v>3</v>
      </c>
      <c r="S54" s="5" t="s">
        <v>3</v>
      </c>
      <c r="T54" s="5" t="s">
        <v>3</v>
      </c>
      <c r="U54" s="5" t="s">
        <v>3</v>
      </c>
      <c r="V54" s="5" t="s">
        <v>3</v>
      </c>
      <c r="W54" s="5" t="s">
        <v>3</v>
      </c>
      <c r="X54" s="5" t="s">
        <v>3</v>
      </c>
      <c r="Y54" s="5" t="s">
        <v>3</v>
      </c>
      <c r="Z54" s="5" t="s">
        <v>3</v>
      </c>
      <c r="AA54" s="5" t="s">
        <v>3</v>
      </c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>
        <v>34944171</v>
      </c>
    </row>
    <row r="55" spans="1:40">
      <c r="A55" s="5">
        <v>2</v>
      </c>
      <c r="B55" s="5" t="s">
        <v>206</v>
      </c>
      <c r="C55" s="5" t="s">
        <v>207</v>
      </c>
      <c r="D55" s="5">
        <v>0</v>
      </c>
      <c r="E55" s="5">
        <v>0</v>
      </c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>
        <v>34944172</v>
      </c>
    </row>
  </sheetData>
  <printOptions gridLines="1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DC48"/>
  <sheetViews>
    <sheetView workbookViewId="0"/>
  </sheetViews>
  <sheetFormatPr defaultColWidth="9.140625" defaultRowHeight="12.75"/>
  <cols>
    <col min="1" max="256" width="9.140625" customWidth="1"/>
  </cols>
  <sheetData>
    <row r="1" spans="1:107">
      <c r="A1">
        <f>ROW(Source!A24)</f>
        <v>24</v>
      </c>
      <c r="B1">
        <v>34944170</v>
      </c>
      <c r="C1">
        <v>34944235</v>
      </c>
      <c r="D1">
        <v>29370376</v>
      </c>
      <c r="E1">
        <v>1</v>
      </c>
      <c r="F1">
        <v>1</v>
      </c>
      <c r="G1">
        <v>1</v>
      </c>
      <c r="H1">
        <v>1</v>
      </c>
      <c r="I1" t="s">
        <v>209</v>
      </c>
      <c r="J1" t="s">
        <v>3</v>
      </c>
      <c r="K1" t="s">
        <v>210</v>
      </c>
      <c r="L1">
        <v>1369</v>
      </c>
      <c r="N1">
        <v>1013</v>
      </c>
      <c r="O1" t="s">
        <v>211</v>
      </c>
      <c r="P1" t="s">
        <v>211</v>
      </c>
      <c r="Q1">
        <v>1</v>
      </c>
      <c r="W1">
        <v>0</v>
      </c>
      <c r="X1">
        <v>1728564795</v>
      </c>
      <c r="Y1">
        <v>1.2</v>
      </c>
      <c r="AA1">
        <v>0</v>
      </c>
      <c r="AB1">
        <v>0</v>
      </c>
      <c r="AC1">
        <v>0</v>
      </c>
      <c r="AD1">
        <v>281.22000000000003</v>
      </c>
      <c r="AE1">
        <v>0</v>
      </c>
      <c r="AF1">
        <v>0</v>
      </c>
      <c r="AG1">
        <v>0</v>
      </c>
      <c r="AH1">
        <v>281.22000000000003</v>
      </c>
      <c r="AI1">
        <v>1</v>
      </c>
      <c r="AJ1">
        <v>1</v>
      </c>
      <c r="AK1">
        <v>1</v>
      </c>
      <c r="AL1">
        <v>1</v>
      </c>
      <c r="AN1">
        <v>0</v>
      </c>
      <c r="AO1">
        <v>1</v>
      </c>
      <c r="AP1">
        <v>0</v>
      </c>
      <c r="AQ1">
        <v>0</v>
      </c>
      <c r="AR1">
        <v>0</v>
      </c>
      <c r="AS1" t="s">
        <v>3</v>
      </c>
      <c r="AT1">
        <v>1.2</v>
      </c>
      <c r="AU1" t="s">
        <v>3</v>
      </c>
      <c r="AV1">
        <v>1</v>
      </c>
      <c r="AW1">
        <v>2</v>
      </c>
      <c r="AX1">
        <v>34944244</v>
      </c>
      <c r="AY1">
        <v>1</v>
      </c>
      <c r="AZ1">
        <v>0</v>
      </c>
      <c r="BA1">
        <v>1</v>
      </c>
      <c r="BB1">
        <v>0</v>
      </c>
      <c r="BC1">
        <v>0</v>
      </c>
      <c r="BD1">
        <v>0</v>
      </c>
      <c r="BE1">
        <v>0</v>
      </c>
      <c r="BF1">
        <v>0</v>
      </c>
      <c r="BG1">
        <v>0</v>
      </c>
      <c r="BH1">
        <v>0</v>
      </c>
      <c r="BI1">
        <v>0</v>
      </c>
      <c r="BJ1">
        <v>0</v>
      </c>
      <c r="BK1">
        <v>0</v>
      </c>
      <c r="BL1">
        <v>0</v>
      </c>
      <c r="BM1">
        <v>0</v>
      </c>
      <c r="BN1">
        <v>0</v>
      </c>
      <c r="BO1">
        <v>0</v>
      </c>
      <c r="BP1">
        <v>0</v>
      </c>
      <c r="BQ1">
        <v>0</v>
      </c>
      <c r="BR1">
        <v>0</v>
      </c>
      <c r="BS1">
        <v>0</v>
      </c>
      <c r="BT1">
        <v>0</v>
      </c>
      <c r="BU1">
        <v>0</v>
      </c>
      <c r="BV1">
        <v>0</v>
      </c>
      <c r="BW1">
        <v>0</v>
      </c>
      <c r="CX1">
        <f>Y1*Source!I24</f>
        <v>1.2</v>
      </c>
      <c r="CY1">
        <f>AD1</f>
        <v>281.22000000000003</v>
      </c>
      <c r="CZ1">
        <f>AH1</f>
        <v>281.22000000000003</v>
      </c>
      <c r="DA1">
        <f>AL1</f>
        <v>1</v>
      </c>
      <c r="DB1">
        <f t="shared" ref="DB1:DB48" si="0">ROUND(ROUND(AT1*CZ1,2),6)</f>
        <v>337.46</v>
      </c>
      <c r="DC1">
        <f t="shared" ref="DC1:DC48" si="1">ROUND(ROUND(AT1*AG1,2),6)</f>
        <v>0</v>
      </c>
    </row>
    <row r="2" spans="1:107">
      <c r="A2">
        <f>ROW(Source!A24)</f>
        <v>24</v>
      </c>
      <c r="B2">
        <v>34944170</v>
      </c>
      <c r="C2">
        <v>34944235</v>
      </c>
      <c r="D2">
        <v>29174500</v>
      </c>
      <c r="E2">
        <v>1</v>
      </c>
      <c r="F2">
        <v>1</v>
      </c>
      <c r="G2">
        <v>1</v>
      </c>
      <c r="H2">
        <v>2</v>
      </c>
      <c r="I2" t="s">
        <v>212</v>
      </c>
      <c r="J2" t="s">
        <v>213</v>
      </c>
      <c r="K2" t="s">
        <v>214</v>
      </c>
      <c r="L2">
        <v>1368</v>
      </c>
      <c r="N2">
        <v>1011</v>
      </c>
      <c r="O2" t="s">
        <v>215</v>
      </c>
      <c r="P2" t="s">
        <v>215</v>
      </c>
      <c r="Q2">
        <v>1</v>
      </c>
      <c r="W2">
        <v>0</v>
      </c>
      <c r="X2">
        <v>-239831557</v>
      </c>
      <c r="Y2">
        <v>0.13</v>
      </c>
      <c r="AA2">
        <v>0</v>
      </c>
      <c r="AB2">
        <v>7.25</v>
      </c>
      <c r="AC2">
        <v>0</v>
      </c>
      <c r="AD2">
        <v>0</v>
      </c>
      <c r="AE2">
        <v>0</v>
      </c>
      <c r="AF2">
        <v>1.95</v>
      </c>
      <c r="AG2">
        <v>0</v>
      </c>
      <c r="AH2">
        <v>0</v>
      </c>
      <c r="AI2">
        <v>1</v>
      </c>
      <c r="AJ2">
        <v>3.72</v>
      </c>
      <c r="AK2">
        <v>30.29</v>
      </c>
      <c r="AL2">
        <v>1</v>
      </c>
      <c r="AN2">
        <v>0</v>
      </c>
      <c r="AO2">
        <v>1</v>
      </c>
      <c r="AP2">
        <v>0</v>
      </c>
      <c r="AQ2">
        <v>0</v>
      </c>
      <c r="AR2">
        <v>0</v>
      </c>
      <c r="AS2" t="s">
        <v>3</v>
      </c>
      <c r="AT2">
        <v>0.13</v>
      </c>
      <c r="AU2" t="s">
        <v>3</v>
      </c>
      <c r="AV2">
        <v>0</v>
      </c>
      <c r="AW2">
        <v>2</v>
      </c>
      <c r="AX2">
        <v>34944245</v>
      </c>
      <c r="AY2">
        <v>1</v>
      </c>
      <c r="AZ2">
        <v>0</v>
      </c>
      <c r="BA2">
        <v>2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0</v>
      </c>
      <c r="BI2">
        <v>0</v>
      </c>
      <c r="BJ2">
        <v>0</v>
      </c>
      <c r="BK2">
        <v>0</v>
      </c>
      <c r="BL2">
        <v>0</v>
      </c>
      <c r="BM2">
        <v>0</v>
      </c>
      <c r="BN2">
        <v>0</v>
      </c>
      <c r="BO2">
        <v>0</v>
      </c>
      <c r="BP2">
        <v>0</v>
      </c>
      <c r="BQ2">
        <v>0</v>
      </c>
      <c r="BR2">
        <v>0</v>
      </c>
      <c r="BS2">
        <v>0</v>
      </c>
      <c r="BT2">
        <v>0</v>
      </c>
      <c r="BU2">
        <v>0</v>
      </c>
      <c r="BV2">
        <v>0</v>
      </c>
      <c r="BW2">
        <v>0</v>
      </c>
      <c r="CX2">
        <f>Y2*Source!I24</f>
        <v>0.13</v>
      </c>
      <c r="CY2">
        <f>AB2</f>
        <v>7.25</v>
      </c>
      <c r="CZ2">
        <f>AF2</f>
        <v>1.95</v>
      </c>
      <c r="DA2">
        <f>AJ2</f>
        <v>3.72</v>
      </c>
      <c r="DB2">
        <f t="shared" si="0"/>
        <v>0.25</v>
      </c>
      <c r="DC2">
        <f t="shared" si="1"/>
        <v>0</v>
      </c>
    </row>
    <row r="3" spans="1:107">
      <c r="A3">
        <f>ROW(Source!A24)</f>
        <v>24</v>
      </c>
      <c r="B3">
        <v>34944170</v>
      </c>
      <c r="C3">
        <v>34944235</v>
      </c>
      <c r="D3">
        <v>29107468</v>
      </c>
      <c r="E3">
        <v>1</v>
      </c>
      <c r="F3">
        <v>1</v>
      </c>
      <c r="G3">
        <v>1</v>
      </c>
      <c r="H3">
        <v>3</v>
      </c>
      <c r="I3" t="s">
        <v>216</v>
      </c>
      <c r="J3" t="s">
        <v>217</v>
      </c>
      <c r="K3" t="s">
        <v>218</v>
      </c>
      <c r="L3">
        <v>1346</v>
      </c>
      <c r="N3">
        <v>1009</v>
      </c>
      <c r="O3" t="s">
        <v>219</v>
      </c>
      <c r="P3" t="s">
        <v>219</v>
      </c>
      <c r="Q3">
        <v>1</v>
      </c>
      <c r="W3">
        <v>0</v>
      </c>
      <c r="X3">
        <v>1784212875</v>
      </c>
      <c r="Y3">
        <v>1E-3</v>
      </c>
      <c r="AA3">
        <v>204.57</v>
      </c>
      <c r="AB3">
        <v>0</v>
      </c>
      <c r="AC3">
        <v>0</v>
      </c>
      <c r="AD3">
        <v>0</v>
      </c>
      <c r="AE3">
        <v>12.62</v>
      </c>
      <c r="AF3">
        <v>0</v>
      </c>
      <c r="AG3">
        <v>0</v>
      </c>
      <c r="AH3">
        <v>0</v>
      </c>
      <c r="AI3">
        <v>16.21</v>
      </c>
      <c r="AJ3">
        <v>1</v>
      </c>
      <c r="AK3">
        <v>1</v>
      </c>
      <c r="AL3">
        <v>1</v>
      </c>
      <c r="AN3">
        <v>0</v>
      </c>
      <c r="AO3">
        <v>1</v>
      </c>
      <c r="AP3">
        <v>0</v>
      </c>
      <c r="AQ3">
        <v>0</v>
      </c>
      <c r="AR3">
        <v>0</v>
      </c>
      <c r="AS3" t="s">
        <v>3</v>
      </c>
      <c r="AT3">
        <v>1E-3</v>
      </c>
      <c r="AU3" t="s">
        <v>3</v>
      </c>
      <c r="AV3">
        <v>0</v>
      </c>
      <c r="AW3">
        <v>2</v>
      </c>
      <c r="AX3">
        <v>34944246</v>
      </c>
      <c r="AY3">
        <v>1</v>
      </c>
      <c r="AZ3">
        <v>0</v>
      </c>
      <c r="BA3">
        <v>3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CX3">
        <f>Y3*Source!I24</f>
        <v>1E-3</v>
      </c>
      <c r="CY3">
        <f t="shared" ref="CY3:CY8" si="2">AA3</f>
        <v>204.57</v>
      </c>
      <c r="CZ3">
        <f t="shared" ref="CZ3:CZ8" si="3">AE3</f>
        <v>12.62</v>
      </c>
      <c r="DA3">
        <f t="shared" ref="DA3:DA8" si="4">AI3</f>
        <v>16.21</v>
      </c>
      <c r="DB3">
        <f t="shared" si="0"/>
        <v>0.01</v>
      </c>
      <c r="DC3">
        <f t="shared" si="1"/>
        <v>0</v>
      </c>
    </row>
    <row r="4" spans="1:107">
      <c r="A4">
        <f>ROW(Source!A24)</f>
        <v>24</v>
      </c>
      <c r="B4">
        <v>34944170</v>
      </c>
      <c r="C4">
        <v>34944235</v>
      </c>
      <c r="D4">
        <v>29114480</v>
      </c>
      <c r="E4">
        <v>1</v>
      </c>
      <c r="F4">
        <v>1</v>
      </c>
      <c r="G4">
        <v>1</v>
      </c>
      <c r="H4">
        <v>3</v>
      </c>
      <c r="I4" t="s">
        <v>220</v>
      </c>
      <c r="J4" t="s">
        <v>221</v>
      </c>
      <c r="K4" t="s">
        <v>222</v>
      </c>
      <c r="L4">
        <v>1358</v>
      </c>
      <c r="N4">
        <v>1010</v>
      </c>
      <c r="O4" t="s">
        <v>223</v>
      </c>
      <c r="P4" t="s">
        <v>223</v>
      </c>
      <c r="Q4">
        <v>10</v>
      </c>
      <c r="W4">
        <v>0</v>
      </c>
      <c r="X4">
        <v>-1291205266</v>
      </c>
      <c r="Y4">
        <v>0.3</v>
      </c>
      <c r="AA4">
        <v>28.72</v>
      </c>
      <c r="AB4">
        <v>0</v>
      </c>
      <c r="AC4">
        <v>0</v>
      </c>
      <c r="AD4">
        <v>0</v>
      </c>
      <c r="AE4">
        <v>8.3000000000000007</v>
      </c>
      <c r="AF4">
        <v>0</v>
      </c>
      <c r="AG4">
        <v>0</v>
      </c>
      <c r="AH4">
        <v>0</v>
      </c>
      <c r="AI4">
        <v>3.46</v>
      </c>
      <c r="AJ4">
        <v>1</v>
      </c>
      <c r="AK4">
        <v>1</v>
      </c>
      <c r="AL4">
        <v>1</v>
      </c>
      <c r="AN4">
        <v>0</v>
      </c>
      <c r="AO4">
        <v>1</v>
      </c>
      <c r="AP4">
        <v>0</v>
      </c>
      <c r="AQ4">
        <v>0</v>
      </c>
      <c r="AR4">
        <v>0</v>
      </c>
      <c r="AS4" t="s">
        <v>3</v>
      </c>
      <c r="AT4">
        <v>0.3</v>
      </c>
      <c r="AU4" t="s">
        <v>3</v>
      </c>
      <c r="AV4">
        <v>0</v>
      </c>
      <c r="AW4">
        <v>2</v>
      </c>
      <c r="AX4">
        <v>34944247</v>
      </c>
      <c r="AY4">
        <v>1</v>
      </c>
      <c r="AZ4">
        <v>0</v>
      </c>
      <c r="BA4">
        <v>4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CX4">
        <f>Y4*Source!I24</f>
        <v>0.3</v>
      </c>
      <c r="CY4">
        <f t="shared" si="2"/>
        <v>28.72</v>
      </c>
      <c r="CZ4">
        <f t="shared" si="3"/>
        <v>8.3000000000000007</v>
      </c>
      <c r="DA4">
        <f t="shared" si="4"/>
        <v>3.46</v>
      </c>
      <c r="DB4">
        <f t="shared" si="0"/>
        <v>2.4900000000000002</v>
      </c>
      <c r="DC4">
        <f t="shared" si="1"/>
        <v>0</v>
      </c>
    </row>
    <row r="5" spans="1:107">
      <c r="A5">
        <f>ROW(Source!A24)</f>
        <v>24</v>
      </c>
      <c r="B5">
        <v>34944170</v>
      </c>
      <c r="C5">
        <v>34944235</v>
      </c>
      <c r="D5">
        <v>29149204</v>
      </c>
      <c r="E5">
        <v>1</v>
      </c>
      <c r="F5">
        <v>1</v>
      </c>
      <c r="G5">
        <v>1</v>
      </c>
      <c r="H5">
        <v>3</v>
      </c>
      <c r="I5" t="s">
        <v>224</v>
      </c>
      <c r="J5" t="s">
        <v>225</v>
      </c>
      <c r="K5" t="s">
        <v>226</v>
      </c>
      <c r="L5">
        <v>1348</v>
      </c>
      <c r="N5">
        <v>1009</v>
      </c>
      <c r="O5" t="s">
        <v>227</v>
      </c>
      <c r="P5" t="s">
        <v>227</v>
      </c>
      <c r="Q5">
        <v>1000</v>
      </c>
      <c r="W5">
        <v>0</v>
      </c>
      <c r="X5">
        <v>-1132764130</v>
      </c>
      <c r="Y5">
        <v>2.0000000000000002E-5</v>
      </c>
      <c r="AA5">
        <v>4956.5600000000004</v>
      </c>
      <c r="AB5">
        <v>0</v>
      </c>
      <c r="AC5">
        <v>0</v>
      </c>
      <c r="AD5">
        <v>0</v>
      </c>
      <c r="AE5">
        <v>729.98</v>
      </c>
      <c r="AF5">
        <v>0</v>
      </c>
      <c r="AG5">
        <v>0</v>
      </c>
      <c r="AH5">
        <v>0</v>
      </c>
      <c r="AI5">
        <v>6.79</v>
      </c>
      <c r="AJ5">
        <v>1</v>
      </c>
      <c r="AK5">
        <v>1</v>
      </c>
      <c r="AL5">
        <v>1</v>
      </c>
      <c r="AN5">
        <v>0</v>
      </c>
      <c r="AO5">
        <v>1</v>
      </c>
      <c r="AP5">
        <v>0</v>
      </c>
      <c r="AQ5">
        <v>0</v>
      </c>
      <c r="AR5">
        <v>0</v>
      </c>
      <c r="AS5" t="s">
        <v>3</v>
      </c>
      <c r="AT5">
        <v>2.0000000000000002E-5</v>
      </c>
      <c r="AU5" t="s">
        <v>3</v>
      </c>
      <c r="AV5">
        <v>0</v>
      </c>
      <c r="AW5">
        <v>2</v>
      </c>
      <c r="AX5">
        <v>34944248</v>
      </c>
      <c r="AY5">
        <v>1</v>
      </c>
      <c r="AZ5">
        <v>0</v>
      </c>
      <c r="BA5">
        <v>5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CX5">
        <f>Y5*Source!I24</f>
        <v>2.0000000000000002E-5</v>
      </c>
      <c r="CY5">
        <f t="shared" si="2"/>
        <v>4956.5600000000004</v>
      </c>
      <c r="CZ5">
        <f t="shared" si="3"/>
        <v>729.98</v>
      </c>
      <c r="DA5">
        <f t="shared" si="4"/>
        <v>6.79</v>
      </c>
      <c r="DB5">
        <f t="shared" si="0"/>
        <v>0.01</v>
      </c>
      <c r="DC5">
        <f t="shared" si="1"/>
        <v>0</v>
      </c>
    </row>
    <row r="6" spans="1:107">
      <c r="A6">
        <f>ROW(Source!A24)</f>
        <v>24</v>
      </c>
      <c r="B6">
        <v>34944170</v>
      </c>
      <c r="C6">
        <v>34944235</v>
      </c>
      <c r="D6">
        <v>29158010</v>
      </c>
      <c r="E6">
        <v>1</v>
      </c>
      <c r="F6">
        <v>1</v>
      </c>
      <c r="G6">
        <v>1</v>
      </c>
      <c r="H6">
        <v>3</v>
      </c>
      <c r="I6" t="s">
        <v>228</v>
      </c>
      <c r="J6" t="s">
        <v>229</v>
      </c>
      <c r="K6" t="s">
        <v>230</v>
      </c>
      <c r="L6">
        <v>1346</v>
      </c>
      <c r="N6">
        <v>1009</v>
      </c>
      <c r="O6" t="s">
        <v>219</v>
      </c>
      <c r="P6" t="s">
        <v>219</v>
      </c>
      <c r="Q6">
        <v>1</v>
      </c>
      <c r="W6">
        <v>0</v>
      </c>
      <c r="X6">
        <v>567682832</v>
      </c>
      <c r="Y6">
        <v>8.0000000000000002E-3</v>
      </c>
      <c r="AA6">
        <v>621.05999999999995</v>
      </c>
      <c r="AB6">
        <v>0</v>
      </c>
      <c r="AC6">
        <v>0</v>
      </c>
      <c r="AD6">
        <v>0</v>
      </c>
      <c r="AE6">
        <v>65.930000000000007</v>
      </c>
      <c r="AF6">
        <v>0</v>
      </c>
      <c r="AG6">
        <v>0</v>
      </c>
      <c r="AH6">
        <v>0</v>
      </c>
      <c r="AI6">
        <v>9.42</v>
      </c>
      <c r="AJ6">
        <v>1</v>
      </c>
      <c r="AK6">
        <v>1</v>
      </c>
      <c r="AL6">
        <v>1</v>
      </c>
      <c r="AN6">
        <v>0</v>
      </c>
      <c r="AO6">
        <v>1</v>
      </c>
      <c r="AP6">
        <v>0</v>
      </c>
      <c r="AQ6">
        <v>0</v>
      </c>
      <c r="AR6">
        <v>0</v>
      </c>
      <c r="AS6" t="s">
        <v>3</v>
      </c>
      <c r="AT6">
        <v>8.0000000000000002E-3</v>
      </c>
      <c r="AU6" t="s">
        <v>3</v>
      </c>
      <c r="AV6">
        <v>0</v>
      </c>
      <c r="AW6">
        <v>2</v>
      </c>
      <c r="AX6">
        <v>34944249</v>
      </c>
      <c r="AY6">
        <v>1</v>
      </c>
      <c r="AZ6">
        <v>0</v>
      </c>
      <c r="BA6">
        <v>6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CX6">
        <f>Y6*Source!I24</f>
        <v>8.0000000000000002E-3</v>
      </c>
      <c r="CY6">
        <f t="shared" si="2"/>
        <v>621.05999999999995</v>
      </c>
      <c r="CZ6">
        <f t="shared" si="3"/>
        <v>65.930000000000007</v>
      </c>
      <c r="DA6">
        <f t="shared" si="4"/>
        <v>9.42</v>
      </c>
      <c r="DB6">
        <f t="shared" si="0"/>
        <v>0.53</v>
      </c>
      <c r="DC6">
        <f t="shared" si="1"/>
        <v>0</v>
      </c>
    </row>
    <row r="7" spans="1:107">
      <c r="A7">
        <f>ROW(Source!A24)</f>
        <v>24</v>
      </c>
      <c r="B7">
        <v>34944170</v>
      </c>
      <c r="C7">
        <v>34944235</v>
      </c>
      <c r="D7">
        <v>29171808</v>
      </c>
      <c r="E7">
        <v>1</v>
      </c>
      <c r="F7">
        <v>1</v>
      </c>
      <c r="G7">
        <v>1</v>
      </c>
      <c r="H7">
        <v>3</v>
      </c>
      <c r="I7" t="s">
        <v>231</v>
      </c>
      <c r="J7" t="s">
        <v>232</v>
      </c>
      <c r="K7" t="s">
        <v>233</v>
      </c>
      <c r="L7">
        <v>1374</v>
      </c>
      <c r="N7">
        <v>1013</v>
      </c>
      <c r="O7" t="s">
        <v>234</v>
      </c>
      <c r="P7" t="s">
        <v>234</v>
      </c>
      <c r="Q7">
        <v>1</v>
      </c>
      <c r="W7">
        <v>0</v>
      </c>
      <c r="X7">
        <v>-915781824</v>
      </c>
      <c r="Y7">
        <v>0.25</v>
      </c>
      <c r="AA7">
        <v>1</v>
      </c>
      <c r="AB7">
        <v>0</v>
      </c>
      <c r="AC7">
        <v>0</v>
      </c>
      <c r="AD7">
        <v>0</v>
      </c>
      <c r="AE7">
        <v>1</v>
      </c>
      <c r="AF7">
        <v>0</v>
      </c>
      <c r="AG7">
        <v>0</v>
      </c>
      <c r="AH7">
        <v>0</v>
      </c>
      <c r="AI7">
        <v>1</v>
      </c>
      <c r="AJ7">
        <v>1</v>
      </c>
      <c r="AK7">
        <v>1</v>
      </c>
      <c r="AL7">
        <v>1</v>
      </c>
      <c r="AN7">
        <v>0</v>
      </c>
      <c r="AO7">
        <v>1</v>
      </c>
      <c r="AP7">
        <v>0</v>
      </c>
      <c r="AQ7">
        <v>0</v>
      </c>
      <c r="AR7">
        <v>0</v>
      </c>
      <c r="AS7" t="s">
        <v>3</v>
      </c>
      <c r="AT7">
        <v>0.25</v>
      </c>
      <c r="AU7" t="s">
        <v>3</v>
      </c>
      <c r="AV7">
        <v>0</v>
      </c>
      <c r="AW7">
        <v>2</v>
      </c>
      <c r="AX7">
        <v>34944250</v>
      </c>
      <c r="AY7">
        <v>1</v>
      </c>
      <c r="AZ7">
        <v>0</v>
      </c>
      <c r="BA7">
        <v>7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CX7">
        <f>Y7*Source!I24</f>
        <v>0.25</v>
      </c>
      <c r="CY7">
        <f t="shared" si="2"/>
        <v>1</v>
      </c>
      <c r="CZ7">
        <f t="shared" si="3"/>
        <v>1</v>
      </c>
      <c r="DA7">
        <f t="shared" si="4"/>
        <v>1</v>
      </c>
      <c r="DB7">
        <f t="shared" si="0"/>
        <v>0.25</v>
      </c>
      <c r="DC7">
        <f t="shared" si="1"/>
        <v>0</v>
      </c>
    </row>
    <row r="8" spans="1:107">
      <c r="A8">
        <f>ROW(Source!A24)</f>
        <v>24</v>
      </c>
      <c r="B8">
        <v>34944170</v>
      </c>
      <c r="C8">
        <v>34944235</v>
      </c>
      <c r="D8">
        <v>0</v>
      </c>
      <c r="E8">
        <v>0</v>
      </c>
      <c r="F8">
        <v>1</v>
      </c>
      <c r="G8">
        <v>1</v>
      </c>
      <c r="H8">
        <v>3</v>
      </c>
      <c r="I8" t="s">
        <v>22</v>
      </c>
      <c r="J8" t="s">
        <v>3</v>
      </c>
      <c r="K8" t="s">
        <v>23</v>
      </c>
      <c r="L8">
        <v>0</v>
      </c>
      <c r="W8">
        <v>0</v>
      </c>
      <c r="X8">
        <v>2059322104</v>
      </c>
      <c r="Y8">
        <v>1</v>
      </c>
      <c r="AA8">
        <v>3822.33</v>
      </c>
      <c r="AB8">
        <v>0</v>
      </c>
      <c r="AC8">
        <v>0</v>
      </c>
      <c r="AD8">
        <v>0</v>
      </c>
      <c r="AE8">
        <v>3822.33</v>
      </c>
      <c r="AF8">
        <v>0</v>
      </c>
      <c r="AG8">
        <v>0</v>
      </c>
      <c r="AH8">
        <v>0</v>
      </c>
      <c r="AI8">
        <v>1</v>
      </c>
      <c r="AJ8">
        <v>1</v>
      </c>
      <c r="AK8">
        <v>1</v>
      </c>
      <c r="AL8">
        <v>1</v>
      </c>
      <c r="AN8">
        <v>0</v>
      </c>
      <c r="AO8">
        <v>0</v>
      </c>
      <c r="AP8">
        <v>2</v>
      </c>
      <c r="AQ8">
        <v>0</v>
      </c>
      <c r="AR8">
        <v>0</v>
      </c>
      <c r="AS8" t="s">
        <v>3</v>
      </c>
      <c r="AT8">
        <v>1</v>
      </c>
      <c r="AU8" t="s">
        <v>3</v>
      </c>
      <c r="AV8">
        <v>0</v>
      </c>
      <c r="AW8">
        <v>1</v>
      </c>
      <c r="AX8">
        <v>-1</v>
      </c>
      <c r="AY8">
        <v>0</v>
      </c>
      <c r="AZ8">
        <v>0</v>
      </c>
      <c r="BA8" t="s">
        <v>3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CX8">
        <f>Y8*Source!I24</f>
        <v>1</v>
      </c>
      <c r="CY8">
        <f t="shared" si="2"/>
        <v>3822.33</v>
      </c>
      <c r="CZ8">
        <f t="shared" si="3"/>
        <v>3822.33</v>
      </c>
      <c r="DA8">
        <f t="shared" si="4"/>
        <v>1</v>
      </c>
      <c r="DB8">
        <f t="shared" si="0"/>
        <v>3822.33</v>
      </c>
      <c r="DC8">
        <f t="shared" si="1"/>
        <v>0</v>
      </c>
    </row>
    <row r="9" spans="1:107">
      <c r="A9">
        <f>ROW(Source!A26)</f>
        <v>26</v>
      </c>
      <c r="B9">
        <v>34944170</v>
      </c>
      <c r="C9">
        <v>34944252</v>
      </c>
      <c r="D9">
        <v>29362762</v>
      </c>
      <c r="E9">
        <v>1</v>
      </c>
      <c r="F9">
        <v>1</v>
      </c>
      <c r="G9">
        <v>1</v>
      </c>
      <c r="H9">
        <v>1</v>
      </c>
      <c r="I9" t="s">
        <v>235</v>
      </c>
      <c r="J9" t="s">
        <v>3</v>
      </c>
      <c r="K9" t="s">
        <v>236</v>
      </c>
      <c r="L9">
        <v>1369</v>
      </c>
      <c r="N9">
        <v>1013</v>
      </c>
      <c r="O9" t="s">
        <v>211</v>
      </c>
      <c r="P9" t="s">
        <v>211</v>
      </c>
      <c r="Q9">
        <v>1</v>
      </c>
      <c r="W9">
        <v>0</v>
      </c>
      <c r="X9">
        <v>604758886</v>
      </c>
      <c r="Y9">
        <v>0.84</v>
      </c>
      <c r="AA9">
        <v>0</v>
      </c>
      <c r="AB9">
        <v>0</v>
      </c>
      <c r="AC9">
        <v>0</v>
      </c>
      <c r="AD9">
        <v>264.97000000000003</v>
      </c>
      <c r="AE9">
        <v>0</v>
      </c>
      <c r="AF9">
        <v>0</v>
      </c>
      <c r="AG9">
        <v>0</v>
      </c>
      <c r="AH9">
        <v>264.97000000000003</v>
      </c>
      <c r="AI9">
        <v>1</v>
      </c>
      <c r="AJ9">
        <v>1</v>
      </c>
      <c r="AK9">
        <v>1</v>
      </c>
      <c r="AL9">
        <v>1</v>
      </c>
      <c r="AN9">
        <v>0</v>
      </c>
      <c r="AO9">
        <v>1</v>
      </c>
      <c r="AP9">
        <v>0</v>
      </c>
      <c r="AQ9">
        <v>0</v>
      </c>
      <c r="AR9">
        <v>0</v>
      </c>
      <c r="AS9" t="s">
        <v>3</v>
      </c>
      <c r="AT9">
        <v>0.84</v>
      </c>
      <c r="AU9" t="s">
        <v>3</v>
      </c>
      <c r="AV9">
        <v>1</v>
      </c>
      <c r="AW9">
        <v>2</v>
      </c>
      <c r="AX9">
        <v>34944260</v>
      </c>
      <c r="AY9">
        <v>1</v>
      </c>
      <c r="AZ9">
        <v>0</v>
      </c>
      <c r="BA9">
        <v>8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CX9">
        <f>Y9*Source!I26</f>
        <v>8.4</v>
      </c>
      <c r="CY9">
        <f>AD9</f>
        <v>264.97000000000003</v>
      </c>
      <c r="CZ9">
        <f>AH9</f>
        <v>264.97000000000003</v>
      </c>
      <c r="DA9">
        <f>AL9</f>
        <v>1</v>
      </c>
      <c r="DB9">
        <f t="shared" si="0"/>
        <v>222.57</v>
      </c>
      <c r="DC9">
        <f t="shared" si="1"/>
        <v>0</v>
      </c>
    </row>
    <row r="10" spans="1:107">
      <c r="A10">
        <f>ROW(Source!A26)</f>
        <v>26</v>
      </c>
      <c r="B10">
        <v>34944170</v>
      </c>
      <c r="C10">
        <v>34944252</v>
      </c>
      <c r="D10">
        <v>29109382</v>
      </c>
      <c r="E10">
        <v>1</v>
      </c>
      <c r="F10">
        <v>1</v>
      </c>
      <c r="G10">
        <v>1</v>
      </c>
      <c r="H10">
        <v>3</v>
      </c>
      <c r="I10" t="s">
        <v>237</v>
      </c>
      <c r="J10" t="s">
        <v>238</v>
      </c>
      <c r="K10" t="s">
        <v>239</v>
      </c>
      <c r="L10">
        <v>1346</v>
      </c>
      <c r="N10">
        <v>1009</v>
      </c>
      <c r="O10" t="s">
        <v>219</v>
      </c>
      <c r="P10" t="s">
        <v>219</v>
      </c>
      <c r="Q10">
        <v>1</v>
      </c>
      <c r="W10">
        <v>0</v>
      </c>
      <c r="X10">
        <v>-1229847137</v>
      </c>
      <c r="Y10">
        <v>0.01</v>
      </c>
      <c r="AA10">
        <v>232.6</v>
      </c>
      <c r="AB10">
        <v>0</v>
      </c>
      <c r="AC10">
        <v>0</v>
      </c>
      <c r="AD10">
        <v>0</v>
      </c>
      <c r="AE10">
        <v>28.93</v>
      </c>
      <c r="AF10">
        <v>0</v>
      </c>
      <c r="AG10">
        <v>0</v>
      </c>
      <c r="AH10">
        <v>0</v>
      </c>
      <c r="AI10">
        <v>8.0399999999999991</v>
      </c>
      <c r="AJ10">
        <v>1</v>
      </c>
      <c r="AK10">
        <v>1</v>
      </c>
      <c r="AL10">
        <v>1</v>
      </c>
      <c r="AN10">
        <v>0</v>
      </c>
      <c r="AO10">
        <v>1</v>
      </c>
      <c r="AP10">
        <v>0</v>
      </c>
      <c r="AQ10">
        <v>0</v>
      </c>
      <c r="AR10">
        <v>0</v>
      </c>
      <c r="AS10" t="s">
        <v>3</v>
      </c>
      <c r="AT10">
        <v>0.01</v>
      </c>
      <c r="AU10" t="s">
        <v>3</v>
      </c>
      <c r="AV10">
        <v>0</v>
      </c>
      <c r="AW10">
        <v>2</v>
      </c>
      <c r="AX10">
        <v>34944261</v>
      </c>
      <c r="AY10">
        <v>1</v>
      </c>
      <c r="AZ10">
        <v>0</v>
      </c>
      <c r="BA10">
        <v>9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CX10">
        <f>Y10*Source!I26</f>
        <v>0.1</v>
      </c>
      <c r="CY10">
        <f t="shared" ref="CY10:CY15" si="5">AA10</f>
        <v>232.6</v>
      </c>
      <c r="CZ10">
        <f t="shared" ref="CZ10:CZ15" si="6">AE10</f>
        <v>28.93</v>
      </c>
      <c r="DA10">
        <f t="shared" ref="DA10:DA15" si="7">AI10</f>
        <v>8.0399999999999991</v>
      </c>
      <c r="DB10">
        <f t="shared" si="0"/>
        <v>0.28999999999999998</v>
      </c>
      <c r="DC10">
        <f t="shared" si="1"/>
        <v>0</v>
      </c>
    </row>
    <row r="11" spans="1:107">
      <c r="A11">
        <f>ROW(Source!A26)</f>
        <v>26</v>
      </c>
      <c r="B11">
        <v>34944170</v>
      </c>
      <c r="C11">
        <v>34944252</v>
      </c>
      <c r="D11">
        <v>29114691</v>
      </c>
      <c r="E11">
        <v>1</v>
      </c>
      <c r="F11">
        <v>1</v>
      </c>
      <c r="G11">
        <v>1</v>
      </c>
      <c r="H11">
        <v>3</v>
      </c>
      <c r="I11" t="s">
        <v>240</v>
      </c>
      <c r="J11" t="s">
        <v>241</v>
      </c>
      <c r="K11" t="s">
        <v>242</v>
      </c>
      <c r="L11">
        <v>1348</v>
      </c>
      <c r="N11">
        <v>1009</v>
      </c>
      <c r="O11" t="s">
        <v>227</v>
      </c>
      <c r="P11" t="s">
        <v>227</v>
      </c>
      <c r="Q11">
        <v>1000</v>
      </c>
      <c r="W11">
        <v>0</v>
      </c>
      <c r="X11">
        <v>-1968542347</v>
      </c>
      <c r="Y11">
        <v>1E-4</v>
      </c>
      <c r="AA11">
        <v>90739</v>
      </c>
      <c r="AB11">
        <v>0</v>
      </c>
      <c r="AC11">
        <v>0</v>
      </c>
      <c r="AD11">
        <v>0</v>
      </c>
      <c r="AE11">
        <v>12430</v>
      </c>
      <c r="AF11">
        <v>0</v>
      </c>
      <c r="AG11">
        <v>0</v>
      </c>
      <c r="AH11">
        <v>0</v>
      </c>
      <c r="AI11">
        <v>7.3</v>
      </c>
      <c r="AJ11">
        <v>1</v>
      </c>
      <c r="AK11">
        <v>1</v>
      </c>
      <c r="AL11">
        <v>1</v>
      </c>
      <c r="AN11">
        <v>0</v>
      </c>
      <c r="AO11">
        <v>1</v>
      </c>
      <c r="AP11">
        <v>0</v>
      </c>
      <c r="AQ11">
        <v>0</v>
      </c>
      <c r="AR11">
        <v>0</v>
      </c>
      <c r="AS11" t="s">
        <v>3</v>
      </c>
      <c r="AT11">
        <v>1E-4</v>
      </c>
      <c r="AU11" t="s">
        <v>3</v>
      </c>
      <c r="AV11">
        <v>0</v>
      </c>
      <c r="AW11">
        <v>2</v>
      </c>
      <c r="AX11">
        <v>34944262</v>
      </c>
      <c r="AY11">
        <v>1</v>
      </c>
      <c r="AZ11">
        <v>0</v>
      </c>
      <c r="BA11">
        <v>10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CX11">
        <f>Y11*Source!I26</f>
        <v>1E-3</v>
      </c>
      <c r="CY11">
        <f t="shared" si="5"/>
        <v>90739</v>
      </c>
      <c r="CZ11">
        <f t="shared" si="6"/>
        <v>12430</v>
      </c>
      <c r="DA11">
        <f t="shared" si="7"/>
        <v>7.3</v>
      </c>
      <c r="DB11">
        <f t="shared" si="0"/>
        <v>1.24</v>
      </c>
      <c r="DC11">
        <f t="shared" si="1"/>
        <v>0</v>
      </c>
    </row>
    <row r="12" spans="1:107">
      <c r="A12">
        <f>ROW(Source!A26)</f>
        <v>26</v>
      </c>
      <c r="B12">
        <v>34944170</v>
      </c>
      <c r="C12">
        <v>34944252</v>
      </c>
      <c r="D12">
        <v>29107468</v>
      </c>
      <c r="E12">
        <v>1</v>
      </c>
      <c r="F12">
        <v>1</v>
      </c>
      <c r="G12">
        <v>1</v>
      </c>
      <c r="H12">
        <v>3</v>
      </c>
      <c r="I12" t="s">
        <v>216</v>
      </c>
      <c r="J12" t="s">
        <v>217</v>
      </c>
      <c r="K12" t="s">
        <v>218</v>
      </c>
      <c r="L12">
        <v>1346</v>
      </c>
      <c r="N12">
        <v>1009</v>
      </c>
      <c r="O12" t="s">
        <v>219</v>
      </c>
      <c r="P12" t="s">
        <v>219</v>
      </c>
      <c r="Q12">
        <v>1</v>
      </c>
      <c r="W12">
        <v>0</v>
      </c>
      <c r="X12">
        <v>1784212875</v>
      </c>
      <c r="Y12">
        <v>2.0000000000000001E-4</v>
      </c>
      <c r="AA12">
        <v>204.57</v>
      </c>
      <c r="AB12">
        <v>0</v>
      </c>
      <c r="AC12">
        <v>0</v>
      </c>
      <c r="AD12">
        <v>0</v>
      </c>
      <c r="AE12">
        <v>12.62</v>
      </c>
      <c r="AF12">
        <v>0</v>
      </c>
      <c r="AG12">
        <v>0</v>
      </c>
      <c r="AH12">
        <v>0</v>
      </c>
      <c r="AI12">
        <v>16.21</v>
      </c>
      <c r="AJ12">
        <v>1</v>
      </c>
      <c r="AK12">
        <v>1</v>
      </c>
      <c r="AL12">
        <v>1</v>
      </c>
      <c r="AN12">
        <v>0</v>
      </c>
      <c r="AO12">
        <v>1</v>
      </c>
      <c r="AP12">
        <v>0</v>
      </c>
      <c r="AQ12">
        <v>0</v>
      </c>
      <c r="AR12">
        <v>0</v>
      </c>
      <c r="AS12" t="s">
        <v>3</v>
      </c>
      <c r="AT12">
        <v>2.0000000000000001E-4</v>
      </c>
      <c r="AU12" t="s">
        <v>3</v>
      </c>
      <c r="AV12">
        <v>0</v>
      </c>
      <c r="AW12">
        <v>2</v>
      </c>
      <c r="AX12">
        <v>34944263</v>
      </c>
      <c r="AY12">
        <v>1</v>
      </c>
      <c r="AZ12">
        <v>0</v>
      </c>
      <c r="BA12">
        <v>11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CX12">
        <f>Y12*Source!I26</f>
        <v>2E-3</v>
      </c>
      <c r="CY12">
        <f t="shared" si="5"/>
        <v>204.57</v>
      </c>
      <c r="CZ12">
        <f t="shared" si="6"/>
        <v>12.62</v>
      </c>
      <c r="DA12">
        <f t="shared" si="7"/>
        <v>16.21</v>
      </c>
      <c r="DB12">
        <f t="shared" si="0"/>
        <v>0</v>
      </c>
      <c r="DC12">
        <f t="shared" si="1"/>
        <v>0</v>
      </c>
    </row>
    <row r="13" spans="1:107">
      <c r="A13">
        <f>ROW(Source!A26)</f>
        <v>26</v>
      </c>
      <c r="B13">
        <v>34944170</v>
      </c>
      <c r="C13">
        <v>34944252</v>
      </c>
      <c r="D13">
        <v>29158010</v>
      </c>
      <c r="E13">
        <v>1</v>
      </c>
      <c r="F13">
        <v>1</v>
      </c>
      <c r="G13">
        <v>1</v>
      </c>
      <c r="H13">
        <v>3</v>
      </c>
      <c r="I13" t="s">
        <v>228</v>
      </c>
      <c r="J13" t="s">
        <v>229</v>
      </c>
      <c r="K13" t="s">
        <v>230</v>
      </c>
      <c r="L13">
        <v>1346</v>
      </c>
      <c r="N13">
        <v>1009</v>
      </c>
      <c r="O13" t="s">
        <v>219</v>
      </c>
      <c r="P13" t="s">
        <v>219</v>
      </c>
      <c r="Q13">
        <v>1</v>
      </c>
      <c r="W13">
        <v>0</v>
      </c>
      <c r="X13">
        <v>567682832</v>
      </c>
      <c r="Y13">
        <v>2E-3</v>
      </c>
      <c r="AA13">
        <v>621.05999999999995</v>
      </c>
      <c r="AB13">
        <v>0</v>
      </c>
      <c r="AC13">
        <v>0</v>
      </c>
      <c r="AD13">
        <v>0</v>
      </c>
      <c r="AE13">
        <v>65.930000000000007</v>
      </c>
      <c r="AF13">
        <v>0</v>
      </c>
      <c r="AG13">
        <v>0</v>
      </c>
      <c r="AH13">
        <v>0</v>
      </c>
      <c r="AI13">
        <v>9.42</v>
      </c>
      <c r="AJ13">
        <v>1</v>
      </c>
      <c r="AK13">
        <v>1</v>
      </c>
      <c r="AL13">
        <v>1</v>
      </c>
      <c r="AN13">
        <v>0</v>
      </c>
      <c r="AO13">
        <v>1</v>
      </c>
      <c r="AP13">
        <v>0</v>
      </c>
      <c r="AQ13">
        <v>0</v>
      </c>
      <c r="AR13">
        <v>0</v>
      </c>
      <c r="AS13" t="s">
        <v>3</v>
      </c>
      <c r="AT13">
        <v>2E-3</v>
      </c>
      <c r="AU13" t="s">
        <v>3</v>
      </c>
      <c r="AV13">
        <v>0</v>
      </c>
      <c r="AW13">
        <v>2</v>
      </c>
      <c r="AX13">
        <v>34944264</v>
      </c>
      <c r="AY13">
        <v>1</v>
      </c>
      <c r="AZ13">
        <v>0</v>
      </c>
      <c r="BA13">
        <v>12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CX13">
        <f>Y13*Source!I26</f>
        <v>0.02</v>
      </c>
      <c r="CY13">
        <f t="shared" si="5"/>
        <v>621.05999999999995</v>
      </c>
      <c r="CZ13">
        <f t="shared" si="6"/>
        <v>65.930000000000007</v>
      </c>
      <c r="DA13">
        <f t="shared" si="7"/>
        <v>9.42</v>
      </c>
      <c r="DB13">
        <f t="shared" si="0"/>
        <v>0.13</v>
      </c>
      <c r="DC13">
        <f t="shared" si="1"/>
        <v>0</v>
      </c>
    </row>
    <row r="14" spans="1:107">
      <c r="A14">
        <f>ROW(Source!A26)</f>
        <v>26</v>
      </c>
      <c r="B14">
        <v>34944170</v>
      </c>
      <c r="C14">
        <v>34944252</v>
      </c>
      <c r="D14">
        <v>29159023</v>
      </c>
      <c r="E14">
        <v>1</v>
      </c>
      <c r="F14">
        <v>1</v>
      </c>
      <c r="G14">
        <v>1</v>
      </c>
      <c r="H14">
        <v>3</v>
      </c>
      <c r="I14" t="s">
        <v>243</v>
      </c>
      <c r="J14" t="s">
        <v>244</v>
      </c>
      <c r="K14" t="s">
        <v>245</v>
      </c>
      <c r="L14">
        <v>1346</v>
      </c>
      <c r="N14">
        <v>1009</v>
      </c>
      <c r="O14" t="s">
        <v>219</v>
      </c>
      <c r="P14" t="s">
        <v>219</v>
      </c>
      <c r="Q14">
        <v>1</v>
      </c>
      <c r="W14">
        <v>0</v>
      </c>
      <c r="X14">
        <v>-1884434248</v>
      </c>
      <c r="Y14">
        <v>1.42E-3</v>
      </c>
      <c r="AA14">
        <v>322.60000000000002</v>
      </c>
      <c r="AB14">
        <v>0</v>
      </c>
      <c r="AC14">
        <v>0</v>
      </c>
      <c r="AD14">
        <v>0</v>
      </c>
      <c r="AE14">
        <v>38.450000000000003</v>
      </c>
      <c r="AF14">
        <v>0</v>
      </c>
      <c r="AG14">
        <v>0</v>
      </c>
      <c r="AH14">
        <v>0</v>
      </c>
      <c r="AI14">
        <v>8.39</v>
      </c>
      <c r="AJ14">
        <v>1</v>
      </c>
      <c r="AK14">
        <v>1</v>
      </c>
      <c r="AL14">
        <v>1</v>
      </c>
      <c r="AN14">
        <v>0</v>
      </c>
      <c r="AO14">
        <v>1</v>
      </c>
      <c r="AP14">
        <v>0</v>
      </c>
      <c r="AQ14">
        <v>0</v>
      </c>
      <c r="AR14">
        <v>0</v>
      </c>
      <c r="AS14" t="s">
        <v>3</v>
      </c>
      <c r="AT14">
        <v>1.42E-3</v>
      </c>
      <c r="AU14" t="s">
        <v>3</v>
      </c>
      <c r="AV14">
        <v>0</v>
      </c>
      <c r="AW14">
        <v>2</v>
      </c>
      <c r="AX14">
        <v>34944265</v>
      </c>
      <c r="AY14">
        <v>1</v>
      </c>
      <c r="AZ14">
        <v>0</v>
      </c>
      <c r="BA14">
        <v>13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CX14">
        <f>Y14*Source!I26</f>
        <v>1.4200000000000001E-2</v>
      </c>
      <c r="CY14">
        <f t="shared" si="5"/>
        <v>322.60000000000002</v>
      </c>
      <c r="CZ14">
        <f t="shared" si="6"/>
        <v>38.450000000000003</v>
      </c>
      <c r="DA14">
        <f t="shared" si="7"/>
        <v>8.39</v>
      </c>
      <c r="DB14">
        <f t="shared" si="0"/>
        <v>0.05</v>
      </c>
      <c r="DC14">
        <f t="shared" si="1"/>
        <v>0</v>
      </c>
    </row>
    <row r="15" spans="1:107">
      <c r="A15">
        <f>ROW(Source!A26)</f>
        <v>26</v>
      </c>
      <c r="B15">
        <v>34944170</v>
      </c>
      <c r="C15">
        <v>34944252</v>
      </c>
      <c r="D15">
        <v>29171808</v>
      </c>
      <c r="E15">
        <v>1</v>
      </c>
      <c r="F15">
        <v>1</v>
      </c>
      <c r="G15">
        <v>1</v>
      </c>
      <c r="H15">
        <v>3</v>
      </c>
      <c r="I15" t="s">
        <v>231</v>
      </c>
      <c r="J15" t="s">
        <v>232</v>
      </c>
      <c r="K15" t="s">
        <v>233</v>
      </c>
      <c r="L15">
        <v>1374</v>
      </c>
      <c r="N15">
        <v>1013</v>
      </c>
      <c r="O15" t="s">
        <v>234</v>
      </c>
      <c r="P15" t="s">
        <v>234</v>
      </c>
      <c r="Q15">
        <v>1</v>
      </c>
      <c r="W15">
        <v>0</v>
      </c>
      <c r="X15">
        <v>-915781824</v>
      </c>
      <c r="Y15">
        <v>0.16</v>
      </c>
      <c r="AA15">
        <v>1</v>
      </c>
      <c r="AB15">
        <v>0</v>
      </c>
      <c r="AC15">
        <v>0</v>
      </c>
      <c r="AD15">
        <v>0</v>
      </c>
      <c r="AE15">
        <v>1</v>
      </c>
      <c r="AF15">
        <v>0</v>
      </c>
      <c r="AG15">
        <v>0</v>
      </c>
      <c r="AH15">
        <v>0</v>
      </c>
      <c r="AI15">
        <v>1</v>
      </c>
      <c r="AJ15">
        <v>1</v>
      </c>
      <c r="AK15">
        <v>1</v>
      </c>
      <c r="AL15">
        <v>1</v>
      </c>
      <c r="AN15">
        <v>0</v>
      </c>
      <c r="AO15">
        <v>1</v>
      </c>
      <c r="AP15">
        <v>0</v>
      </c>
      <c r="AQ15">
        <v>0</v>
      </c>
      <c r="AR15">
        <v>0</v>
      </c>
      <c r="AS15" t="s">
        <v>3</v>
      </c>
      <c r="AT15">
        <v>0.16</v>
      </c>
      <c r="AU15" t="s">
        <v>3</v>
      </c>
      <c r="AV15">
        <v>0</v>
      </c>
      <c r="AW15">
        <v>2</v>
      </c>
      <c r="AX15">
        <v>34944266</v>
      </c>
      <c r="AY15">
        <v>1</v>
      </c>
      <c r="AZ15">
        <v>0</v>
      </c>
      <c r="BA15">
        <v>14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CX15">
        <f>Y15*Source!I26</f>
        <v>1.6</v>
      </c>
      <c r="CY15">
        <f t="shared" si="5"/>
        <v>1</v>
      </c>
      <c r="CZ15">
        <f t="shared" si="6"/>
        <v>1</v>
      </c>
      <c r="DA15">
        <f t="shared" si="7"/>
        <v>1</v>
      </c>
      <c r="DB15">
        <f t="shared" si="0"/>
        <v>0.16</v>
      </c>
      <c r="DC15">
        <f t="shared" si="1"/>
        <v>0</v>
      </c>
    </row>
    <row r="16" spans="1:107">
      <c r="A16">
        <f>ROW(Source!A28)</f>
        <v>28</v>
      </c>
      <c r="B16">
        <v>34944170</v>
      </c>
      <c r="C16">
        <v>34944268</v>
      </c>
      <c r="D16">
        <v>18410280</v>
      </c>
      <c r="E16">
        <v>1</v>
      </c>
      <c r="F16">
        <v>1</v>
      </c>
      <c r="G16">
        <v>1</v>
      </c>
      <c r="H16">
        <v>1</v>
      </c>
      <c r="I16" t="s">
        <v>246</v>
      </c>
      <c r="J16" t="s">
        <v>3</v>
      </c>
      <c r="K16" t="s">
        <v>247</v>
      </c>
      <c r="L16">
        <v>1369</v>
      </c>
      <c r="N16">
        <v>1013</v>
      </c>
      <c r="O16" t="s">
        <v>211</v>
      </c>
      <c r="P16" t="s">
        <v>211</v>
      </c>
      <c r="Q16">
        <v>1</v>
      </c>
      <c r="W16">
        <v>0</v>
      </c>
      <c r="X16">
        <v>-464685602</v>
      </c>
      <c r="Y16">
        <v>16.29</v>
      </c>
      <c r="AA16">
        <v>0</v>
      </c>
      <c r="AB16">
        <v>0</v>
      </c>
      <c r="AC16">
        <v>0</v>
      </c>
      <c r="AD16">
        <v>261.94</v>
      </c>
      <c r="AE16">
        <v>0</v>
      </c>
      <c r="AF16">
        <v>0</v>
      </c>
      <c r="AG16">
        <v>0</v>
      </c>
      <c r="AH16">
        <v>261.94</v>
      </c>
      <c r="AI16">
        <v>1</v>
      </c>
      <c r="AJ16">
        <v>1</v>
      </c>
      <c r="AK16">
        <v>1</v>
      </c>
      <c r="AL16">
        <v>1</v>
      </c>
      <c r="AN16">
        <v>0</v>
      </c>
      <c r="AO16">
        <v>1</v>
      </c>
      <c r="AP16">
        <v>0</v>
      </c>
      <c r="AQ16">
        <v>0</v>
      </c>
      <c r="AR16">
        <v>0</v>
      </c>
      <c r="AS16" t="s">
        <v>3</v>
      </c>
      <c r="AT16">
        <v>16.29</v>
      </c>
      <c r="AU16" t="s">
        <v>3</v>
      </c>
      <c r="AV16">
        <v>1</v>
      </c>
      <c r="AW16">
        <v>2</v>
      </c>
      <c r="AX16">
        <v>34944277</v>
      </c>
      <c r="AY16">
        <v>1</v>
      </c>
      <c r="AZ16">
        <v>0</v>
      </c>
      <c r="BA16">
        <v>15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CX16">
        <f>Y16*Source!I28</f>
        <v>16.29</v>
      </c>
      <c r="CY16">
        <f>AD16</f>
        <v>261.94</v>
      </c>
      <c r="CZ16">
        <f>AH16</f>
        <v>261.94</v>
      </c>
      <c r="DA16">
        <f>AL16</f>
        <v>1</v>
      </c>
      <c r="DB16">
        <f t="shared" si="0"/>
        <v>4267</v>
      </c>
      <c r="DC16">
        <f t="shared" si="1"/>
        <v>0</v>
      </c>
    </row>
    <row r="17" spans="1:107">
      <c r="A17">
        <f>ROW(Source!A28)</f>
        <v>28</v>
      </c>
      <c r="B17">
        <v>34944170</v>
      </c>
      <c r="C17">
        <v>34944268</v>
      </c>
      <c r="D17">
        <v>121548</v>
      </c>
      <c r="E17">
        <v>1</v>
      </c>
      <c r="F17">
        <v>1</v>
      </c>
      <c r="G17">
        <v>1</v>
      </c>
      <c r="H17">
        <v>1</v>
      </c>
      <c r="I17" t="s">
        <v>248</v>
      </c>
      <c r="J17" t="s">
        <v>3</v>
      </c>
      <c r="K17" t="s">
        <v>249</v>
      </c>
      <c r="L17">
        <v>608254</v>
      </c>
      <c r="N17">
        <v>1013</v>
      </c>
      <c r="O17" t="s">
        <v>250</v>
      </c>
      <c r="P17" t="s">
        <v>250</v>
      </c>
      <c r="Q17">
        <v>1</v>
      </c>
      <c r="W17">
        <v>0</v>
      </c>
      <c r="X17">
        <v>-185737400</v>
      </c>
      <c r="Y17">
        <v>0.01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1</v>
      </c>
      <c r="AJ17">
        <v>1</v>
      </c>
      <c r="AK17">
        <v>1</v>
      </c>
      <c r="AL17">
        <v>1</v>
      </c>
      <c r="AN17">
        <v>0</v>
      </c>
      <c r="AO17">
        <v>1</v>
      </c>
      <c r="AP17">
        <v>0</v>
      </c>
      <c r="AQ17">
        <v>0</v>
      </c>
      <c r="AR17">
        <v>0</v>
      </c>
      <c r="AS17" t="s">
        <v>3</v>
      </c>
      <c r="AT17">
        <v>0.01</v>
      </c>
      <c r="AU17" t="s">
        <v>3</v>
      </c>
      <c r="AV17">
        <v>2</v>
      </c>
      <c r="AW17">
        <v>2</v>
      </c>
      <c r="AX17">
        <v>34944278</v>
      </c>
      <c r="AY17">
        <v>1</v>
      </c>
      <c r="AZ17">
        <v>0</v>
      </c>
      <c r="BA17">
        <v>16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CX17">
        <f>Y17*Source!I28</f>
        <v>0.01</v>
      </c>
      <c r="CY17">
        <f>AD17</f>
        <v>0</v>
      </c>
      <c r="CZ17">
        <f>AH17</f>
        <v>0</v>
      </c>
      <c r="DA17">
        <f>AL17</f>
        <v>1</v>
      </c>
      <c r="DB17">
        <f t="shared" si="0"/>
        <v>0</v>
      </c>
      <c r="DC17">
        <f t="shared" si="1"/>
        <v>0</v>
      </c>
    </row>
    <row r="18" spans="1:107">
      <c r="A18">
        <f>ROW(Source!A28)</f>
        <v>28</v>
      </c>
      <c r="B18">
        <v>34944170</v>
      </c>
      <c r="C18">
        <v>34944268</v>
      </c>
      <c r="D18">
        <v>29172556</v>
      </c>
      <c r="E18">
        <v>1</v>
      </c>
      <c r="F18">
        <v>1</v>
      </c>
      <c r="G18">
        <v>1</v>
      </c>
      <c r="H18">
        <v>2</v>
      </c>
      <c r="I18" t="s">
        <v>251</v>
      </c>
      <c r="J18" t="s">
        <v>252</v>
      </c>
      <c r="K18" t="s">
        <v>253</v>
      </c>
      <c r="L18">
        <v>1368</v>
      </c>
      <c r="N18">
        <v>1011</v>
      </c>
      <c r="O18" t="s">
        <v>215</v>
      </c>
      <c r="P18" t="s">
        <v>215</v>
      </c>
      <c r="Q18">
        <v>1</v>
      </c>
      <c r="W18">
        <v>0</v>
      </c>
      <c r="X18">
        <v>-1302720870</v>
      </c>
      <c r="Y18">
        <v>0.01</v>
      </c>
      <c r="AA18">
        <v>0</v>
      </c>
      <c r="AB18">
        <v>424.51</v>
      </c>
      <c r="AC18">
        <v>408.92</v>
      </c>
      <c r="AD18">
        <v>0</v>
      </c>
      <c r="AE18">
        <v>0</v>
      </c>
      <c r="AF18">
        <v>31.26</v>
      </c>
      <c r="AG18">
        <v>13.5</v>
      </c>
      <c r="AH18">
        <v>0</v>
      </c>
      <c r="AI18">
        <v>1</v>
      </c>
      <c r="AJ18">
        <v>13.58</v>
      </c>
      <c r="AK18">
        <v>30.29</v>
      </c>
      <c r="AL18">
        <v>1</v>
      </c>
      <c r="AN18">
        <v>0</v>
      </c>
      <c r="AO18">
        <v>1</v>
      </c>
      <c r="AP18">
        <v>0</v>
      </c>
      <c r="AQ18">
        <v>0</v>
      </c>
      <c r="AR18">
        <v>0</v>
      </c>
      <c r="AS18" t="s">
        <v>3</v>
      </c>
      <c r="AT18">
        <v>0.01</v>
      </c>
      <c r="AU18" t="s">
        <v>3</v>
      </c>
      <c r="AV18">
        <v>0</v>
      </c>
      <c r="AW18">
        <v>2</v>
      </c>
      <c r="AX18">
        <v>34944279</v>
      </c>
      <c r="AY18">
        <v>1</v>
      </c>
      <c r="AZ18">
        <v>0</v>
      </c>
      <c r="BA18">
        <v>17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CX18">
        <f>Y18*Source!I28</f>
        <v>0.01</v>
      </c>
      <c r="CY18">
        <f>AB18</f>
        <v>424.51</v>
      </c>
      <c r="CZ18">
        <f>AF18</f>
        <v>31.26</v>
      </c>
      <c r="DA18">
        <f>AJ18</f>
        <v>13.58</v>
      </c>
      <c r="DB18">
        <f t="shared" si="0"/>
        <v>0.31</v>
      </c>
      <c r="DC18">
        <f t="shared" si="1"/>
        <v>0.14000000000000001</v>
      </c>
    </row>
    <row r="19" spans="1:107">
      <c r="A19">
        <f>ROW(Source!A28)</f>
        <v>28</v>
      </c>
      <c r="B19">
        <v>34944170</v>
      </c>
      <c r="C19">
        <v>34944268</v>
      </c>
      <c r="D19">
        <v>29173472</v>
      </c>
      <c r="E19">
        <v>1</v>
      </c>
      <c r="F19">
        <v>1</v>
      </c>
      <c r="G19">
        <v>1</v>
      </c>
      <c r="H19">
        <v>2</v>
      </c>
      <c r="I19" t="s">
        <v>254</v>
      </c>
      <c r="J19" t="s">
        <v>255</v>
      </c>
      <c r="K19" t="s">
        <v>256</v>
      </c>
      <c r="L19">
        <v>1368</v>
      </c>
      <c r="N19">
        <v>1011</v>
      </c>
      <c r="O19" t="s">
        <v>215</v>
      </c>
      <c r="P19" t="s">
        <v>215</v>
      </c>
      <c r="Q19">
        <v>1</v>
      </c>
      <c r="W19">
        <v>0</v>
      </c>
      <c r="X19">
        <v>275932499</v>
      </c>
      <c r="Y19">
        <v>6.08</v>
      </c>
      <c r="AA19">
        <v>0</v>
      </c>
      <c r="AB19">
        <v>12.6</v>
      </c>
      <c r="AC19">
        <v>0</v>
      </c>
      <c r="AD19">
        <v>0</v>
      </c>
      <c r="AE19">
        <v>0</v>
      </c>
      <c r="AF19">
        <v>3</v>
      </c>
      <c r="AG19">
        <v>0</v>
      </c>
      <c r="AH19">
        <v>0</v>
      </c>
      <c r="AI19">
        <v>1</v>
      </c>
      <c r="AJ19">
        <v>4.2</v>
      </c>
      <c r="AK19">
        <v>30.29</v>
      </c>
      <c r="AL19">
        <v>1</v>
      </c>
      <c r="AN19">
        <v>0</v>
      </c>
      <c r="AO19">
        <v>1</v>
      </c>
      <c r="AP19">
        <v>0</v>
      </c>
      <c r="AQ19">
        <v>0</v>
      </c>
      <c r="AR19">
        <v>0</v>
      </c>
      <c r="AS19" t="s">
        <v>3</v>
      </c>
      <c r="AT19">
        <v>6.08</v>
      </c>
      <c r="AU19" t="s">
        <v>3</v>
      </c>
      <c r="AV19">
        <v>0</v>
      </c>
      <c r="AW19">
        <v>2</v>
      </c>
      <c r="AX19">
        <v>34944280</v>
      </c>
      <c r="AY19">
        <v>1</v>
      </c>
      <c r="AZ19">
        <v>0</v>
      </c>
      <c r="BA19">
        <v>18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CX19">
        <f>Y19*Source!I28</f>
        <v>6.08</v>
      </c>
      <c r="CY19">
        <f>AB19</f>
        <v>12.6</v>
      </c>
      <c r="CZ19">
        <f>AF19</f>
        <v>3</v>
      </c>
      <c r="DA19">
        <f>AJ19</f>
        <v>4.2</v>
      </c>
      <c r="DB19">
        <f t="shared" si="0"/>
        <v>18.239999999999998</v>
      </c>
      <c r="DC19">
        <f t="shared" si="1"/>
        <v>0</v>
      </c>
    </row>
    <row r="20" spans="1:107">
      <c r="A20">
        <f>ROW(Source!A28)</f>
        <v>28</v>
      </c>
      <c r="B20">
        <v>34944170</v>
      </c>
      <c r="C20">
        <v>34944268</v>
      </c>
      <c r="D20">
        <v>29174580</v>
      </c>
      <c r="E20">
        <v>1</v>
      </c>
      <c r="F20">
        <v>1</v>
      </c>
      <c r="G20">
        <v>1</v>
      </c>
      <c r="H20">
        <v>2</v>
      </c>
      <c r="I20" t="s">
        <v>257</v>
      </c>
      <c r="J20" t="s">
        <v>258</v>
      </c>
      <c r="K20" t="s">
        <v>259</v>
      </c>
      <c r="L20">
        <v>1368</v>
      </c>
      <c r="N20">
        <v>1011</v>
      </c>
      <c r="O20" t="s">
        <v>215</v>
      </c>
      <c r="P20" t="s">
        <v>215</v>
      </c>
      <c r="Q20">
        <v>1</v>
      </c>
      <c r="W20">
        <v>0</v>
      </c>
      <c r="X20">
        <v>-169468834</v>
      </c>
      <c r="Y20">
        <v>6.08</v>
      </c>
      <c r="AA20">
        <v>0</v>
      </c>
      <c r="AB20">
        <v>31.82</v>
      </c>
      <c r="AC20">
        <v>0</v>
      </c>
      <c r="AD20">
        <v>0</v>
      </c>
      <c r="AE20">
        <v>0</v>
      </c>
      <c r="AF20">
        <v>2.08</v>
      </c>
      <c r="AG20">
        <v>0</v>
      </c>
      <c r="AH20">
        <v>0</v>
      </c>
      <c r="AI20">
        <v>1</v>
      </c>
      <c r="AJ20">
        <v>15.3</v>
      </c>
      <c r="AK20">
        <v>30.29</v>
      </c>
      <c r="AL20">
        <v>1</v>
      </c>
      <c r="AN20">
        <v>0</v>
      </c>
      <c r="AO20">
        <v>1</v>
      </c>
      <c r="AP20">
        <v>0</v>
      </c>
      <c r="AQ20">
        <v>0</v>
      </c>
      <c r="AR20">
        <v>0</v>
      </c>
      <c r="AS20" t="s">
        <v>3</v>
      </c>
      <c r="AT20">
        <v>6.08</v>
      </c>
      <c r="AU20" t="s">
        <v>3</v>
      </c>
      <c r="AV20">
        <v>0</v>
      </c>
      <c r="AW20">
        <v>2</v>
      </c>
      <c r="AX20">
        <v>34944281</v>
      </c>
      <c r="AY20">
        <v>1</v>
      </c>
      <c r="AZ20">
        <v>0</v>
      </c>
      <c r="BA20">
        <v>19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CX20">
        <f>Y20*Source!I28</f>
        <v>6.08</v>
      </c>
      <c r="CY20">
        <f>AB20</f>
        <v>31.82</v>
      </c>
      <c r="CZ20">
        <f>AF20</f>
        <v>2.08</v>
      </c>
      <c r="DA20">
        <f>AJ20</f>
        <v>15.3</v>
      </c>
      <c r="DB20">
        <f t="shared" si="0"/>
        <v>12.65</v>
      </c>
      <c r="DC20">
        <f t="shared" si="1"/>
        <v>0</v>
      </c>
    </row>
    <row r="21" spans="1:107">
      <c r="A21">
        <f>ROW(Source!A28)</f>
        <v>28</v>
      </c>
      <c r="B21">
        <v>34944170</v>
      </c>
      <c r="C21">
        <v>34944268</v>
      </c>
      <c r="D21">
        <v>29114688</v>
      </c>
      <c r="E21">
        <v>1</v>
      </c>
      <c r="F21">
        <v>1</v>
      </c>
      <c r="G21">
        <v>1</v>
      </c>
      <c r="H21">
        <v>3</v>
      </c>
      <c r="I21" t="s">
        <v>260</v>
      </c>
      <c r="J21" t="s">
        <v>261</v>
      </c>
      <c r="K21" t="s">
        <v>262</v>
      </c>
      <c r="L21">
        <v>1348</v>
      </c>
      <c r="N21">
        <v>1009</v>
      </c>
      <c r="O21" t="s">
        <v>227</v>
      </c>
      <c r="P21" t="s">
        <v>227</v>
      </c>
      <c r="Q21">
        <v>1000</v>
      </c>
      <c r="W21">
        <v>0</v>
      </c>
      <c r="X21">
        <v>1008226964</v>
      </c>
      <c r="Y21">
        <v>1E-3</v>
      </c>
      <c r="AA21">
        <v>96705.4</v>
      </c>
      <c r="AB21">
        <v>0</v>
      </c>
      <c r="AC21">
        <v>0</v>
      </c>
      <c r="AD21">
        <v>0</v>
      </c>
      <c r="AE21">
        <v>12430</v>
      </c>
      <c r="AF21">
        <v>0</v>
      </c>
      <c r="AG21">
        <v>0</v>
      </c>
      <c r="AH21">
        <v>0</v>
      </c>
      <c r="AI21">
        <v>7.78</v>
      </c>
      <c r="AJ21">
        <v>1</v>
      </c>
      <c r="AK21">
        <v>1</v>
      </c>
      <c r="AL21">
        <v>1</v>
      </c>
      <c r="AN21">
        <v>0</v>
      </c>
      <c r="AO21">
        <v>1</v>
      </c>
      <c r="AP21">
        <v>0</v>
      </c>
      <c r="AQ21">
        <v>0</v>
      </c>
      <c r="AR21">
        <v>0</v>
      </c>
      <c r="AS21" t="s">
        <v>3</v>
      </c>
      <c r="AT21">
        <v>1E-3</v>
      </c>
      <c r="AU21" t="s">
        <v>3</v>
      </c>
      <c r="AV21">
        <v>0</v>
      </c>
      <c r="AW21">
        <v>2</v>
      </c>
      <c r="AX21">
        <v>34944282</v>
      </c>
      <c r="AY21">
        <v>1</v>
      </c>
      <c r="AZ21">
        <v>0</v>
      </c>
      <c r="BA21">
        <v>20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CX21">
        <f>Y21*Source!I28</f>
        <v>1E-3</v>
      </c>
      <c r="CY21">
        <f>AA21</f>
        <v>96705.4</v>
      </c>
      <c r="CZ21">
        <f>AE21</f>
        <v>12430</v>
      </c>
      <c r="DA21">
        <f>AI21</f>
        <v>7.78</v>
      </c>
      <c r="DB21">
        <f t="shared" si="0"/>
        <v>12.43</v>
      </c>
      <c r="DC21">
        <f t="shared" si="1"/>
        <v>0</v>
      </c>
    </row>
    <row r="22" spans="1:107">
      <c r="A22">
        <f>ROW(Source!A28)</f>
        <v>28</v>
      </c>
      <c r="B22">
        <v>34944170</v>
      </c>
      <c r="C22">
        <v>34944268</v>
      </c>
      <c r="D22">
        <v>29114472</v>
      </c>
      <c r="E22">
        <v>1</v>
      </c>
      <c r="F22">
        <v>1</v>
      </c>
      <c r="G22">
        <v>1</v>
      </c>
      <c r="H22">
        <v>3</v>
      </c>
      <c r="I22" t="s">
        <v>263</v>
      </c>
      <c r="J22" t="s">
        <v>264</v>
      </c>
      <c r="K22" t="s">
        <v>265</v>
      </c>
      <c r="L22">
        <v>1358</v>
      </c>
      <c r="N22">
        <v>1010</v>
      </c>
      <c r="O22" t="s">
        <v>223</v>
      </c>
      <c r="P22" t="s">
        <v>223</v>
      </c>
      <c r="Q22">
        <v>10</v>
      </c>
      <c r="W22">
        <v>0</v>
      </c>
      <c r="X22">
        <v>2117263208</v>
      </c>
      <c r="Y22">
        <v>20</v>
      </c>
      <c r="AA22">
        <v>1.83</v>
      </c>
      <c r="AB22">
        <v>0</v>
      </c>
      <c r="AC22">
        <v>0</v>
      </c>
      <c r="AD22">
        <v>0</v>
      </c>
      <c r="AE22">
        <v>1.79</v>
      </c>
      <c r="AF22">
        <v>0</v>
      </c>
      <c r="AG22">
        <v>0</v>
      </c>
      <c r="AH22">
        <v>0</v>
      </c>
      <c r="AI22">
        <v>1.02</v>
      </c>
      <c r="AJ22">
        <v>1</v>
      </c>
      <c r="AK22">
        <v>1</v>
      </c>
      <c r="AL22">
        <v>1</v>
      </c>
      <c r="AN22">
        <v>0</v>
      </c>
      <c r="AO22">
        <v>1</v>
      </c>
      <c r="AP22">
        <v>0</v>
      </c>
      <c r="AQ22">
        <v>0</v>
      </c>
      <c r="AR22">
        <v>0</v>
      </c>
      <c r="AS22" t="s">
        <v>3</v>
      </c>
      <c r="AT22">
        <v>20</v>
      </c>
      <c r="AU22" t="s">
        <v>3</v>
      </c>
      <c r="AV22">
        <v>0</v>
      </c>
      <c r="AW22">
        <v>2</v>
      </c>
      <c r="AX22">
        <v>34944283</v>
      </c>
      <c r="AY22">
        <v>1</v>
      </c>
      <c r="AZ22">
        <v>0</v>
      </c>
      <c r="BA22">
        <v>21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CX22">
        <f>Y22*Source!I28</f>
        <v>20</v>
      </c>
      <c r="CY22">
        <f>AA22</f>
        <v>1.83</v>
      </c>
      <c r="CZ22">
        <f>AE22</f>
        <v>1.79</v>
      </c>
      <c r="DA22">
        <f>AI22</f>
        <v>1.02</v>
      </c>
      <c r="DB22">
        <f t="shared" si="0"/>
        <v>35.799999999999997</v>
      </c>
      <c r="DC22">
        <f t="shared" si="1"/>
        <v>0</v>
      </c>
    </row>
    <row r="23" spans="1:107">
      <c r="A23">
        <f>ROW(Source!A28)</f>
        <v>28</v>
      </c>
      <c r="B23">
        <v>34944170</v>
      </c>
      <c r="C23">
        <v>34944268</v>
      </c>
      <c r="D23">
        <v>29171808</v>
      </c>
      <c r="E23">
        <v>1</v>
      </c>
      <c r="F23">
        <v>1</v>
      </c>
      <c r="G23">
        <v>1</v>
      </c>
      <c r="H23">
        <v>3</v>
      </c>
      <c r="I23" t="s">
        <v>231</v>
      </c>
      <c r="J23" t="s">
        <v>232</v>
      </c>
      <c r="K23" t="s">
        <v>233</v>
      </c>
      <c r="L23">
        <v>1374</v>
      </c>
      <c r="N23">
        <v>1013</v>
      </c>
      <c r="O23" t="s">
        <v>234</v>
      </c>
      <c r="P23" t="s">
        <v>234</v>
      </c>
      <c r="Q23">
        <v>1</v>
      </c>
      <c r="W23">
        <v>0</v>
      </c>
      <c r="X23">
        <v>-915781824</v>
      </c>
      <c r="Y23">
        <v>3.1</v>
      </c>
      <c r="AA23">
        <v>1</v>
      </c>
      <c r="AB23">
        <v>0</v>
      </c>
      <c r="AC23">
        <v>0</v>
      </c>
      <c r="AD23">
        <v>0</v>
      </c>
      <c r="AE23">
        <v>1</v>
      </c>
      <c r="AF23">
        <v>0</v>
      </c>
      <c r="AG23">
        <v>0</v>
      </c>
      <c r="AH23">
        <v>0</v>
      </c>
      <c r="AI23">
        <v>1</v>
      </c>
      <c r="AJ23">
        <v>1</v>
      </c>
      <c r="AK23">
        <v>1</v>
      </c>
      <c r="AL23">
        <v>1</v>
      </c>
      <c r="AN23">
        <v>0</v>
      </c>
      <c r="AO23">
        <v>1</v>
      </c>
      <c r="AP23">
        <v>0</v>
      </c>
      <c r="AQ23">
        <v>0</v>
      </c>
      <c r="AR23">
        <v>0</v>
      </c>
      <c r="AS23" t="s">
        <v>3</v>
      </c>
      <c r="AT23">
        <v>3.1</v>
      </c>
      <c r="AU23" t="s">
        <v>3</v>
      </c>
      <c r="AV23">
        <v>0</v>
      </c>
      <c r="AW23">
        <v>2</v>
      </c>
      <c r="AX23">
        <v>34944284</v>
      </c>
      <c r="AY23">
        <v>1</v>
      </c>
      <c r="AZ23">
        <v>0</v>
      </c>
      <c r="BA23">
        <v>22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CX23">
        <f>Y23*Source!I28</f>
        <v>3.1</v>
      </c>
      <c r="CY23">
        <f>AA23</f>
        <v>1</v>
      </c>
      <c r="CZ23">
        <f>AE23</f>
        <v>1</v>
      </c>
      <c r="DA23">
        <f>AI23</f>
        <v>1</v>
      </c>
      <c r="DB23">
        <f t="shared" si="0"/>
        <v>3.1</v>
      </c>
      <c r="DC23">
        <f t="shared" si="1"/>
        <v>0</v>
      </c>
    </row>
    <row r="24" spans="1:107">
      <c r="A24">
        <f>ROW(Source!A29)</f>
        <v>29</v>
      </c>
      <c r="B24">
        <v>34944170</v>
      </c>
      <c r="C24">
        <v>34944285</v>
      </c>
      <c r="D24">
        <v>29361034</v>
      </c>
      <c r="E24">
        <v>1</v>
      </c>
      <c r="F24">
        <v>1</v>
      </c>
      <c r="G24">
        <v>1</v>
      </c>
      <c r="H24">
        <v>1</v>
      </c>
      <c r="I24" t="s">
        <v>266</v>
      </c>
      <c r="J24" t="s">
        <v>3</v>
      </c>
      <c r="K24" t="s">
        <v>267</v>
      </c>
      <c r="L24">
        <v>1369</v>
      </c>
      <c r="N24">
        <v>1013</v>
      </c>
      <c r="O24" t="s">
        <v>211</v>
      </c>
      <c r="P24" t="s">
        <v>211</v>
      </c>
      <c r="Q24">
        <v>1</v>
      </c>
      <c r="W24">
        <v>0</v>
      </c>
      <c r="X24">
        <v>184923391</v>
      </c>
      <c r="Y24">
        <v>1.03</v>
      </c>
      <c r="AA24">
        <v>0</v>
      </c>
      <c r="AB24">
        <v>0</v>
      </c>
      <c r="AC24">
        <v>0</v>
      </c>
      <c r="AD24">
        <v>258.91000000000003</v>
      </c>
      <c r="AE24">
        <v>0</v>
      </c>
      <c r="AF24">
        <v>0</v>
      </c>
      <c r="AG24">
        <v>0</v>
      </c>
      <c r="AH24">
        <v>258.91000000000003</v>
      </c>
      <c r="AI24">
        <v>1</v>
      </c>
      <c r="AJ24">
        <v>1</v>
      </c>
      <c r="AK24">
        <v>1</v>
      </c>
      <c r="AL24">
        <v>1</v>
      </c>
      <c r="AN24">
        <v>0</v>
      </c>
      <c r="AO24">
        <v>1</v>
      </c>
      <c r="AP24">
        <v>0</v>
      </c>
      <c r="AQ24">
        <v>0</v>
      </c>
      <c r="AR24">
        <v>0</v>
      </c>
      <c r="AS24" t="s">
        <v>3</v>
      </c>
      <c r="AT24">
        <v>1.03</v>
      </c>
      <c r="AU24" t="s">
        <v>3</v>
      </c>
      <c r="AV24">
        <v>1</v>
      </c>
      <c r="AW24">
        <v>2</v>
      </c>
      <c r="AX24">
        <v>34944294</v>
      </c>
      <c r="AY24">
        <v>1</v>
      </c>
      <c r="AZ24">
        <v>0</v>
      </c>
      <c r="BA24">
        <v>23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CX24">
        <f>Y24*Source!I29</f>
        <v>1.03</v>
      </c>
      <c r="CY24">
        <f>AD24</f>
        <v>258.91000000000003</v>
      </c>
      <c r="CZ24">
        <f>AH24</f>
        <v>258.91000000000003</v>
      </c>
      <c r="DA24">
        <f>AL24</f>
        <v>1</v>
      </c>
      <c r="DB24">
        <f t="shared" si="0"/>
        <v>266.68</v>
      </c>
      <c r="DC24">
        <f t="shared" si="1"/>
        <v>0</v>
      </c>
    </row>
    <row r="25" spans="1:107">
      <c r="A25">
        <f>ROW(Source!A29)</f>
        <v>29</v>
      </c>
      <c r="B25">
        <v>34944170</v>
      </c>
      <c r="C25">
        <v>34944285</v>
      </c>
      <c r="D25">
        <v>121548</v>
      </c>
      <c r="E25">
        <v>1</v>
      </c>
      <c r="F25">
        <v>1</v>
      </c>
      <c r="G25">
        <v>1</v>
      </c>
      <c r="H25">
        <v>1</v>
      </c>
      <c r="I25" t="s">
        <v>248</v>
      </c>
      <c r="J25" t="s">
        <v>3</v>
      </c>
      <c r="K25" t="s">
        <v>249</v>
      </c>
      <c r="L25">
        <v>608254</v>
      </c>
      <c r="N25">
        <v>1013</v>
      </c>
      <c r="O25" t="s">
        <v>250</v>
      </c>
      <c r="P25" t="s">
        <v>250</v>
      </c>
      <c r="Q25">
        <v>1</v>
      </c>
      <c r="W25">
        <v>0</v>
      </c>
      <c r="X25">
        <v>-185737400</v>
      </c>
      <c r="Y25">
        <v>0.01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1</v>
      </c>
      <c r="AJ25">
        <v>1</v>
      </c>
      <c r="AK25">
        <v>1</v>
      </c>
      <c r="AL25">
        <v>1</v>
      </c>
      <c r="AN25">
        <v>0</v>
      </c>
      <c r="AO25">
        <v>1</v>
      </c>
      <c r="AP25">
        <v>0</v>
      </c>
      <c r="AQ25">
        <v>0</v>
      </c>
      <c r="AR25">
        <v>0</v>
      </c>
      <c r="AS25" t="s">
        <v>3</v>
      </c>
      <c r="AT25">
        <v>0.01</v>
      </c>
      <c r="AU25" t="s">
        <v>3</v>
      </c>
      <c r="AV25">
        <v>2</v>
      </c>
      <c r="AW25">
        <v>2</v>
      </c>
      <c r="AX25">
        <v>34944295</v>
      </c>
      <c r="AY25">
        <v>1</v>
      </c>
      <c r="AZ25">
        <v>0</v>
      </c>
      <c r="BA25">
        <v>24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CX25">
        <f>Y25*Source!I29</f>
        <v>0.01</v>
      </c>
      <c r="CY25">
        <f>AD25</f>
        <v>0</v>
      </c>
      <c r="CZ25">
        <f>AH25</f>
        <v>0</v>
      </c>
      <c r="DA25">
        <f>AL25</f>
        <v>1</v>
      </c>
      <c r="DB25">
        <f t="shared" si="0"/>
        <v>0</v>
      </c>
      <c r="DC25">
        <f t="shared" si="1"/>
        <v>0</v>
      </c>
    </row>
    <row r="26" spans="1:107">
      <c r="A26">
        <f>ROW(Source!A29)</f>
        <v>29</v>
      </c>
      <c r="B26">
        <v>34944170</v>
      </c>
      <c r="C26">
        <v>34944285</v>
      </c>
      <c r="D26">
        <v>29172362</v>
      </c>
      <c r="E26">
        <v>1</v>
      </c>
      <c r="F26">
        <v>1</v>
      </c>
      <c r="G26">
        <v>1</v>
      </c>
      <c r="H26">
        <v>2</v>
      </c>
      <c r="I26" t="s">
        <v>268</v>
      </c>
      <c r="J26" t="s">
        <v>269</v>
      </c>
      <c r="K26" t="s">
        <v>270</v>
      </c>
      <c r="L26">
        <v>1368</v>
      </c>
      <c r="N26">
        <v>1011</v>
      </c>
      <c r="O26" t="s">
        <v>215</v>
      </c>
      <c r="P26" t="s">
        <v>215</v>
      </c>
      <c r="Q26">
        <v>1</v>
      </c>
      <c r="W26">
        <v>0</v>
      </c>
      <c r="X26">
        <v>2071614860</v>
      </c>
      <c r="Y26">
        <v>0.01</v>
      </c>
      <c r="AA26">
        <v>0</v>
      </c>
      <c r="AB26">
        <v>1058.3499999999999</v>
      </c>
      <c r="AC26">
        <v>408.92</v>
      </c>
      <c r="AD26">
        <v>0</v>
      </c>
      <c r="AE26">
        <v>0</v>
      </c>
      <c r="AF26">
        <v>134.65</v>
      </c>
      <c r="AG26">
        <v>13.5</v>
      </c>
      <c r="AH26">
        <v>0</v>
      </c>
      <c r="AI26">
        <v>1</v>
      </c>
      <c r="AJ26">
        <v>7.86</v>
      </c>
      <c r="AK26">
        <v>30.29</v>
      </c>
      <c r="AL26">
        <v>1</v>
      </c>
      <c r="AN26">
        <v>0</v>
      </c>
      <c r="AO26">
        <v>1</v>
      </c>
      <c r="AP26">
        <v>0</v>
      </c>
      <c r="AQ26">
        <v>0</v>
      </c>
      <c r="AR26">
        <v>0</v>
      </c>
      <c r="AS26" t="s">
        <v>3</v>
      </c>
      <c r="AT26">
        <v>0.01</v>
      </c>
      <c r="AU26" t="s">
        <v>3</v>
      </c>
      <c r="AV26">
        <v>0</v>
      </c>
      <c r="AW26">
        <v>2</v>
      </c>
      <c r="AX26">
        <v>34944296</v>
      </c>
      <c r="AY26">
        <v>1</v>
      </c>
      <c r="AZ26">
        <v>0</v>
      </c>
      <c r="BA26">
        <v>25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CX26">
        <f>Y26*Source!I29</f>
        <v>0.01</v>
      </c>
      <c r="CY26">
        <f>AB26</f>
        <v>1058.3499999999999</v>
      </c>
      <c r="CZ26">
        <f>AF26</f>
        <v>134.65</v>
      </c>
      <c r="DA26">
        <f>AJ26</f>
        <v>7.86</v>
      </c>
      <c r="DB26">
        <f t="shared" si="0"/>
        <v>1.35</v>
      </c>
      <c r="DC26">
        <f t="shared" si="1"/>
        <v>0.14000000000000001</v>
      </c>
    </row>
    <row r="27" spans="1:107">
      <c r="A27">
        <f>ROW(Source!A29)</f>
        <v>29</v>
      </c>
      <c r="B27">
        <v>34944170</v>
      </c>
      <c r="C27">
        <v>34944285</v>
      </c>
      <c r="D27">
        <v>29174913</v>
      </c>
      <c r="E27">
        <v>1</v>
      </c>
      <c r="F27">
        <v>1</v>
      </c>
      <c r="G27">
        <v>1</v>
      </c>
      <c r="H27">
        <v>2</v>
      </c>
      <c r="I27" t="s">
        <v>271</v>
      </c>
      <c r="J27" t="s">
        <v>272</v>
      </c>
      <c r="K27" t="s">
        <v>273</v>
      </c>
      <c r="L27">
        <v>1368</v>
      </c>
      <c r="N27">
        <v>1011</v>
      </c>
      <c r="O27" t="s">
        <v>215</v>
      </c>
      <c r="P27" t="s">
        <v>215</v>
      </c>
      <c r="Q27">
        <v>1</v>
      </c>
      <c r="W27">
        <v>0</v>
      </c>
      <c r="X27">
        <v>458544584</v>
      </c>
      <c r="Y27">
        <v>0.01</v>
      </c>
      <c r="AA27">
        <v>0</v>
      </c>
      <c r="AB27">
        <v>887.39</v>
      </c>
      <c r="AC27">
        <v>351.36</v>
      </c>
      <c r="AD27">
        <v>0</v>
      </c>
      <c r="AE27">
        <v>0</v>
      </c>
      <c r="AF27">
        <v>87.17</v>
      </c>
      <c r="AG27">
        <v>11.6</v>
      </c>
      <c r="AH27">
        <v>0</v>
      </c>
      <c r="AI27">
        <v>1</v>
      </c>
      <c r="AJ27">
        <v>10.18</v>
      </c>
      <c r="AK27">
        <v>30.29</v>
      </c>
      <c r="AL27">
        <v>1</v>
      </c>
      <c r="AN27">
        <v>0</v>
      </c>
      <c r="AO27">
        <v>1</v>
      </c>
      <c r="AP27">
        <v>0</v>
      </c>
      <c r="AQ27">
        <v>0</v>
      </c>
      <c r="AR27">
        <v>0</v>
      </c>
      <c r="AS27" t="s">
        <v>3</v>
      </c>
      <c r="AT27">
        <v>0.01</v>
      </c>
      <c r="AU27" t="s">
        <v>3</v>
      </c>
      <c r="AV27">
        <v>0</v>
      </c>
      <c r="AW27">
        <v>2</v>
      </c>
      <c r="AX27">
        <v>34944297</v>
      </c>
      <c r="AY27">
        <v>1</v>
      </c>
      <c r="AZ27">
        <v>0</v>
      </c>
      <c r="BA27">
        <v>26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CX27">
        <f>Y27*Source!I29</f>
        <v>0.01</v>
      </c>
      <c r="CY27">
        <f>AB27</f>
        <v>887.39</v>
      </c>
      <c r="CZ27">
        <f>AF27</f>
        <v>87.17</v>
      </c>
      <c r="DA27">
        <f>AJ27</f>
        <v>10.18</v>
      </c>
      <c r="DB27">
        <f t="shared" si="0"/>
        <v>0.87</v>
      </c>
      <c r="DC27">
        <f t="shared" si="1"/>
        <v>0.12</v>
      </c>
    </row>
    <row r="28" spans="1:107">
      <c r="A28">
        <f>ROW(Source!A29)</f>
        <v>29</v>
      </c>
      <c r="B28">
        <v>34944170</v>
      </c>
      <c r="C28">
        <v>34944285</v>
      </c>
      <c r="D28">
        <v>29110426</v>
      </c>
      <c r="E28">
        <v>1</v>
      </c>
      <c r="F28">
        <v>1</v>
      </c>
      <c r="G28">
        <v>1</v>
      </c>
      <c r="H28">
        <v>3</v>
      </c>
      <c r="I28" t="s">
        <v>274</v>
      </c>
      <c r="J28" t="s">
        <v>275</v>
      </c>
      <c r="K28" t="s">
        <v>276</v>
      </c>
      <c r="L28">
        <v>1346</v>
      </c>
      <c r="N28">
        <v>1009</v>
      </c>
      <c r="O28" t="s">
        <v>219</v>
      </c>
      <c r="P28" t="s">
        <v>219</v>
      </c>
      <c r="Q28">
        <v>1</v>
      </c>
      <c r="W28">
        <v>0</v>
      </c>
      <c r="X28">
        <v>1314148174</v>
      </c>
      <c r="Y28">
        <v>0.05</v>
      </c>
      <c r="AA28">
        <v>63.36</v>
      </c>
      <c r="AB28">
        <v>0</v>
      </c>
      <c r="AC28">
        <v>0</v>
      </c>
      <c r="AD28">
        <v>0</v>
      </c>
      <c r="AE28">
        <v>28.67</v>
      </c>
      <c r="AF28">
        <v>0</v>
      </c>
      <c r="AG28">
        <v>0</v>
      </c>
      <c r="AH28">
        <v>0</v>
      </c>
      <c r="AI28">
        <v>2.21</v>
      </c>
      <c r="AJ28">
        <v>1</v>
      </c>
      <c r="AK28">
        <v>1</v>
      </c>
      <c r="AL28">
        <v>1</v>
      </c>
      <c r="AN28">
        <v>0</v>
      </c>
      <c r="AO28">
        <v>1</v>
      </c>
      <c r="AP28">
        <v>0</v>
      </c>
      <c r="AQ28">
        <v>0</v>
      </c>
      <c r="AR28">
        <v>0</v>
      </c>
      <c r="AS28" t="s">
        <v>3</v>
      </c>
      <c r="AT28">
        <v>0.05</v>
      </c>
      <c r="AU28" t="s">
        <v>3</v>
      </c>
      <c r="AV28">
        <v>0</v>
      </c>
      <c r="AW28">
        <v>2</v>
      </c>
      <c r="AX28">
        <v>34944298</v>
      </c>
      <c r="AY28">
        <v>1</v>
      </c>
      <c r="AZ28">
        <v>0</v>
      </c>
      <c r="BA28">
        <v>27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CX28">
        <f>Y28*Source!I29</f>
        <v>0.05</v>
      </c>
      <c r="CY28">
        <f>AA28</f>
        <v>63.36</v>
      </c>
      <c r="CZ28">
        <f>AE28</f>
        <v>28.67</v>
      </c>
      <c r="DA28">
        <f>AI28</f>
        <v>2.21</v>
      </c>
      <c r="DB28">
        <f t="shared" si="0"/>
        <v>1.43</v>
      </c>
      <c r="DC28">
        <f t="shared" si="1"/>
        <v>0</v>
      </c>
    </row>
    <row r="29" spans="1:107">
      <c r="A29">
        <f>ROW(Source!A29)</f>
        <v>29</v>
      </c>
      <c r="B29">
        <v>34944170</v>
      </c>
      <c r="C29">
        <v>34944285</v>
      </c>
      <c r="D29">
        <v>29110793</v>
      </c>
      <c r="E29">
        <v>1</v>
      </c>
      <c r="F29">
        <v>1</v>
      </c>
      <c r="G29">
        <v>1</v>
      </c>
      <c r="H29">
        <v>3</v>
      </c>
      <c r="I29" t="s">
        <v>277</v>
      </c>
      <c r="J29" t="s">
        <v>278</v>
      </c>
      <c r="K29" t="s">
        <v>279</v>
      </c>
      <c r="L29">
        <v>1308</v>
      </c>
      <c r="N29">
        <v>1003</v>
      </c>
      <c r="O29" t="s">
        <v>40</v>
      </c>
      <c r="P29" t="s">
        <v>40</v>
      </c>
      <c r="Q29">
        <v>100</v>
      </c>
      <c r="W29">
        <v>0</v>
      </c>
      <c r="X29">
        <v>-729819178</v>
      </c>
      <c r="Y29">
        <v>0.05</v>
      </c>
      <c r="AA29">
        <v>565.69000000000005</v>
      </c>
      <c r="AB29">
        <v>0</v>
      </c>
      <c r="AC29">
        <v>0</v>
      </c>
      <c r="AD29">
        <v>0</v>
      </c>
      <c r="AE29">
        <v>120.36</v>
      </c>
      <c r="AF29">
        <v>0</v>
      </c>
      <c r="AG29">
        <v>0</v>
      </c>
      <c r="AH29">
        <v>0</v>
      </c>
      <c r="AI29">
        <v>4.7</v>
      </c>
      <c r="AJ29">
        <v>1</v>
      </c>
      <c r="AK29">
        <v>1</v>
      </c>
      <c r="AL29">
        <v>1</v>
      </c>
      <c r="AN29">
        <v>0</v>
      </c>
      <c r="AO29">
        <v>1</v>
      </c>
      <c r="AP29">
        <v>0</v>
      </c>
      <c r="AQ29">
        <v>0</v>
      </c>
      <c r="AR29">
        <v>0</v>
      </c>
      <c r="AS29" t="s">
        <v>3</v>
      </c>
      <c r="AT29">
        <v>0.05</v>
      </c>
      <c r="AU29" t="s">
        <v>3</v>
      </c>
      <c r="AV29">
        <v>0</v>
      </c>
      <c r="AW29">
        <v>2</v>
      </c>
      <c r="AX29">
        <v>34944299</v>
      </c>
      <c r="AY29">
        <v>1</v>
      </c>
      <c r="AZ29">
        <v>0</v>
      </c>
      <c r="BA29">
        <v>28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CX29">
        <f>Y29*Source!I29</f>
        <v>0.05</v>
      </c>
      <c r="CY29">
        <f>AA29</f>
        <v>565.69000000000005</v>
      </c>
      <c r="CZ29">
        <f>AE29</f>
        <v>120.36</v>
      </c>
      <c r="DA29">
        <f>AI29</f>
        <v>4.7</v>
      </c>
      <c r="DB29">
        <f t="shared" si="0"/>
        <v>6.02</v>
      </c>
      <c r="DC29">
        <f t="shared" si="1"/>
        <v>0</v>
      </c>
    </row>
    <row r="30" spans="1:107">
      <c r="A30">
        <f>ROW(Source!A29)</f>
        <v>29</v>
      </c>
      <c r="B30">
        <v>34944170</v>
      </c>
      <c r="C30">
        <v>34944285</v>
      </c>
      <c r="D30">
        <v>29110838</v>
      </c>
      <c r="E30">
        <v>1</v>
      </c>
      <c r="F30">
        <v>1</v>
      </c>
      <c r="G30">
        <v>1</v>
      </c>
      <c r="H30">
        <v>3</v>
      </c>
      <c r="I30" t="s">
        <v>280</v>
      </c>
      <c r="J30" t="s">
        <v>281</v>
      </c>
      <c r="K30" t="s">
        <v>282</v>
      </c>
      <c r="L30">
        <v>1346</v>
      </c>
      <c r="N30">
        <v>1009</v>
      </c>
      <c r="O30" t="s">
        <v>219</v>
      </c>
      <c r="P30" t="s">
        <v>219</v>
      </c>
      <c r="Q30">
        <v>1</v>
      </c>
      <c r="W30">
        <v>0</v>
      </c>
      <c r="X30">
        <v>-667794164</v>
      </c>
      <c r="Y30">
        <v>0.16</v>
      </c>
      <c r="AA30">
        <v>100.04</v>
      </c>
      <c r="AB30">
        <v>0</v>
      </c>
      <c r="AC30">
        <v>0</v>
      </c>
      <c r="AD30">
        <v>0</v>
      </c>
      <c r="AE30">
        <v>30.5</v>
      </c>
      <c r="AF30">
        <v>0</v>
      </c>
      <c r="AG30">
        <v>0</v>
      </c>
      <c r="AH30">
        <v>0</v>
      </c>
      <c r="AI30">
        <v>3.28</v>
      </c>
      <c r="AJ30">
        <v>1</v>
      </c>
      <c r="AK30">
        <v>1</v>
      </c>
      <c r="AL30">
        <v>1</v>
      </c>
      <c r="AN30">
        <v>0</v>
      </c>
      <c r="AO30">
        <v>1</v>
      </c>
      <c r="AP30">
        <v>0</v>
      </c>
      <c r="AQ30">
        <v>0</v>
      </c>
      <c r="AR30">
        <v>0</v>
      </c>
      <c r="AS30" t="s">
        <v>3</v>
      </c>
      <c r="AT30">
        <v>0.16</v>
      </c>
      <c r="AU30" t="s">
        <v>3</v>
      </c>
      <c r="AV30">
        <v>0</v>
      </c>
      <c r="AW30">
        <v>2</v>
      </c>
      <c r="AX30">
        <v>34944300</v>
      </c>
      <c r="AY30">
        <v>1</v>
      </c>
      <c r="AZ30">
        <v>0</v>
      </c>
      <c r="BA30">
        <v>29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CX30">
        <f>Y30*Source!I29</f>
        <v>0.16</v>
      </c>
      <c r="CY30">
        <f>AA30</f>
        <v>100.04</v>
      </c>
      <c r="CZ30">
        <f>AE30</f>
        <v>30.5</v>
      </c>
      <c r="DA30">
        <f>AI30</f>
        <v>3.28</v>
      </c>
      <c r="DB30">
        <f t="shared" si="0"/>
        <v>4.88</v>
      </c>
      <c r="DC30">
        <f t="shared" si="1"/>
        <v>0</v>
      </c>
    </row>
    <row r="31" spans="1:107">
      <c r="A31">
        <f>ROW(Source!A29)</f>
        <v>29</v>
      </c>
      <c r="B31">
        <v>34944170</v>
      </c>
      <c r="C31">
        <v>34944285</v>
      </c>
      <c r="D31">
        <v>29171808</v>
      </c>
      <c r="E31">
        <v>1</v>
      </c>
      <c r="F31">
        <v>1</v>
      </c>
      <c r="G31">
        <v>1</v>
      </c>
      <c r="H31">
        <v>3</v>
      </c>
      <c r="I31" t="s">
        <v>231</v>
      </c>
      <c r="J31" t="s">
        <v>232</v>
      </c>
      <c r="K31" t="s">
        <v>233</v>
      </c>
      <c r="L31">
        <v>1374</v>
      </c>
      <c r="N31">
        <v>1013</v>
      </c>
      <c r="O31" t="s">
        <v>234</v>
      </c>
      <c r="P31" t="s">
        <v>234</v>
      </c>
      <c r="Q31">
        <v>1</v>
      </c>
      <c r="W31">
        <v>0</v>
      </c>
      <c r="X31">
        <v>-915781824</v>
      </c>
      <c r="Y31">
        <v>0.19</v>
      </c>
      <c r="AA31">
        <v>1</v>
      </c>
      <c r="AB31">
        <v>0</v>
      </c>
      <c r="AC31">
        <v>0</v>
      </c>
      <c r="AD31">
        <v>0</v>
      </c>
      <c r="AE31">
        <v>1</v>
      </c>
      <c r="AF31">
        <v>0</v>
      </c>
      <c r="AG31">
        <v>0</v>
      </c>
      <c r="AH31">
        <v>0</v>
      </c>
      <c r="AI31">
        <v>1</v>
      </c>
      <c r="AJ31">
        <v>1</v>
      </c>
      <c r="AK31">
        <v>1</v>
      </c>
      <c r="AL31">
        <v>1</v>
      </c>
      <c r="AN31">
        <v>0</v>
      </c>
      <c r="AO31">
        <v>1</v>
      </c>
      <c r="AP31">
        <v>0</v>
      </c>
      <c r="AQ31">
        <v>0</v>
      </c>
      <c r="AR31">
        <v>0</v>
      </c>
      <c r="AS31" t="s">
        <v>3</v>
      </c>
      <c r="AT31">
        <v>0.19</v>
      </c>
      <c r="AU31" t="s">
        <v>3</v>
      </c>
      <c r="AV31">
        <v>0</v>
      </c>
      <c r="AW31">
        <v>2</v>
      </c>
      <c r="AX31">
        <v>34944301</v>
      </c>
      <c r="AY31">
        <v>1</v>
      </c>
      <c r="AZ31">
        <v>0</v>
      </c>
      <c r="BA31">
        <v>30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CX31">
        <f>Y31*Source!I29</f>
        <v>0.19</v>
      </c>
      <c r="CY31">
        <f>AA31</f>
        <v>1</v>
      </c>
      <c r="CZ31">
        <f>AE31</f>
        <v>1</v>
      </c>
      <c r="DA31">
        <f>AI31</f>
        <v>1</v>
      </c>
      <c r="DB31">
        <f t="shared" si="0"/>
        <v>0.19</v>
      </c>
      <c r="DC31">
        <f t="shared" si="1"/>
        <v>0</v>
      </c>
    </row>
    <row r="32" spans="1:107">
      <c r="A32">
        <f>ROW(Source!A30)</f>
        <v>30</v>
      </c>
      <c r="B32">
        <v>34944170</v>
      </c>
      <c r="C32">
        <v>34944302</v>
      </c>
      <c r="D32">
        <v>29362762</v>
      </c>
      <c r="E32">
        <v>1</v>
      </c>
      <c r="F32">
        <v>1</v>
      </c>
      <c r="G32">
        <v>1</v>
      </c>
      <c r="H32">
        <v>1</v>
      </c>
      <c r="I32" t="s">
        <v>235</v>
      </c>
      <c r="J32" t="s">
        <v>3</v>
      </c>
      <c r="K32" t="s">
        <v>236</v>
      </c>
      <c r="L32">
        <v>1369</v>
      </c>
      <c r="N32">
        <v>1013</v>
      </c>
      <c r="O32" t="s">
        <v>211</v>
      </c>
      <c r="P32" t="s">
        <v>211</v>
      </c>
      <c r="Q32">
        <v>1</v>
      </c>
      <c r="W32">
        <v>0</v>
      </c>
      <c r="X32">
        <v>604758886</v>
      </c>
      <c r="Y32">
        <v>0.84</v>
      </c>
      <c r="AA32">
        <v>0</v>
      </c>
      <c r="AB32">
        <v>0</v>
      </c>
      <c r="AC32">
        <v>0</v>
      </c>
      <c r="AD32">
        <v>264.97000000000003</v>
      </c>
      <c r="AE32">
        <v>0</v>
      </c>
      <c r="AF32">
        <v>0</v>
      </c>
      <c r="AG32">
        <v>0</v>
      </c>
      <c r="AH32">
        <v>264.97000000000003</v>
      </c>
      <c r="AI32">
        <v>1</v>
      </c>
      <c r="AJ32">
        <v>1</v>
      </c>
      <c r="AK32">
        <v>1</v>
      </c>
      <c r="AL32">
        <v>1</v>
      </c>
      <c r="AN32">
        <v>0</v>
      </c>
      <c r="AO32">
        <v>1</v>
      </c>
      <c r="AP32">
        <v>0</v>
      </c>
      <c r="AQ32">
        <v>0</v>
      </c>
      <c r="AR32">
        <v>0</v>
      </c>
      <c r="AS32" t="s">
        <v>3</v>
      </c>
      <c r="AT32">
        <v>0.84</v>
      </c>
      <c r="AU32" t="s">
        <v>3</v>
      </c>
      <c r="AV32">
        <v>1</v>
      </c>
      <c r="AW32">
        <v>2</v>
      </c>
      <c r="AX32">
        <v>34944312</v>
      </c>
      <c r="AY32">
        <v>1</v>
      </c>
      <c r="AZ32">
        <v>0</v>
      </c>
      <c r="BA32">
        <v>31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CX32">
        <f>Y32*Source!I30</f>
        <v>12.6</v>
      </c>
      <c r="CY32">
        <f>AD32</f>
        <v>264.97000000000003</v>
      </c>
      <c r="CZ32">
        <f>AH32</f>
        <v>264.97000000000003</v>
      </c>
      <c r="DA32">
        <f>AL32</f>
        <v>1</v>
      </c>
      <c r="DB32">
        <f t="shared" si="0"/>
        <v>222.57</v>
      </c>
      <c r="DC32">
        <f t="shared" si="1"/>
        <v>0</v>
      </c>
    </row>
    <row r="33" spans="1:107">
      <c r="A33">
        <f>ROW(Source!A30)</f>
        <v>30</v>
      </c>
      <c r="B33">
        <v>34944170</v>
      </c>
      <c r="C33">
        <v>34944302</v>
      </c>
      <c r="D33">
        <v>29174500</v>
      </c>
      <c r="E33">
        <v>1</v>
      </c>
      <c r="F33">
        <v>1</v>
      </c>
      <c r="G33">
        <v>1</v>
      </c>
      <c r="H33">
        <v>2</v>
      </c>
      <c r="I33" t="s">
        <v>212</v>
      </c>
      <c r="J33" t="s">
        <v>213</v>
      </c>
      <c r="K33" t="s">
        <v>214</v>
      </c>
      <c r="L33">
        <v>1368</v>
      </c>
      <c r="N33">
        <v>1011</v>
      </c>
      <c r="O33" t="s">
        <v>215</v>
      </c>
      <c r="P33" t="s">
        <v>215</v>
      </c>
      <c r="Q33">
        <v>1</v>
      </c>
      <c r="W33">
        <v>0</v>
      </c>
      <c r="X33">
        <v>-239831557</v>
      </c>
      <c r="Y33">
        <v>0.06</v>
      </c>
      <c r="AA33">
        <v>0</v>
      </c>
      <c r="AB33">
        <v>7.25</v>
      </c>
      <c r="AC33">
        <v>0</v>
      </c>
      <c r="AD33">
        <v>0</v>
      </c>
      <c r="AE33">
        <v>0</v>
      </c>
      <c r="AF33">
        <v>1.95</v>
      </c>
      <c r="AG33">
        <v>0</v>
      </c>
      <c r="AH33">
        <v>0</v>
      </c>
      <c r="AI33">
        <v>1</v>
      </c>
      <c r="AJ33">
        <v>3.72</v>
      </c>
      <c r="AK33">
        <v>30.29</v>
      </c>
      <c r="AL33">
        <v>1</v>
      </c>
      <c r="AN33">
        <v>0</v>
      </c>
      <c r="AO33">
        <v>1</v>
      </c>
      <c r="AP33">
        <v>0</v>
      </c>
      <c r="AQ33">
        <v>0</v>
      </c>
      <c r="AR33">
        <v>0</v>
      </c>
      <c r="AS33" t="s">
        <v>3</v>
      </c>
      <c r="AT33">
        <v>0.06</v>
      </c>
      <c r="AU33" t="s">
        <v>3</v>
      </c>
      <c r="AV33">
        <v>0</v>
      </c>
      <c r="AW33">
        <v>2</v>
      </c>
      <c r="AX33">
        <v>34944313</v>
      </c>
      <c r="AY33">
        <v>1</v>
      </c>
      <c r="AZ33">
        <v>0</v>
      </c>
      <c r="BA33">
        <v>32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CX33">
        <f>Y33*Source!I30</f>
        <v>0.89999999999999991</v>
      </c>
      <c r="CY33">
        <f>AB33</f>
        <v>7.25</v>
      </c>
      <c r="CZ33">
        <f>AF33</f>
        <v>1.95</v>
      </c>
      <c r="DA33">
        <f>AJ33</f>
        <v>3.72</v>
      </c>
      <c r="DB33">
        <f t="shared" si="0"/>
        <v>0.12</v>
      </c>
      <c r="DC33">
        <f t="shared" si="1"/>
        <v>0</v>
      </c>
    </row>
    <row r="34" spans="1:107">
      <c r="A34">
        <f>ROW(Source!A30)</f>
        <v>30</v>
      </c>
      <c r="B34">
        <v>34944170</v>
      </c>
      <c r="C34">
        <v>34944302</v>
      </c>
      <c r="D34">
        <v>29109382</v>
      </c>
      <c r="E34">
        <v>1</v>
      </c>
      <c r="F34">
        <v>1</v>
      </c>
      <c r="G34">
        <v>1</v>
      </c>
      <c r="H34">
        <v>3</v>
      </c>
      <c r="I34" t="s">
        <v>237</v>
      </c>
      <c r="J34" t="s">
        <v>238</v>
      </c>
      <c r="K34" t="s">
        <v>239</v>
      </c>
      <c r="L34">
        <v>1346</v>
      </c>
      <c r="N34">
        <v>1009</v>
      </c>
      <c r="O34" t="s">
        <v>219</v>
      </c>
      <c r="P34" t="s">
        <v>219</v>
      </c>
      <c r="Q34">
        <v>1</v>
      </c>
      <c r="W34">
        <v>0</v>
      </c>
      <c r="X34">
        <v>-1229847137</v>
      </c>
      <c r="Y34">
        <v>5.0000000000000001E-3</v>
      </c>
      <c r="AA34">
        <v>232.6</v>
      </c>
      <c r="AB34">
        <v>0</v>
      </c>
      <c r="AC34">
        <v>0</v>
      </c>
      <c r="AD34">
        <v>0</v>
      </c>
      <c r="AE34">
        <v>28.93</v>
      </c>
      <c r="AF34">
        <v>0</v>
      </c>
      <c r="AG34">
        <v>0</v>
      </c>
      <c r="AH34">
        <v>0</v>
      </c>
      <c r="AI34">
        <v>8.0399999999999991</v>
      </c>
      <c r="AJ34">
        <v>1</v>
      </c>
      <c r="AK34">
        <v>1</v>
      </c>
      <c r="AL34">
        <v>1</v>
      </c>
      <c r="AN34">
        <v>0</v>
      </c>
      <c r="AO34">
        <v>1</v>
      </c>
      <c r="AP34">
        <v>0</v>
      </c>
      <c r="AQ34">
        <v>0</v>
      </c>
      <c r="AR34">
        <v>0</v>
      </c>
      <c r="AS34" t="s">
        <v>3</v>
      </c>
      <c r="AT34">
        <v>5.0000000000000001E-3</v>
      </c>
      <c r="AU34" t="s">
        <v>3</v>
      </c>
      <c r="AV34">
        <v>0</v>
      </c>
      <c r="AW34">
        <v>2</v>
      </c>
      <c r="AX34">
        <v>34944314</v>
      </c>
      <c r="AY34">
        <v>1</v>
      </c>
      <c r="AZ34">
        <v>0</v>
      </c>
      <c r="BA34">
        <v>33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CX34">
        <f>Y34*Source!I30</f>
        <v>7.4999999999999997E-2</v>
      </c>
      <c r="CY34">
        <f t="shared" ref="CY34:CY40" si="8">AA34</f>
        <v>232.6</v>
      </c>
      <c r="CZ34">
        <f t="shared" ref="CZ34:CZ40" si="9">AE34</f>
        <v>28.93</v>
      </c>
      <c r="DA34">
        <f t="shared" ref="DA34:DA40" si="10">AI34</f>
        <v>8.0399999999999991</v>
      </c>
      <c r="DB34">
        <f t="shared" si="0"/>
        <v>0.14000000000000001</v>
      </c>
      <c r="DC34">
        <f t="shared" si="1"/>
        <v>0</v>
      </c>
    </row>
    <row r="35" spans="1:107">
      <c r="A35">
        <f>ROW(Source!A30)</f>
        <v>30</v>
      </c>
      <c r="B35">
        <v>34944170</v>
      </c>
      <c r="C35">
        <v>34944302</v>
      </c>
      <c r="D35">
        <v>29107468</v>
      </c>
      <c r="E35">
        <v>1</v>
      </c>
      <c r="F35">
        <v>1</v>
      </c>
      <c r="G35">
        <v>1</v>
      </c>
      <c r="H35">
        <v>3</v>
      </c>
      <c r="I35" t="s">
        <v>216</v>
      </c>
      <c r="J35" t="s">
        <v>217</v>
      </c>
      <c r="K35" t="s">
        <v>218</v>
      </c>
      <c r="L35">
        <v>1346</v>
      </c>
      <c r="N35">
        <v>1009</v>
      </c>
      <c r="O35" t="s">
        <v>219</v>
      </c>
      <c r="P35" t="s">
        <v>219</v>
      </c>
      <c r="Q35">
        <v>1</v>
      </c>
      <c r="W35">
        <v>0</v>
      </c>
      <c r="X35">
        <v>1784212875</v>
      </c>
      <c r="Y35">
        <v>2.0000000000000001E-4</v>
      </c>
      <c r="AA35">
        <v>204.57</v>
      </c>
      <c r="AB35">
        <v>0</v>
      </c>
      <c r="AC35">
        <v>0</v>
      </c>
      <c r="AD35">
        <v>0</v>
      </c>
      <c r="AE35">
        <v>12.62</v>
      </c>
      <c r="AF35">
        <v>0</v>
      </c>
      <c r="AG35">
        <v>0</v>
      </c>
      <c r="AH35">
        <v>0</v>
      </c>
      <c r="AI35">
        <v>16.21</v>
      </c>
      <c r="AJ35">
        <v>1</v>
      </c>
      <c r="AK35">
        <v>1</v>
      </c>
      <c r="AL35">
        <v>1</v>
      </c>
      <c r="AN35">
        <v>0</v>
      </c>
      <c r="AO35">
        <v>1</v>
      </c>
      <c r="AP35">
        <v>0</v>
      </c>
      <c r="AQ35">
        <v>0</v>
      </c>
      <c r="AR35">
        <v>0</v>
      </c>
      <c r="AS35" t="s">
        <v>3</v>
      </c>
      <c r="AT35">
        <v>2.0000000000000001E-4</v>
      </c>
      <c r="AU35" t="s">
        <v>3</v>
      </c>
      <c r="AV35">
        <v>0</v>
      </c>
      <c r="AW35">
        <v>2</v>
      </c>
      <c r="AX35">
        <v>34944315</v>
      </c>
      <c r="AY35">
        <v>1</v>
      </c>
      <c r="AZ35">
        <v>0</v>
      </c>
      <c r="BA35">
        <v>34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CX35">
        <f>Y35*Source!I30</f>
        <v>3.0000000000000001E-3</v>
      </c>
      <c r="CY35">
        <f t="shared" si="8"/>
        <v>204.57</v>
      </c>
      <c r="CZ35">
        <f t="shared" si="9"/>
        <v>12.62</v>
      </c>
      <c r="DA35">
        <f t="shared" si="10"/>
        <v>16.21</v>
      </c>
      <c r="DB35">
        <f t="shared" si="0"/>
        <v>0</v>
      </c>
      <c r="DC35">
        <f t="shared" si="1"/>
        <v>0</v>
      </c>
    </row>
    <row r="36" spans="1:107">
      <c r="A36">
        <f>ROW(Source!A30)</f>
        <v>30</v>
      </c>
      <c r="B36">
        <v>34944170</v>
      </c>
      <c r="C36">
        <v>34944302</v>
      </c>
      <c r="D36">
        <v>29114480</v>
      </c>
      <c r="E36">
        <v>1</v>
      </c>
      <c r="F36">
        <v>1</v>
      </c>
      <c r="G36">
        <v>1</v>
      </c>
      <c r="H36">
        <v>3</v>
      </c>
      <c r="I36" t="s">
        <v>220</v>
      </c>
      <c r="J36" t="s">
        <v>221</v>
      </c>
      <c r="K36" t="s">
        <v>222</v>
      </c>
      <c r="L36">
        <v>1358</v>
      </c>
      <c r="N36">
        <v>1010</v>
      </c>
      <c r="O36" t="s">
        <v>223</v>
      </c>
      <c r="P36" t="s">
        <v>223</v>
      </c>
      <c r="Q36">
        <v>10</v>
      </c>
      <c r="W36">
        <v>0</v>
      </c>
      <c r="X36">
        <v>-1291205266</v>
      </c>
      <c r="Y36">
        <v>0.1</v>
      </c>
      <c r="AA36">
        <v>28.72</v>
      </c>
      <c r="AB36">
        <v>0</v>
      </c>
      <c r="AC36">
        <v>0</v>
      </c>
      <c r="AD36">
        <v>0</v>
      </c>
      <c r="AE36">
        <v>8.3000000000000007</v>
      </c>
      <c r="AF36">
        <v>0</v>
      </c>
      <c r="AG36">
        <v>0</v>
      </c>
      <c r="AH36">
        <v>0</v>
      </c>
      <c r="AI36">
        <v>3.46</v>
      </c>
      <c r="AJ36">
        <v>1</v>
      </c>
      <c r="AK36">
        <v>1</v>
      </c>
      <c r="AL36">
        <v>1</v>
      </c>
      <c r="AN36">
        <v>0</v>
      </c>
      <c r="AO36">
        <v>1</v>
      </c>
      <c r="AP36">
        <v>0</v>
      </c>
      <c r="AQ36">
        <v>0</v>
      </c>
      <c r="AR36">
        <v>0</v>
      </c>
      <c r="AS36" t="s">
        <v>3</v>
      </c>
      <c r="AT36">
        <v>0.1</v>
      </c>
      <c r="AU36" t="s">
        <v>3</v>
      </c>
      <c r="AV36">
        <v>0</v>
      </c>
      <c r="AW36">
        <v>2</v>
      </c>
      <c r="AX36">
        <v>34944316</v>
      </c>
      <c r="AY36">
        <v>1</v>
      </c>
      <c r="AZ36">
        <v>0</v>
      </c>
      <c r="BA36">
        <v>35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CX36">
        <f>Y36*Source!I30</f>
        <v>1.5</v>
      </c>
      <c r="CY36">
        <f t="shared" si="8"/>
        <v>28.72</v>
      </c>
      <c r="CZ36">
        <f t="shared" si="9"/>
        <v>8.3000000000000007</v>
      </c>
      <c r="DA36">
        <f t="shared" si="10"/>
        <v>3.46</v>
      </c>
      <c r="DB36">
        <f t="shared" si="0"/>
        <v>0.83</v>
      </c>
      <c r="DC36">
        <f t="shared" si="1"/>
        <v>0</v>
      </c>
    </row>
    <row r="37" spans="1:107">
      <c r="A37">
        <f>ROW(Source!A30)</f>
        <v>30</v>
      </c>
      <c r="B37">
        <v>34944170</v>
      </c>
      <c r="C37">
        <v>34944302</v>
      </c>
      <c r="D37">
        <v>29149204</v>
      </c>
      <c r="E37">
        <v>1</v>
      </c>
      <c r="F37">
        <v>1</v>
      </c>
      <c r="G37">
        <v>1</v>
      </c>
      <c r="H37">
        <v>3</v>
      </c>
      <c r="I37" t="s">
        <v>224</v>
      </c>
      <c r="J37" t="s">
        <v>225</v>
      </c>
      <c r="K37" t="s">
        <v>226</v>
      </c>
      <c r="L37">
        <v>1348</v>
      </c>
      <c r="N37">
        <v>1009</v>
      </c>
      <c r="O37" t="s">
        <v>227</v>
      </c>
      <c r="P37" t="s">
        <v>227</v>
      </c>
      <c r="Q37">
        <v>1000</v>
      </c>
      <c r="W37">
        <v>0</v>
      </c>
      <c r="X37">
        <v>-1132764130</v>
      </c>
      <c r="Y37">
        <v>1.0000000000000001E-5</v>
      </c>
      <c r="AA37">
        <v>4956.5600000000004</v>
      </c>
      <c r="AB37">
        <v>0</v>
      </c>
      <c r="AC37">
        <v>0</v>
      </c>
      <c r="AD37">
        <v>0</v>
      </c>
      <c r="AE37">
        <v>729.98</v>
      </c>
      <c r="AF37">
        <v>0</v>
      </c>
      <c r="AG37">
        <v>0</v>
      </c>
      <c r="AH37">
        <v>0</v>
      </c>
      <c r="AI37">
        <v>6.79</v>
      </c>
      <c r="AJ37">
        <v>1</v>
      </c>
      <c r="AK37">
        <v>1</v>
      </c>
      <c r="AL37">
        <v>1</v>
      </c>
      <c r="AN37">
        <v>0</v>
      </c>
      <c r="AO37">
        <v>1</v>
      </c>
      <c r="AP37">
        <v>0</v>
      </c>
      <c r="AQ37">
        <v>0</v>
      </c>
      <c r="AR37">
        <v>0</v>
      </c>
      <c r="AS37" t="s">
        <v>3</v>
      </c>
      <c r="AT37">
        <v>1.0000000000000001E-5</v>
      </c>
      <c r="AU37" t="s">
        <v>3</v>
      </c>
      <c r="AV37">
        <v>0</v>
      </c>
      <c r="AW37">
        <v>2</v>
      </c>
      <c r="AX37">
        <v>34944317</v>
      </c>
      <c r="AY37">
        <v>1</v>
      </c>
      <c r="AZ37">
        <v>0</v>
      </c>
      <c r="BA37">
        <v>36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CX37">
        <f>Y37*Source!I30</f>
        <v>1.5000000000000001E-4</v>
      </c>
      <c r="CY37">
        <f t="shared" si="8"/>
        <v>4956.5600000000004</v>
      </c>
      <c r="CZ37">
        <f t="shared" si="9"/>
        <v>729.98</v>
      </c>
      <c r="DA37">
        <f t="shared" si="10"/>
        <v>6.79</v>
      </c>
      <c r="DB37">
        <f t="shared" si="0"/>
        <v>0.01</v>
      </c>
      <c r="DC37">
        <f t="shared" si="1"/>
        <v>0</v>
      </c>
    </row>
    <row r="38" spans="1:107">
      <c r="A38">
        <f>ROW(Source!A30)</f>
        <v>30</v>
      </c>
      <c r="B38">
        <v>34944170</v>
      </c>
      <c r="C38">
        <v>34944302</v>
      </c>
      <c r="D38">
        <v>29158010</v>
      </c>
      <c r="E38">
        <v>1</v>
      </c>
      <c r="F38">
        <v>1</v>
      </c>
      <c r="G38">
        <v>1</v>
      </c>
      <c r="H38">
        <v>3</v>
      </c>
      <c r="I38" t="s">
        <v>228</v>
      </c>
      <c r="J38" t="s">
        <v>229</v>
      </c>
      <c r="K38" t="s">
        <v>230</v>
      </c>
      <c r="L38">
        <v>1346</v>
      </c>
      <c r="N38">
        <v>1009</v>
      </c>
      <c r="O38" t="s">
        <v>219</v>
      </c>
      <c r="P38" t="s">
        <v>219</v>
      </c>
      <c r="Q38">
        <v>1</v>
      </c>
      <c r="W38">
        <v>0</v>
      </c>
      <c r="X38">
        <v>567682832</v>
      </c>
      <c r="Y38">
        <v>2E-3</v>
      </c>
      <c r="AA38">
        <v>621.05999999999995</v>
      </c>
      <c r="AB38">
        <v>0</v>
      </c>
      <c r="AC38">
        <v>0</v>
      </c>
      <c r="AD38">
        <v>0</v>
      </c>
      <c r="AE38">
        <v>65.930000000000007</v>
      </c>
      <c r="AF38">
        <v>0</v>
      </c>
      <c r="AG38">
        <v>0</v>
      </c>
      <c r="AH38">
        <v>0</v>
      </c>
      <c r="AI38">
        <v>9.42</v>
      </c>
      <c r="AJ38">
        <v>1</v>
      </c>
      <c r="AK38">
        <v>1</v>
      </c>
      <c r="AL38">
        <v>1</v>
      </c>
      <c r="AN38">
        <v>0</v>
      </c>
      <c r="AO38">
        <v>1</v>
      </c>
      <c r="AP38">
        <v>0</v>
      </c>
      <c r="AQ38">
        <v>0</v>
      </c>
      <c r="AR38">
        <v>0</v>
      </c>
      <c r="AS38" t="s">
        <v>3</v>
      </c>
      <c r="AT38">
        <v>2E-3</v>
      </c>
      <c r="AU38" t="s">
        <v>3</v>
      </c>
      <c r="AV38">
        <v>0</v>
      </c>
      <c r="AW38">
        <v>2</v>
      </c>
      <c r="AX38">
        <v>34944318</v>
      </c>
      <c r="AY38">
        <v>1</v>
      </c>
      <c r="AZ38">
        <v>0</v>
      </c>
      <c r="BA38">
        <v>37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CX38">
        <f>Y38*Source!I30</f>
        <v>0.03</v>
      </c>
      <c r="CY38">
        <f t="shared" si="8"/>
        <v>621.05999999999995</v>
      </c>
      <c r="CZ38">
        <f t="shared" si="9"/>
        <v>65.930000000000007</v>
      </c>
      <c r="DA38">
        <f t="shared" si="10"/>
        <v>9.42</v>
      </c>
      <c r="DB38">
        <f t="shared" si="0"/>
        <v>0.13</v>
      </c>
      <c r="DC38">
        <f t="shared" si="1"/>
        <v>0</v>
      </c>
    </row>
    <row r="39" spans="1:107">
      <c r="A39">
        <f>ROW(Source!A30)</f>
        <v>30</v>
      </c>
      <c r="B39">
        <v>34944170</v>
      </c>
      <c r="C39">
        <v>34944302</v>
      </c>
      <c r="D39">
        <v>29171808</v>
      </c>
      <c r="E39">
        <v>1</v>
      </c>
      <c r="F39">
        <v>1</v>
      </c>
      <c r="G39">
        <v>1</v>
      </c>
      <c r="H39">
        <v>3</v>
      </c>
      <c r="I39" t="s">
        <v>231</v>
      </c>
      <c r="J39" t="s">
        <v>232</v>
      </c>
      <c r="K39" t="s">
        <v>233</v>
      </c>
      <c r="L39">
        <v>1374</v>
      </c>
      <c r="N39">
        <v>1013</v>
      </c>
      <c r="O39" t="s">
        <v>234</v>
      </c>
      <c r="P39" t="s">
        <v>234</v>
      </c>
      <c r="Q39">
        <v>1</v>
      </c>
      <c r="W39">
        <v>0</v>
      </c>
      <c r="X39">
        <v>-915781824</v>
      </c>
      <c r="Y39">
        <v>0.16</v>
      </c>
      <c r="AA39">
        <v>1</v>
      </c>
      <c r="AB39">
        <v>0</v>
      </c>
      <c r="AC39">
        <v>0</v>
      </c>
      <c r="AD39">
        <v>0</v>
      </c>
      <c r="AE39">
        <v>1</v>
      </c>
      <c r="AF39">
        <v>0</v>
      </c>
      <c r="AG39">
        <v>0</v>
      </c>
      <c r="AH39">
        <v>0</v>
      </c>
      <c r="AI39">
        <v>1</v>
      </c>
      <c r="AJ39">
        <v>1</v>
      </c>
      <c r="AK39">
        <v>1</v>
      </c>
      <c r="AL39">
        <v>1</v>
      </c>
      <c r="AN39">
        <v>0</v>
      </c>
      <c r="AO39">
        <v>1</v>
      </c>
      <c r="AP39">
        <v>0</v>
      </c>
      <c r="AQ39">
        <v>0</v>
      </c>
      <c r="AR39">
        <v>0</v>
      </c>
      <c r="AS39" t="s">
        <v>3</v>
      </c>
      <c r="AT39">
        <v>0.16</v>
      </c>
      <c r="AU39" t="s">
        <v>3</v>
      </c>
      <c r="AV39">
        <v>0</v>
      </c>
      <c r="AW39">
        <v>2</v>
      </c>
      <c r="AX39">
        <v>34944319</v>
      </c>
      <c r="AY39">
        <v>1</v>
      </c>
      <c r="AZ39">
        <v>0</v>
      </c>
      <c r="BA39">
        <v>38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CX39">
        <f>Y39*Source!I30</f>
        <v>2.4</v>
      </c>
      <c r="CY39">
        <f t="shared" si="8"/>
        <v>1</v>
      </c>
      <c r="CZ39">
        <f t="shared" si="9"/>
        <v>1</v>
      </c>
      <c r="DA39">
        <f t="shared" si="10"/>
        <v>1</v>
      </c>
      <c r="DB39">
        <f t="shared" si="0"/>
        <v>0.16</v>
      </c>
      <c r="DC39">
        <f t="shared" si="1"/>
        <v>0</v>
      </c>
    </row>
    <row r="40" spans="1:107">
      <c r="A40">
        <f>ROW(Source!A30)</f>
        <v>30</v>
      </c>
      <c r="B40">
        <v>34944170</v>
      </c>
      <c r="C40">
        <v>34944302</v>
      </c>
      <c r="D40">
        <v>0</v>
      </c>
      <c r="E40">
        <v>0</v>
      </c>
      <c r="F40">
        <v>1</v>
      </c>
      <c r="G40">
        <v>1</v>
      </c>
      <c r="H40">
        <v>3</v>
      </c>
      <c r="I40" t="s">
        <v>53</v>
      </c>
      <c r="J40" t="s">
        <v>3</v>
      </c>
      <c r="K40" t="s">
        <v>54</v>
      </c>
      <c r="L40">
        <v>0</v>
      </c>
      <c r="W40">
        <v>0</v>
      </c>
      <c r="X40">
        <v>-394209530</v>
      </c>
      <c r="Y40">
        <v>1</v>
      </c>
      <c r="AA40">
        <v>1047.5999999999999</v>
      </c>
      <c r="AB40">
        <v>0</v>
      </c>
      <c r="AC40">
        <v>0</v>
      </c>
      <c r="AD40">
        <v>0</v>
      </c>
      <c r="AE40">
        <v>1047.5999999999999</v>
      </c>
      <c r="AF40">
        <v>0</v>
      </c>
      <c r="AG40">
        <v>0</v>
      </c>
      <c r="AH40">
        <v>0</v>
      </c>
      <c r="AI40">
        <v>1</v>
      </c>
      <c r="AJ40">
        <v>1</v>
      </c>
      <c r="AK40">
        <v>1</v>
      </c>
      <c r="AL40">
        <v>1</v>
      </c>
      <c r="AN40">
        <v>0</v>
      </c>
      <c r="AO40">
        <v>0</v>
      </c>
      <c r="AP40">
        <v>2</v>
      </c>
      <c r="AQ40">
        <v>0</v>
      </c>
      <c r="AR40">
        <v>0</v>
      </c>
      <c r="AS40" t="s">
        <v>3</v>
      </c>
      <c r="AT40">
        <v>1</v>
      </c>
      <c r="AU40" t="s">
        <v>3</v>
      </c>
      <c r="AV40">
        <v>0</v>
      </c>
      <c r="AW40">
        <v>1</v>
      </c>
      <c r="AX40">
        <v>-1</v>
      </c>
      <c r="AY40">
        <v>0</v>
      </c>
      <c r="AZ40">
        <v>0</v>
      </c>
      <c r="BA40" t="s">
        <v>3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CX40">
        <f>Y40*Source!I30</f>
        <v>15</v>
      </c>
      <c r="CY40">
        <f t="shared" si="8"/>
        <v>1047.5999999999999</v>
      </c>
      <c r="CZ40">
        <f t="shared" si="9"/>
        <v>1047.5999999999999</v>
      </c>
      <c r="DA40">
        <f t="shared" si="10"/>
        <v>1</v>
      </c>
      <c r="DB40">
        <f t="shared" si="0"/>
        <v>1047.5999999999999</v>
      </c>
      <c r="DC40">
        <f t="shared" si="1"/>
        <v>0</v>
      </c>
    </row>
    <row r="41" spans="1:107">
      <c r="A41">
        <f>ROW(Source!A32)</f>
        <v>32</v>
      </c>
      <c r="B41">
        <v>34944170</v>
      </c>
      <c r="C41">
        <v>34944321</v>
      </c>
      <c r="D41">
        <v>29364679</v>
      </c>
      <c r="E41">
        <v>1</v>
      </c>
      <c r="F41">
        <v>1</v>
      </c>
      <c r="G41">
        <v>1</v>
      </c>
      <c r="H41">
        <v>1</v>
      </c>
      <c r="I41" t="s">
        <v>283</v>
      </c>
      <c r="J41" t="s">
        <v>3</v>
      </c>
      <c r="K41" t="s">
        <v>284</v>
      </c>
      <c r="L41">
        <v>1369</v>
      </c>
      <c r="N41">
        <v>1013</v>
      </c>
      <c r="O41" t="s">
        <v>211</v>
      </c>
      <c r="P41" t="s">
        <v>211</v>
      </c>
      <c r="Q41">
        <v>1</v>
      </c>
      <c r="W41">
        <v>0</v>
      </c>
      <c r="X41">
        <v>931378261</v>
      </c>
      <c r="Y41">
        <v>68.239999999999995</v>
      </c>
      <c r="AA41">
        <v>0</v>
      </c>
      <c r="AB41">
        <v>0</v>
      </c>
      <c r="AC41">
        <v>0</v>
      </c>
      <c r="AD41">
        <v>273.23</v>
      </c>
      <c r="AE41">
        <v>0</v>
      </c>
      <c r="AF41">
        <v>0</v>
      </c>
      <c r="AG41">
        <v>0</v>
      </c>
      <c r="AH41">
        <v>273.23</v>
      </c>
      <c r="AI41">
        <v>1</v>
      </c>
      <c r="AJ41">
        <v>1</v>
      </c>
      <c r="AK41">
        <v>1</v>
      </c>
      <c r="AL41">
        <v>1</v>
      </c>
      <c r="AN41">
        <v>0</v>
      </c>
      <c r="AO41">
        <v>1</v>
      </c>
      <c r="AP41">
        <v>0</v>
      </c>
      <c r="AQ41">
        <v>0</v>
      </c>
      <c r="AR41">
        <v>0</v>
      </c>
      <c r="AS41" t="s">
        <v>3</v>
      </c>
      <c r="AT41">
        <v>68.239999999999995</v>
      </c>
      <c r="AU41" t="s">
        <v>3</v>
      </c>
      <c r="AV41">
        <v>1</v>
      </c>
      <c r="AW41">
        <v>2</v>
      </c>
      <c r="AX41">
        <v>34944330</v>
      </c>
      <c r="AY41">
        <v>1</v>
      </c>
      <c r="AZ41">
        <v>0</v>
      </c>
      <c r="BA41">
        <v>39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CX41">
        <f>Y41*Source!I32</f>
        <v>0.68240000000000001</v>
      </c>
      <c r="CY41">
        <f>AD41</f>
        <v>273.23</v>
      </c>
      <c r="CZ41">
        <f>AH41</f>
        <v>273.23</v>
      </c>
      <c r="DA41">
        <f>AL41</f>
        <v>1</v>
      </c>
      <c r="DB41">
        <f t="shared" si="0"/>
        <v>18645.22</v>
      </c>
      <c r="DC41">
        <f t="shared" si="1"/>
        <v>0</v>
      </c>
    </row>
    <row r="42" spans="1:107">
      <c r="A42">
        <f>ROW(Source!A32)</f>
        <v>32</v>
      </c>
      <c r="B42">
        <v>34944170</v>
      </c>
      <c r="C42">
        <v>34944321</v>
      </c>
      <c r="D42">
        <v>121548</v>
      </c>
      <c r="E42">
        <v>1</v>
      </c>
      <c r="F42">
        <v>1</v>
      </c>
      <c r="G42">
        <v>1</v>
      </c>
      <c r="H42">
        <v>1</v>
      </c>
      <c r="I42" t="s">
        <v>248</v>
      </c>
      <c r="J42" t="s">
        <v>3</v>
      </c>
      <c r="K42" t="s">
        <v>249</v>
      </c>
      <c r="L42">
        <v>608254</v>
      </c>
      <c r="N42">
        <v>1013</v>
      </c>
      <c r="O42" t="s">
        <v>250</v>
      </c>
      <c r="P42" t="s">
        <v>250</v>
      </c>
      <c r="Q42">
        <v>1</v>
      </c>
      <c r="W42">
        <v>0</v>
      </c>
      <c r="X42">
        <v>-185737400</v>
      </c>
      <c r="Y42">
        <v>0.1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1</v>
      </c>
      <c r="AJ42">
        <v>1</v>
      </c>
      <c r="AK42">
        <v>1</v>
      </c>
      <c r="AL42">
        <v>1</v>
      </c>
      <c r="AN42">
        <v>0</v>
      </c>
      <c r="AO42">
        <v>1</v>
      </c>
      <c r="AP42">
        <v>0</v>
      </c>
      <c r="AQ42">
        <v>0</v>
      </c>
      <c r="AR42">
        <v>0</v>
      </c>
      <c r="AS42" t="s">
        <v>3</v>
      </c>
      <c r="AT42">
        <v>0.1</v>
      </c>
      <c r="AU42" t="s">
        <v>3</v>
      </c>
      <c r="AV42">
        <v>2</v>
      </c>
      <c r="AW42">
        <v>2</v>
      </c>
      <c r="AX42">
        <v>34944331</v>
      </c>
      <c r="AY42">
        <v>1</v>
      </c>
      <c r="AZ42">
        <v>0</v>
      </c>
      <c r="BA42">
        <v>40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CX42">
        <f>Y42*Source!I32</f>
        <v>1E-3</v>
      </c>
      <c r="CY42">
        <f>AD42</f>
        <v>0</v>
      </c>
      <c r="CZ42">
        <f>AH42</f>
        <v>0</v>
      </c>
      <c r="DA42">
        <f>AL42</f>
        <v>1</v>
      </c>
      <c r="DB42">
        <f t="shared" si="0"/>
        <v>0</v>
      </c>
      <c r="DC42">
        <f t="shared" si="1"/>
        <v>0</v>
      </c>
    </row>
    <row r="43" spans="1:107">
      <c r="A43">
        <f>ROW(Source!A32)</f>
        <v>32</v>
      </c>
      <c r="B43">
        <v>34944170</v>
      </c>
      <c r="C43">
        <v>34944321</v>
      </c>
      <c r="D43">
        <v>29172362</v>
      </c>
      <c r="E43">
        <v>1</v>
      </c>
      <c r="F43">
        <v>1</v>
      </c>
      <c r="G43">
        <v>1</v>
      </c>
      <c r="H43">
        <v>2</v>
      </c>
      <c r="I43" t="s">
        <v>268</v>
      </c>
      <c r="J43" t="s">
        <v>269</v>
      </c>
      <c r="K43" t="s">
        <v>270</v>
      </c>
      <c r="L43">
        <v>1368</v>
      </c>
      <c r="N43">
        <v>1011</v>
      </c>
      <c r="O43" t="s">
        <v>215</v>
      </c>
      <c r="P43" t="s">
        <v>215</v>
      </c>
      <c r="Q43">
        <v>1</v>
      </c>
      <c r="W43">
        <v>0</v>
      </c>
      <c r="X43">
        <v>2071614860</v>
      </c>
      <c r="Y43">
        <v>0.1</v>
      </c>
      <c r="AA43">
        <v>0</v>
      </c>
      <c r="AB43">
        <v>1058.3499999999999</v>
      </c>
      <c r="AC43">
        <v>408.92</v>
      </c>
      <c r="AD43">
        <v>0</v>
      </c>
      <c r="AE43">
        <v>0</v>
      </c>
      <c r="AF43">
        <v>134.65</v>
      </c>
      <c r="AG43">
        <v>13.5</v>
      </c>
      <c r="AH43">
        <v>0</v>
      </c>
      <c r="AI43">
        <v>1</v>
      </c>
      <c r="AJ43">
        <v>7.86</v>
      </c>
      <c r="AK43">
        <v>30.29</v>
      </c>
      <c r="AL43">
        <v>1</v>
      </c>
      <c r="AN43">
        <v>0</v>
      </c>
      <c r="AO43">
        <v>1</v>
      </c>
      <c r="AP43">
        <v>0</v>
      </c>
      <c r="AQ43">
        <v>0</v>
      </c>
      <c r="AR43">
        <v>0</v>
      </c>
      <c r="AS43" t="s">
        <v>3</v>
      </c>
      <c r="AT43">
        <v>0.1</v>
      </c>
      <c r="AU43" t="s">
        <v>3</v>
      </c>
      <c r="AV43">
        <v>0</v>
      </c>
      <c r="AW43">
        <v>2</v>
      </c>
      <c r="AX43">
        <v>34944332</v>
      </c>
      <c r="AY43">
        <v>1</v>
      </c>
      <c r="AZ43">
        <v>0</v>
      </c>
      <c r="BA43">
        <v>41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CX43">
        <f>Y43*Source!I32</f>
        <v>1E-3</v>
      </c>
      <c r="CY43">
        <f>AB43</f>
        <v>1058.3499999999999</v>
      </c>
      <c r="CZ43">
        <f>AF43</f>
        <v>134.65</v>
      </c>
      <c r="DA43">
        <f>AJ43</f>
        <v>7.86</v>
      </c>
      <c r="DB43">
        <f t="shared" si="0"/>
        <v>13.47</v>
      </c>
      <c r="DC43">
        <f t="shared" si="1"/>
        <v>1.35</v>
      </c>
    </row>
    <row r="44" spans="1:107">
      <c r="A44">
        <f>ROW(Source!A32)</f>
        <v>32</v>
      </c>
      <c r="B44">
        <v>34944170</v>
      </c>
      <c r="C44">
        <v>34944321</v>
      </c>
      <c r="D44">
        <v>29174913</v>
      </c>
      <c r="E44">
        <v>1</v>
      </c>
      <c r="F44">
        <v>1</v>
      </c>
      <c r="G44">
        <v>1</v>
      </c>
      <c r="H44">
        <v>2</v>
      </c>
      <c r="I44" t="s">
        <v>271</v>
      </c>
      <c r="J44" t="s">
        <v>272</v>
      </c>
      <c r="K44" t="s">
        <v>273</v>
      </c>
      <c r="L44">
        <v>1368</v>
      </c>
      <c r="N44">
        <v>1011</v>
      </c>
      <c r="O44" t="s">
        <v>215</v>
      </c>
      <c r="P44" t="s">
        <v>215</v>
      </c>
      <c r="Q44">
        <v>1</v>
      </c>
      <c r="W44">
        <v>0</v>
      </c>
      <c r="X44">
        <v>458544584</v>
      </c>
      <c r="Y44">
        <v>0.1</v>
      </c>
      <c r="AA44">
        <v>0</v>
      </c>
      <c r="AB44">
        <v>887.39</v>
      </c>
      <c r="AC44">
        <v>351.36</v>
      </c>
      <c r="AD44">
        <v>0</v>
      </c>
      <c r="AE44">
        <v>0</v>
      </c>
      <c r="AF44">
        <v>87.17</v>
      </c>
      <c r="AG44">
        <v>11.6</v>
      </c>
      <c r="AH44">
        <v>0</v>
      </c>
      <c r="AI44">
        <v>1</v>
      </c>
      <c r="AJ44">
        <v>10.18</v>
      </c>
      <c r="AK44">
        <v>30.29</v>
      </c>
      <c r="AL44">
        <v>1</v>
      </c>
      <c r="AN44">
        <v>0</v>
      </c>
      <c r="AO44">
        <v>1</v>
      </c>
      <c r="AP44">
        <v>0</v>
      </c>
      <c r="AQ44">
        <v>0</v>
      </c>
      <c r="AR44">
        <v>0</v>
      </c>
      <c r="AS44" t="s">
        <v>3</v>
      </c>
      <c r="AT44">
        <v>0.1</v>
      </c>
      <c r="AU44" t="s">
        <v>3</v>
      </c>
      <c r="AV44">
        <v>0</v>
      </c>
      <c r="AW44">
        <v>2</v>
      </c>
      <c r="AX44">
        <v>34944333</v>
      </c>
      <c r="AY44">
        <v>1</v>
      </c>
      <c r="AZ44">
        <v>0</v>
      </c>
      <c r="BA44">
        <v>42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CX44">
        <f>Y44*Source!I32</f>
        <v>1E-3</v>
      </c>
      <c r="CY44">
        <f>AB44</f>
        <v>887.39</v>
      </c>
      <c r="CZ44">
        <f>AF44</f>
        <v>87.17</v>
      </c>
      <c r="DA44">
        <f>AJ44</f>
        <v>10.18</v>
      </c>
      <c r="DB44">
        <f t="shared" si="0"/>
        <v>8.7200000000000006</v>
      </c>
      <c r="DC44">
        <f t="shared" si="1"/>
        <v>1.1599999999999999</v>
      </c>
    </row>
    <row r="45" spans="1:107">
      <c r="A45">
        <f>ROW(Source!A32)</f>
        <v>32</v>
      </c>
      <c r="B45">
        <v>34944170</v>
      </c>
      <c r="C45">
        <v>34944321</v>
      </c>
      <c r="D45">
        <v>29114269</v>
      </c>
      <c r="E45">
        <v>1</v>
      </c>
      <c r="F45">
        <v>1</v>
      </c>
      <c r="G45">
        <v>1</v>
      </c>
      <c r="H45">
        <v>3</v>
      </c>
      <c r="I45" t="s">
        <v>285</v>
      </c>
      <c r="J45" t="s">
        <v>286</v>
      </c>
      <c r="K45" t="s">
        <v>287</v>
      </c>
      <c r="L45">
        <v>1348</v>
      </c>
      <c r="N45">
        <v>1009</v>
      </c>
      <c r="O45" t="s">
        <v>227</v>
      </c>
      <c r="P45" t="s">
        <v>227</v>
      </c>
      <c r="Q45">
        <v>1000</v>
      </c>
      <c r="W45">
        <v>0</v>
      </c>
      <c r="X45">
        <v>2140487653</v>
      </c>
      <c r="Y45">
        <v>3.0599999999999998E-3</v>
      </c>
      <c r="AA45">
        <v>111869.91</v>
      </c>
      <c r="AB45">
        <v>0</v>
      </c>
      <c r="AC45">
        <v>0</v>
      </c>
      <c r="AD45">
        <v>0</v>
      </c>
      <c r="AE45">
        <v>12429.99</v>
      </c>
      <c r="AF45">
        <v>0</v>
      </c>
      <c r="AG45">
        <v>0</v>
      </c>
      <c r="AH45">
        <v>0</v>
      </c>
      <c r="AI45">
        <v>9</v>
      </c>
      <c r="AJ45">
        <v>1</v>
      </c>
      <c r="AK45">
        <v>1</v>
      </c>
      <c r="AL45">
        <v>1</v>
      </c>
      <c r="AN45">
        <v>0</v>
      </c>
      <c r="AO45">
        <v>1</v>
      </c>
      <c r="AP45">
        <v>0</v>
      </c>
      <c r="AQ45">
        <v>0</v>
      </c>
      <c r="AR45">
        <v>0</v>
      </c>
      <c r="AS45" t="s">
        <v>3</v>
      </c>
      <c r="AT45">
        <v>3.0599999999999998E-3</v>
      </c>
      <c r="AU45" t="s">
        <v>3</v>
      </c>
      <c r="AV45">
        <v>0</v>
      </c>
      <c r="AW45">
        <v>2</v>
      </c>
      <c r="AX45">
        <v>34944334</v>
      </c>
      <c r="AY45">
        <v>1</v>
      </c>
      <c r="AZ45">
        <v>0</v>
      </c>
      <c r="BA45">
        <v>43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CX45">
        <f>Y45*Source!I32</f>
        <v>3.0599999999999998E-5</v>
      </c>
      <c r="CY45">
        <f>AA45</f>
        <v>111869.91</v>
      </c>
      <c r="CZ45">
        <f>AE45</f>
        <v>12429.99</v>
      </c>
      <c r="DA45">
        <f>AI45</f>
        <v>9</v>
      </c>
      <c r="DB45">
        <f t="shared" si="0"/>
        <v>38.04</v>
      </c>
      <c r="DC45">
        <f t="shared" si="1"/>
        <v>0</v>
      </c>
    </row>
    <row r="46" spans="1:107">
      <c r="A46">
        <f>ROW(Source!A32)</f>
        <v>32</v>
      </c>
      <c r="B46">
        <v>34944170</v>
      </c>
      <c r="C46">
        <v>34944321</v>
      </c>
      <c r="D46">
        <v>29110838</v>
      </c>
      <c r="E46">
        <v>1</v>
      </c>
      <c r="F46">
        <v>1</v>
      </c>
      <c r="G46">
        <v>1</v>
      </c>
      <c r="H46">
        <v>3</v>
      </c>
      <c r="I46" t="s">
        <v>280</v>
      </c>
      <c r="J46" t="s">
        <v>281</v>
      </c>
      <c r="K46" t="s">
        <v>282</v>
      </c>
      <c r="L46">
        <v>1346</v>
      </c>
      <c r="N46">
        <v>1009</v>
      </c>
      <c r="O46" t="s">
        <v>219</v>
      </c>
      <c r="P46" t="s">
        <v>219</v>
      </c>
      <c r="Q46">
        <v>1</v>
      </c>
      <c r="W46">
        <v>0</v>
      </c>
      <c r="X46">
        <v>-667794164</v>
      </c>
      <c r="Y46">
        <v>0.31</v>
      </c>
      <c r="AA46">
        <v>100.04</v>
      </c>
      <c r="AB46">
        <v>0</v>
      </c>
      <c r="AC46">
        <v>0</v>
      </c>
      <c r="AD46">
        <v>0</v>
      </c>
      <c r="AE46">
        <v>30.5</v>
      </c>
      <c r="AF46">
        <v>0</v>
      </c>
      <c r="AG46">
        <v>0</v>
      </c>
      <c r="AH46">
        <v>0</v>
      </c>
      <c r="AI46">
        <v>3.28</v>
      </c>
      <c r="AJ46">
        <v>1</v>
      </c>
      <c r="AK46">
        <v>1</v>
      </c>
      <c r="AL46">
        <v>1</v>
      </c>
      <c r="AN46">
        <v>0</v>
      </c>
      <c r="AO46">
        <v>1</v>
      </c>
      <c r="AP46">
        <v>0</v>
      </c>
      <c r="AQ46">
        <v>0</v>
      </c>
      <c r="AR46">
        <v>0</v>
      </c>
      <c r="AS46" t="s">
        <v>3</v>
      </c>
      <c r="AT46">
        <v>0.31</v>
      </c>
      <c r="AU46" t="s">
        <v>3</v>
      </c>
      <c r="AV46">
        <v>0</v>
      </c>
      <c r="AW46">
        <v>2</v>
      </c>
      <c r="AX46">
        <v>34944335</v>
      </c>
      <c r="AY46">
        <v>1</v>
      </c>
      <c r="AZ46">
        <v>0</v>
      </c>
      <c r="BA46">
        <v>44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CX46">
        <f>Y46*Source!I32</f>
        <v>3.0999999999999999E-3</v>
      </c>
      <c r="CY46">
        <f>AA46</f>
        <v>100.04</v>
      </c>
      <c r="CZ46">
        <f>AE46</f>
        <v>30.5</v>
      </c>
      <c r="DA46">
        <f>AI46</f>
        <v>3.28</v>
      </c>
      <c r="DB46">
        <f t="shared" si="0"/>
        <v>9.4600000000000009</v>
      </c>
      <c r="DC46">
        <f t="shared" si="1"/>
        <v>0</v>
      </c>
    </row>
    <row r="47" spans="1:107">
      <c r="A47">
        <f>ROW(Source!A32)</f>
        <v>32</v>
      </c>
      <c r="B47">
        <v>34944170</v>
      </c>
      <c r="C47">
        <v>34944321</v>
      </c>
      <c r="D47">
        <v>29114470</v>
      </c>
      <c r="E47">
        <v>1</v>
      </c>
      <c r="F47">
        <v>1</v>
      </c>
      <c r="G47">
        <v>1</v>
      </c>
      <c r="H47">
        <v>3</v>
      </c>
      <c r="I47" t="s">
        <v>288</v>
      </c>
      <c r="J47" t="s">
        <v>289</v>
      </c>
      <c r="K47" t="s">
        <v>290</v>
      </c>
      <c r="L47">
        <v>1355</v>
      </c>
      <c r="N47">
        <v>1010</v>
      </c>
      <c r="O47" t="s">
        <v>58</v>
      </c>
      <c r="P47" t="s">
        <v>58</v>
      </c>
      <c r="Q47">
        <v>100</v>
      </c>
      <c r="W47">
        <v>0</v>
      </c>
      <c r="X47">
        <v>-228248654</v>
      </c>
      <c r="Y47">
        <v>4.08</v>
      </c>
      <c r="AA47">
        <v>54.33</v>
      </c>
      <c r="AB47">
        <v>0</v>
      </c>
      <c r="AC47">
        <v>0</v>
      </c>
      <c r="AD47">
        <v>0</v>
      </c>
      <c r="AE47">
        <v>86.24</v>
      </c>
      <c r="AF47">
        <v>0</v>
      </c>
      <c r="AG47">
        <v>0</v>
      </c>
      <c r="AH47">
        <v>0</v>
      </c>
      <c r="AI47">
        <v>0.63</v>
      </c>
      <c r="AJ47">
        <v>1</v>
      </c>
      <c r="AK47">
        <v>1</v>
      </c>
      <c r="AL47">
        <v>1</v>
      </c>
      <c r="AN47">
        <v>0</v>
      </c>
      <c r="AO47">
        <v>1</v>
      </c>
      <c r="AP47">
        <v>0</v>
      </c>
      <c r="AQ47">
        <v>0</v>
      </c>
      <c r="AR47">
        <v>0</v>
      </c>
      <c r="AS47" t="s">
        <v>3</v>
      </c>
      <c r="AT47">
        <v>4.08</v>
      </c>
      <c r="AU47" t="s">
        <v>3</v>
      </c>
      <c r="AV47">
        <v>0</v>
      </c>
      <c r="AW47">
        <v>2</v>
      </c>
      <c r="AX47">
        <v>34944336</v>
      </c>
      <c r="AY47">
        <v>1</v>
      </c>
      <c r="AZ47">
        <v>0</v>
      </c>
      <c r="BA47">
        <v>45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CX47">
        <f>Y47*Source!I32</f>
        <v>4.0800000000000003E-2</v>
      </c>
      <c r="CY47">
        <f>AA47</f>
        <v>54.33</v>
      </c>
      <c r="CZ47">
        <f>AE47</f>
        <v>86.24</v>
      </c>
      <c r="DA47">
        <f>AI47</f>
        <v>0.63</v>
      </c>
      <c r="DB47">
        <f t="shared" si="0"/>
        <v>351.86</v>
      </c>
      <c r="DC47">
        <f t="shared" si="1"/>
        <v>0</v>
      </c>
    </row>
    <row r="48" spans="1:107">
      <c r="A48">
        <f>ROW(Source!A32)</f>
        <v>32</v>
      </c>
      <c r="B48">
        <v>34944170</v>
      </c>
      <c r="C48">
        <v>34944321</v>
      </c>
      <c r="D48">
        <v>29171808</v>
      </c>
      <c r="E48">
        <v>1</v>
      </c>
      <c r="F48">
        <v>1</v>
      </c>
      <c r="G48">
        <v>1</v>
      </c>
      <c r="H48">
        <v>3</v>
      </c>
      <c r="I48" t="s">
        <v>231</v>
      </c>
      <c r="J48" t="s">
        <v>232</v>
      </c>
      <c r="K48" t="s">
        <v>233</v>
      </c>
      <c r="L48">
        <v>1374</v>
      </c>
      <c r="N48">
        <v>1013</v>
      </c>
      <c r="O48" t="s">
        <v>234</v>
      </c>
      <c r="P48" t="s">
        <v>234</v>
      </c>
      <c r="Q48">
        <v>1</v>
      </c>
      <c r="W48">
        <v>0</v>
      </c>
      <c r="X48">
        <v>-915781824</v>
      </c>
      <c r="Y48">
        <v>13.54</v>
      </c>
      <c r="AA48">
        <v>1</v>
      </c>
      <c r="AB48">
        <v>0</v>
      </c>
      <c r="AC48">
        <v>0</v>
      </c>
      <c r="AD48">
        <v>0</v>
      </c>
      <c r="AE48">
        <v>1</v>
      </c>
      <c r="AF48">
        <v>0</v>
      </c>
      <c r="AG48">
        <v>0</v>
      </c>
      <c r="AH48">
        <v>0</v>
      </c>
      <c r="AI48">
        <v>1</v>
      </c>
      <c r="AJ48">
        <v>1</v>
      </c>
      <c r="AK48">
        <v>1</v>
      </c>
      <c r="AL48">
        <v>1</v>
      </c>
      <c r="AN48">
        <v>0</v>
      </c>
      <c r="AO48">
        <v>1</v>
      </c>
      <c r="AP48">
        <v>0</v>
      </c>
      <c r="AQ48">
        <v>0</v>
      </c>
      <c r="AR48">
        <v>0</v>
      </c>
      <c r="AS48" t="s">
        <v>3</v>
      </c>
      <c r="AT48">
        <v>13.54</v>
      </c>
      <c r="AU48" t="s">
        <v>3</v>
      </c>
      <c r="AV48">
        <v>0</v>
      </c>
      <c r="AW48">
        <v>2</v>
      </c>
      <c r="AX48">
        <v>34944337</v>
      </c>
      <c r="AY48">
        <v>1</v>
      </c>
      <c r="AZ48">
        <v>0</v>
      </c>
      <c r="BA48">
        <v>46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CX48">
        <f>Y48*Source!I32</f>
        <v>0.13539999999999999</v>
      </c>
      <c r="CY48">
        <f>AA48</f>
        <v>1</v>
      </c>
      <c r="CZ48">
        <f>AE48</f>
        <v>1</v>
      </c>
      <c r="DA48">
        <f>AI48</f>
        <v>1</v>
      </c>
      <c r="DB48">
        <f t="shared" si="0"/>
        <v>13.54</v>
      </c>
      <c r="DC48">
        <f t="shared" si="1"/>
        <v>0</v>
      </c>
    </row>
  </sheetData>
  <printOptions gridLines="1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AR46"/>
  <sheetViews>
    <sheetView workbookViewId="0"/>
  </sheetViews>
  <sheetFormatPr defaultColWidth="9.140625" defaultRowHeight="12.75"/>
  <cols>
    <col min="1" max="256" width="9.140625" customWidth="1"/>
  </cols>
  <sheetData>
    <row r="1" spans="1:44">
      <c r="A1">
        <f>ROW(Source!A24)</f>
        <v>24</v>
      </c>
      <c r="B1">
        <v>34944244</v>
      </c>
      <c r="C1">
        <v>34944235</v>
      </c>
      <c r="D1">
        <v>29370376</v>
      </c>
      <c r="E1">
        <v>1</v>
      </c>
      <c r="F1">
        <v>1</v>
      </c>
      <c r="G1">
        <v>1</v>
      </c>
      <c r="H1">
        <v>1</v>
      </c>
      <c r="I1" t="s">
        <v>209</v>
      </c>
      <c r="J1" t="s">
        <v>3</v>
      </c>
      <c r="K1" t="s">
        <v>210</v>
      </c>
      <c r="L1">
        <v>1369</v>
      </c>
      <c r="N1">
        <v>1013</v>
      </c>
      <c r="O1" t="s">
        <v>211</v>
      </c>
      <c r="P1" t="s">
        <v>211</v>
      </c>
      <c r="Q1">
        <v>1</v>
      </c>
      <c r="X1">
        <v>1.2</v>
      </c>
      <c r="Y1">
        <v>0</v>
      </c>
      <c r="Z1">
        <v>0</v>
      </c>
      <c r="AA1">
        <v>0</v>
      </c>
      <c r="AB1">
        <v>281.22000000000003</v>
      </c>
      <c r="AC1">
        <v>0</v>
      </c>
      <c r="AD1">
        <v>1</v>
      </c>
      <c r="AE1">
        <v>1</v>
      </c>
      <c r="AF1" t="s">
        <v>3</v>
      </c>
      <c r="AG1">
        <v>1.2</v>
      </c>
      <c r="AH1">
        <v>2</v>
      </c>
      <c r="AI1">
        <v>34944236</v>
      </c>
      <c r="AJ1">
        <v>1</v>
      </c>
      <c r="AK1">
        <v>0</v>
      </c>
      <c r="AL1">
        <v>0</v>
      </c>
      <c r="AM1">
        <v>0</v>
      </c>
      <c r="AN1">
        <v>0</v>
      </c>
      <c r="AO1">
        <v>0</v>
      </c>
      <c r="AP1">
        <v>0</v>
      </c>
      <c r="AQ1">
        <v>0</v>
      </c>
      <c r="AR1">
        <v>0</v>
      </c>
    </row>
    <row r="2" spans="1:44">
      <c r="A2">
        <f>ROW(Source!A24)</f>
        <v>24</v>
      </c>
      <c r="B2">
        <v>34944245</v>
      </c>
      <c r="C2">
        <v>34944235</v>
      </c>
      <c r="D2">
        <v>29174500</v>
      </c>
      <c r="E2">
        <v>1</v>
      </c>
      <c r="F2">
        <v>1</v>
      </c>
      <c r="G2">
        <v>1</v>
      </c>
      <c r="H2">
        <v>2</v>
      </c>
      <c r="I2" t="s">
        <v>212</v>
      </c>
      <c r="J2" t="s">
        <v>213</v>
      </c>
      <c r="K2" t="s">
        <v>214</v>
      </c>
      <c r="L2">
        <v>1368</v>
      </c>
      <c r="N2">
        <v>1011</v>
      </c>
      <c r="O2" t="s">
        <v>215</v>
      </c>
      <c r="P2" t="s">
        <v>215</v>
      </c>
      <c r="Q2">
        <v>1</v>
      </c>
      <c r="X2">
        <v>0.13</v>
      </c>
      <c r="Y2">
        <v>0</v>
      </c>
      <c r="Z2">
        <v>1.95</v>
      </c>
      <c r="AA2">
        <v>0</v>
      </c>
      <c r="AB2">
        <v>0</v>
      </c>
      <c r="AC2">
        <v>0</v>
      </c>
      <c r="AD2">
        <v>1</v>
      </c>
      <c r="AE2">
        <v>0</v>
      </c>
      <c r="AF2" t="s">
        <v>3</v>
      </c>
      <c r="AG2">
        <v>0.13</v>
      </c>
      <c r="AH2">
        <v>2</v>
      </c>
      <c r="AI2">
        <v>34944237</v>
      </c>
      <c r="AJ2">
        <v>2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</row>
    <row r="3" spans="1:44">
      <c r="A3">
        <f>ROW(Source!A24)</f>
        <v>24</v>
      </c>
      <c r="B3">
        <v>34944246</v>
      </c>
      <c r="C3">
        <v>34944235</v>
      </c>
      <c r="D3">
        <v>29107468</v>
      </c>
      <c r="E3">
        <v>1</v>
      </c>
      <c r="F3">
        <v>1</v>
      </c>
      <c r="G3">
        <v>1</v>
      </c>
      <c r="H3">
        <v>3</v>
      </c>
      <c r="I3" t="s">
        <v>216</v>
      </c>
      <c r="J3" t="s">
        <v>217</v>
      </c>
      <c r="K3" t="s">
        <v>218</v>
      </c>
      <c r="L3">
        <v>1346</v>
      </c>
      <c r="N3">
        <v>1009</v>
      </c>
      <c r="O3" t="s">
        <v>219</v>
      </c>
      <c r="P3" t="s">
        <v>219</v>
      </c>
      <c r="Q3">
        <v>1</v>
      </c>
      <c r="X3">
        <v>1E-3</v>
      </c>
      <c r="Y3">
        <v>12.62</v>
      </c>
      <c r="Z3">
        <v>0</v>
      </c>
      <c r="AA3">
        <v>0</v>
      </c>
      <c r="AB3">
        <v>0</v>
      </c>
      <c r="AC3">
        <v>0</v>
      </c>
      <c r="AD3">
        <v>1</v>
      </c>
      <c r="AE3">
        <v>0</v>
      </c>
      <c r="AF3" t="s">
        <v>3</v>
      </c>
      <c r="AG3">
        <v>1E-3</v>
      </c>
      <c r="AH3">
        <v>2</v>
      </c>
      <c r="AI3">
        <v>34944238</v>
      </c>
      <c r="AJ3">
        <v>3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</row>
    <row r="4" spans="1:44">
      <c r="A4">
        <f>ROW(Source!A24)</f>
        <v>24</v>
      </c>
      <c r="B4">
        <v>34944247</v>
      </c>
      <c r="C4">
        <v>34944235</v>
      </c>
      <c r="D4">
        <v>29114480</v>
      </c>
      <c r="E4">
        <v>1</v>
      </c>
      <c r="F4">
        <v>1</v>
      </c>
      <c r="G4">
        <v>1</v>
      </c>
      <c r="H4">
        <v>3</v>
      </c>
      <c r="I4" t="s">
        <v>220</v>
      </c>
      <c r="J4" t="s">
        <v>221</v>
      </c>
      <c r="K4" t="s">
        <v>222</v>
      </c>
      <c r="L4">
        <v>1358</v>
      </c>
      <c r="N4">
        <v>1010</v>
      </c>
      <c r="O4" t="s">
        <v>223</v>
      </c>
      <c r="P4" t="s">
        <v>223</v>
      </c>
      <c r="Q4">
        <v>10</v>
      </c>
      <c r="X4">
        <v>0.3</v>
      </c>
      <c r="Y4">
        <v>8.3000000000000007</v>
      </c>
      <c r="Z4">
        <v>0</v>
      </c>
      <c r="AA4">
        <v>0</v>
      </c>
      <c r="AB4">
        <v>0</v>
      </c>
      <c r="AC4">
        <v>0</v>
      </c>
      <c r="AD4">
        <v>1</v>
      </c>
      <c r="AE4">
        <v>0</v>
      </c>
      <c r="AF4" t="s">
        <v>3</v>
      </c>
      <c r="AG4">
        <v>0.3</v>
      </c>
      <c r="AH4">
        <v>2</v>
      </c>
      <c r="AI4">
        <v>34944239</v>
      </c>
      <c r="AJ4">
        <v>4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</row>
    <row r="5" spans="1:44">
      <c r="A5">
        <f>ROW(Source!A24)</f>
        <v>24</v>
      </c>
      <c r="B5">
        <v>34944248</v>
      </c>
      <c r="C5">
        <v>34944235</v>
      </c>
      <c r="D5">
        <v>29149204</v>
      </c>
      <c r="E5">
        <v>1</v>
      </c>
      <c r="F5">
        <v>1</v>
      </c>
      <c r="G5">
        <v>1</v>
      </c>
      <c r="H5">
        <v>3</v>
      </c>
      <c r="I5" t="s">
        <v>224</v>
      </c>
      <c r="J5" t="s">
        <v>225</v>
      </c>
      <c r="K5" t="s">
        <v>226</v>
      </c>
      <c r="L5">
        <v>1348</v>
      </c>
      <c r="N5">
        <v>1009</v>
      </c>
      <c r="O5" t="s">
        <v>227</v>
      </c>
      <c r="P5" t="s">
        <v>227</v>
      </c>
      <c r="Q5">
        <v>1000</v>
      </c>
      <c r="X5">
        <v>2.0000000000000002E-5</v>
      </c>
      <c r="Y5">
        <v>729.98</v>
      </c>
      <c r="Z5">
        <v>0</v>
      </c>
      <c r="AA5">
        <v>0</v>
      </c>
      <c r="AB5">
        <v>0</v>
      </c>
      <c r="AC5">
        <v>0</v>
      </c>
      <c r="AD5">
        <v>1</v>
      </c>
      <c r="AE5">
        <v>0</v>
      </c>
      <c r="AF5" t="s">
        <v>3</v>
      </c>
      <c r="AG5">
        <v>2.0000000000000002E-5</v>
      </c>
      <c r="AH5">
        <v>2</v>
      </c>
      <c r="AI5">
        <v>34944240</v>
      </c>
      <c r="AJ5">
        <v>5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</row>
    <row r="6" spans="1:44">
      <c r="A6">
        <f>ROW(Source!A24)</f>
        <v>24</v>
      </c>
      <c r="B6">
        <v>34944249</v>
      </c>
      <c r="C6">
        <v>34944235</v>
      </c>
      <c r="D6">
        <v>29158010</v>
      </c>
      <c r="E6">
        <v>1</v>
      </c>
      <c r="F6">
        <v>1</v>
      </c>
      <c r="G6">
        <v>1</v>
      </c>
      <c r="H6">
        <v>3</v>
      </c>
      <c r="I6" t="s">
        <v>228</v>
      </c>
      <c r="J6" t="s">
        <v>229</v>
      </c>
      <c r="K6" t="s">
        <v>230</v>
      </c>
      <c r="L6">
        <v>1346</v>
      </c>
      <c r="N6">
        <v>1009</v>
      </c>
      <c r="O6" t="s">
        <v>219</v>
      </c>
      <c r="P6" t="s">
        <v>219</v>
      </c>
      <c r="Q6">
        <v>1</v>
      </c>
      <c r="X6">
        <v>8.0000000000000002E-3</v>
      </c>
      <c r="Y6">
        <v>65.930000000000007</v>
      </c>
      <c r="Z6">
        <v>0</v>
      </c>
      <c r="AA6">
        <v>0</v>
      </c>
      <c r="AB6">
        <v>0</v>
      </c>
      <c r="AC6">
        <v>0</v>
      </c>
      <c r="AD6">
        <v>1</v>
      </c>
      <c r="AE6">
        <v>0</v>
      </c>
      <c r="AF6" t="s">
        <v>3</v>
      </c>
      <c r="AG6">
        <v>8.0000000000000002E-3</v>
      </c>
      <c r="AH6">
        <v>2</v>
      </c>
      <c r="AI6">
        <v>34944241</v>
      </c>
      <c r="AJ6">
        <v>6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</row>
    <row r="7" spans="1:44">
      <c r="A7">
        <f>ROW(Source!A24)</f>
        <v>24</v>
      </c>
      <c r="B7">
        <v>34944250</v>
      </c>
      <c r="C7">
        <v>34944235</v>
      </c>
      <c r="D7">
        <v>29171808</v>
      </c>
      <c r="E7">
        <v>1</v>
      </c>
      <c r="F7">
        <v>1</v>
      </c>
      <c r="G7">
        <v>1</v>
      </c>
      <c r="H7">
        <v>3</v>
      </c>
      <c r="I7" t="s">
        <v>231</v>
      </c>
      <c r="J7" t="s">
        <v>232</v>
      </c>
      <c r="K7" t="s">
        <v>233</v>
      </c>
      <c r="L7">
        <v>1374</v>
      </c>
      <c r="N7">
        <v>1013</v>
      </c>
      <c r="O7" t="s">
        <v>234</v>
      </c>
      <c r="P7" t="s">
        <v>234</v>
      </c>
      <c r="Q7">
        <v>1</v>
      </c>
      <c r="X7">
        <v>0.25</v>
      </c>
      <c r="Y7">
        <v>1</v>
      </c>
      <c r="Z7">
        <v>0</v>
      </c>
      <c r="AA7">
        <v>0</v>
      </c>
      <c r="AB7">
        <v>0</v>
      </c>
      <c r="AC7">
        <v>0</v>
      </c>
      <c r="AD7">
        <v>1</v>
      </c>
      <c r="AE7">
        <v>0</v>
      </c>
      <c r="AF7" t="s">
        <v>3</v>
      </c>
      <c r="AG7">
        <v>0.25</v>
      </c>
      <c r="AH7">
        <v>2</v>
      </c>
      <c r="AI7">
        <v>34944242</v>
      </c>
      <c r="AJ7">
        <v>7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</row>
    <row r="8" spans="1:44">
      <c r="A8">
        <f>ROW(Source!A26)</f>
        <v>26</v>
      </c>
      <c r="B8">
        <v>34944260</v>
      </c>
      <c r="C8">
        <v>34944252</v>
      </c>
      <c r="D8">
        <v>29362762</v>
      </c>
      <c r="E8">
        <v>1</v>
      </c>
      <c r="F8">
        <v>1</v>
      </c>
      <c r="G8">
        <v>1</v>
      </c>
      <c r="H8">
        <v>1</v>
      </c>
      <c r="I8" t="s">
        <v>235</v>
      </c>
      <c r="J8" t="s">
        <v>3</v>
      </c>
      <c r="K8" t="s">
        <v>236</v>
      </c>
      <c r="L8">
        <v>1369</v>
      </c>
      <c r="N8">
        <v>1013</v>
      </c>
      <c r="O8" t="s">
        <v>211</v>
      </c>
      <c r="P8" t="s">
        <v>211</v>
      </c>
      <c r="Q8">
        <v>1</v>
      </c>
      <c r="X8">
        <v>0.84</v>
      </c>
      <c r="Y8">
        <v>0</v>
      </c>
      <c r="Z8">
        <v>0</v>
      </c>
      <c r="AA8">
        <v>0</v>
      </c>
      <c r="AB8">
        <v>264.97000000000003</v>
      </c>
      <c r="AC8">
        <v>0</v>
      </c>
      <c r="AD8">
        <v>1</v>
      </c>
      <c r="AE8">
        <v>1</v>
      </c>
      <c r="AF8" t="s">
        <v>3</v>
      </c>
      <c r="AG8">
        <v>0.84</v>
      </c>
      <c r="AH8">
        <v>2</v>
      </c>
      <c r="AI8">
        <v>34944253</v>
      </c>
      <c r="AJ8">
        <v>9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</row>
    <row r="9" spans="1:44">
      <c r="A9">
        <f>ROW(Source!A26)</f>
        <v>26</v>
      </c>
      <c r="B9">
        <v>34944261</v>
      </c>
      <c r="C9">
        <v>34944252</v>
      </c>
      <c r="D9">
        <v>29109382</v>
      </c>
      <c r="E9">
        <v>1</v>
      </c>
      <c r="F9">
        <v>1</v>
      </c>
      <c r="G9">
        <v>1</v>
      </c>
      <c r="H9">
        <v>3</v>
      </c>
      <c r="I9" t="s">
        <v>237</v>
      </c>
      <c r="J9" t="s">
        <v>238</v>
      </c>
      <c r="K9" t="s">
        <v>239</v>
      </c>
      <c r="L9">
        <v>1346</v>
      </c>
      <c r="N9">
        <v>1009</v>
      </c>
      <c r="O9" t="s">
        <v>219</v>
      </c>
      <c r="P9" t="s">
        <v>219</v>
      </c>
      <c r="Q9">
        <v>1</v>
      </c>
      <c r="X9">
        <v>0.01</v>
      </c>
      <c r="Y9">
        <v>28.93</v>
      </c>
      <c r="Z9">
        <v>0</v>
      </c>
      <c r="AA9">
        <v>0</v>
      </c>
      <c r="AB9">
        <v>0</v>
      </c>
      <c r="AC9">
        <v>0</v>
      </c>
      <c r="AD9">
        <v>1</v>
      </c>
      <c r="AE9">
        <v>0</v>
      </c>
      <c r="AF9" t="s">
        <v>3</v>
      </c>
      <c r="AG9">
        <v>0.01</v>
      </c>
      <c r="AH9">
        <v>2</v>
      </c>
      <c r="AI9">
        <v>34944254</v>
      </c>
      <c r="AJ9">
        <v>10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</row>
    <row r="10" spans="1:44">
      <c r="A10">
        <f>ROW(Source!A26)</f>
        <v>26</v>
      </c>
      <c r="B10">
        <v>34944262</v>
      </c>
      <c r="C10">
        <v>34944252</v>
      </c>
      <c r="D10">
        <v>29114691</v>
      </c>
      <c r="E10">
        <v>1</v>
      </c>
      <c r="F10">
        <v>1</v>
      </c>
      <c r="G10">
        <v>1</v>
      </c>
      <c r="H10">
        <v>3</v>
      </c>
      <c r="I10" t="s">
        <v>240</v>
      </c>
      <c r="J10" t="s">
        <v>241</v>
      </c>
      <c r="K10" t="s">
        <v>242</v>
      </c>
      <c r="L10">
        <v>1348</v>
      </c>
      <c r="N10">
        <v>1009</v>
      </c>
      <c r="O10" t="s">
        <v>227</v>
      </c>
      <c r="P10" t="s">
        <v>227</v>
      </c>
      <c r="Q10">
        <v>1000</v>
      </c>
      <c r="X10">
        <v>1E-4</v>
      </c>
      <c r="Y10">
        <v>12430</v>
      </c>
      <c r="Z10">
        <v>0</v>
      </c>
      <c r="AA10">
        <v>0</v>
      </c>
      <c r="AB10">
        <v>0</v>
      </c>
      <c r="AC10">
        <v>0</v>
      </c>
      <c r="AD10">
        <v>1</v>
      </c>
      <c r="AE10">
        <v>0</v>
      </c>
      <c r="AF10" t="s">
        <v>3</v>
      </c>
      <c r="AG10">
        <v>1E-4</v>
      </c>
      <c r="AH10">
        <v>2</v>
      </c>
      <c r="AI10">
        <v>34944255</v>
      </c>
      <c r="AJ10">
        <v>11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</row>
    <row r="11" spans="1:44">
      <c r="A11">
        <f>ROW(Source!A26)</f>
        <v>26</v>
      </c>
      <c r="B11">
        <v>34944263</v>
      </c>
      <c r="C11">
        <v>34944252</v>
      </c>
      <c r="D11">
        <v>29107468</v>
      </c>
      <c r="E11">
        <v>1</v>
      </c>
      <c r="F11">
        <v>1</v>
      </c>
      <c r="G11">
        <v>1</v>
      </c>
      <c r="H11">
        <v>3</v>
      </c>
      <c r="I11" t="s">
        <v>216</v>
      </c>
      <c r="J11" t="s">
        <v>217</v>
      </c>
      <c r="K11" t="s">
        <v>218</v>
      </c>
      <c r="L11">
        <v>1346</v>
      </c>
      <c r="N11">
        <v>1009</v>
      </c>
      <c r="O11" t="s">
        <v>219</v>
      </c>
      <c r="P11" t="s">
        <v>219</v>
      </c>
      <c r="Q11">
        <v>1</v>
      </c>
      <c r="X11">
        <v>2.0000000000000001E-4</v>
      </c>
      <c r="Y11">
        <v>12.62</v>
      </c>
      <c r="Z11">
        <v>0</v>
      </c>
      <c r="AA11">
        <v>0</v>
      </c>
      <c r="AB11">
        <v>0</v>
      </c>
      <c r="AC11">
        <v>0</v>
      </c>
      <c r="AD11">
        <v>1</v>
      </c>
      <c r="AE11">
        <v>0</v>
      </c>
      <c r="AF11" t="s">
        <v>3</v>
      </c>
      <c r="AG11">
        <v>2.0000000000000001E-4</v>
      </c>
      <c r="AH11">
        <v>2</v>
      </c>
      <c r="AI11">
        <v>34944256</v>
      </c>
      <c r="AJ11">
        <v>12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</row>
    <row r="12" spans="1:44">
      <c r="A12">
        <f>ROW(Source!A26)</f>
        <v>26</v>
      </c>
      <c r="B12">
        <v>34944264</v>
      </c>
      <c r="C12">
        <v>34944252</v>
      </c>
      <c r="D12">
        <v>29158010</v>
      </c>
      <c r="E12">
        <v>1</v>
      </c>
      <c r="F12">
        <v>1</v>
      </c>
      <c r="G12">
        <v>1</v>
      </c>
      <c r="H12">
        <v>3</v>
      </c>
      <c r="I12" t="s">
        <v>228</v>
      </c>
      <c r="J12" t="s">
        <v>229</v>
      </c>
      <c r="K12" t="s">
        <v>230</v>
      </c>
      <c r="L12">
        <v>1346</v>
      </c>
      <c r="N12">
        <v>1009</v>
      </c>
      <c r="O12" t="s">
        <v>219</v>
      </c>
      <c r="P12" t="s">
        <v>219</v>
      </c>
      <c r="Q12">
        <v>1</v>
      </c>
      <c r="X12">
        <v>2E-3</v>
      </c>
      <c r="Y12">
        <v>65.930000000000007</v>
      </c>
      <c r="Z12">
        <v>0</v>
      </c>
      <c r="AA12">
        <v>0</v>
      </c>
      <c r="AB12">
        <v>0</v>
      </c>
      <c r="AC12">
        <v>0</v>
      </c>
      <c r="AD12">
        <v>1</v>
      </c>
      <c r="AE12">
        <v>0</v>
      </c>
      <c r="AF12" t="s">
        <v>3</v>
      </c>
      <c r="AG12">
        <v>2E-3</v>
      </c>
      <c r="AH12">
        <v>2</v>
      </c>
      <c r="AI12">
        <v>34944257</v>
      </c>
      <c r="AJ12">
        <v>13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</row>
    <row r="13" spans="1:44">
      <c r="A13">
        <f>ROW(Source!A26)</f>
        <v>26</v>
      </c>
      <c r="B13">
        <v>34944265</v>
      </c>
      <c r="C13">
        <v>34944252</v>
      </c>
      <c r="D13">
        <v>29159023</v>
      </c>
      <c r="E13">
        <v>1</v>
      </c>
      <c r="F13">
        <v>1</v>
      </c>
      <c r="G13">
        <v>1</v>
      </c>
      <c r="H13">
        <v>3</v>
      </c>
      <c r="I13" t="s">
        <v>243</v>
      </c>
      <c r="J13" t="s">
        <v>244</v>
      </c>
      <c r="K13" t="s">
        <v>245</v>
      </c>
      <c r="L13">
        <v>1346</v>
      </c>
      <c r="N13">
        <v>1009</v>
      </c>
      <c r="O13" t="s">
        <v>219</v>
      </c>
      <c r="P13" t="s">
        <v>219</v>
      </c>
      <c r="Q13">
        <v>1</v>
      </c>
      <c r="X13">
        <v>1.42E-3</v>
      </c>
      <c r="Y13">
        <v>38.450000000000003</v>
      </c>
      <c r="Z13">
        <v>0</v>
      </c>
      <c r="AA13">
        <v>0</v>
      </c>
      <c r="AB13">
        <v>0</v>
      </c>
      <c r="AC13">
        <v>0</v>
      </c>
      <c r="AD13">
        <v>1</v>
      </c>
      <c r="AE13">
        <v>0</v>
      </c>
      <c r="AF13" t="s">
        <v>3</v>
      </c>
      <c r="AG13">
        <v>1.42E-3</v>
      </c>
      <c r="AH13">
        <v>2</v>
      </c>
      <c r="AI13">
        <v>34944258</v>
      </c>
      <c r="AJ13">
        <v>14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</row>
    <row r="14" spans="1:44">
      <c r="A14">
        <f>ROW(Source!A26)</f>
        <v>26</v>
      </c>
      <c r="B14">
        <v>34944266</v>
      </c>
      <c r="C14">
        <v>34944252</v>
      </c>
      <c r="D14">
        <v>29171808</v>
      </c>
      <c r="E14">
        <v>1</v>
      </c>
      <c r="F14">
        <v>1</v>
      </c>
      <c r="G14">
        <v>1</v>
      </c>
      <c r="H14">
        <v>3</v>
      </c>
      <c r="I14" t="s">
        <v>231</v>
      </c>
      <c r="J14" t="s">
        <v>232</v>
      </c>
      <c r="K14" t="s">
        <v>233</v>
      </c>
      <c r="L14">
        <v>1374</v>
      </c>
      <c r="N14">
        <v>1013</v>
      </c>
      <c r="O14" t="s">
        <v>234</v>
      </c>
      <c r="P14" t="s">
        <v>234</v>
      </c>
      <c r="Q14">
        <v>1</v>
      </c>
      <c r="X14">
        <v>0.16</v>
      </c>
      <c r="Y14">
        <v>1</v>
      </c>
      <c r="Z14">
        <v>0</v>
      </c>
      <c r="AA14">
        <v>0</v>
      </c>
      <c r="AB14">
        <v>0</v>
      </c>
      <c r="AC14">
        <v>0</v>
      </c>
      <c r="AD14">
        <v>1</v>
      </c>
      <c r="AE14">
        <v>0</v>
      </c>
      <c r="AF14" t="s">
        <v>3</v>
      </c>
      <c r="AG14">
        <v>0.16</v>
      </c>
      <c r="AH14">
        <v>2</v>
      </c>
      <c r="AI14">
        <v>34944259</v>
      </c>
      <c r="AJ14">
        <v>15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</row>
    <row r="15" spans="1:44">
      <c r="A15">
        <f>ROW(Source!A28)</f>
        <v>28</v>
      </c>
      <c r="B15">
        <v>34944277</v>
      </c>
      <c r="C15">
        <v>34944268</v>
      </c>
      <c r="D15">
        <v>18410280</v>
      </c>
      <c r="E15">
        <v>1</v>
      </c>
      <c r="F15">
        <v>1</v>
      </c>
      <c r="G15">
        <v>1</v>
      </c>
      <c r="H15">
        <v>1</v>
      </c>
      <c r="I15" t="s">
        <v>246</v>
      </c>
      <c r="J15" t="s">
        <v>3</v>
      </c>
      <c r="K15" t="s">
        <v>247</v>
      </c>
      <c r="L15">
        <v>1369</v>
      </c>
      <c r="N15">
        <v>1013</v>
      </c>
      <c r="O15" t="s">
        <v>211</v>
      </c>
      <c r="P15" t="s">
        <v>211</v>
      </c>
      <c r="Q15">
        <v>1</v>
      </c>
      <c r="X15">
        <v>16.29</v>
      </c>
      <c r="Y15">
        <v>0</v>
      </c>
      <c r="Z15">
        <v>0</v>
      </c>
      <c r="AA15">
        <v>0</v>
      </c>
      <c r="AB15">
        <v>261.94</v>
      </c>
      <c r="AC15">
        <v>0</v>
      </c>
      <c r="AD15">
        <v>1</v>
      </c>
      <c r="AE15">
        <v>1</v>
      </c>
      <c r="AF15" t="s">
        <v>3</v>
      </c>
      <c r="AG15">
        <v>16.29</v>
      </c>
      <c r="AH15">
        <v>2</v>
      </c>
      <c r="AI15">
        <v>34944269</v>
      </c>
      <c r="AJ15">
        <v>16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</row>
    <row r="16" spans="1:44">
      <c r="A16">
        <f>ROW(Source!A28)</f>
        <v>28</v>
      </c>
      <c r="B16">
        <v>34944278</v>
      </c>
      <c r="C16">
        <v>34944268</v>
      </c>
      <c r="D16">
        <v>121548</v>
      </c>
      <c r="E16">
        <v>1</v>
      </c>
      <c r="F16">
        <v>1</v>
      </c>
      <c r="G16">
        <v>1</v>
      </c>
      <c r="H16">
        <v>1</v>
      </c>
      <c r="I16" t="s">
        <v>248</v>
      </c>
      <c r="J16" t="s">
        <v>3</v>
      </c>
      <c r="K16" t="s">
        <v>249</v>
      </c>
      <c r="L16">
        <v>608254</v>
      </c>
      <c r="N16">
        <v>1013</v>
      </c>
      <c r="O16" t="s">
        <v>250</v>
      </c>
      <c r="P16" t="s">
        <v>250</v>
      </c>
      <c r="Q16">
        <v>1</v>
      </c>
      <c r="X16">
        <v>0.01</v>
      </c>
      <c r="Y16">
        <v>0</v>
      </c>
      <c r="Z16">
        <v>0</v>
      </c>
      <c r="AA16">
        <v>0</v>
      </c>
      <c r="AB16">
        <v>0</v>
      </c>
      <c r="AC16">
        <v>0</v>
      </c>
      <c r="AD16">
        <v>1</v>
      </c>
      <c r="AE16">
        <v>2</v>
      </c>
      <c r="AF16" t="s">
        <v>3</v>
      </c>
      <c r="AG16">
        <v>0.01</v>
      </c>
      <c r="AH16">
        <v>2</v>
      </c>
      <c r="AI16">
        <v>34944270</v>
      </c>
      <c r="AJ16">
        <v>17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</row>
    <row r="17" spans="1:44">
      <c r="A17">
        <f>ROW(Source!A28)</f>
        <v>28</v>
      </c>
      <c r="B17">
        <v>34944279</v>
      </c>
      <c r="C17">
        <v>34944268</v>
      </c>
      <c r="D17">
        <v>29172556</v>
      </c>
      <c r="E17">
        <v>1</v>
      </c>
      <c r="F17">
        <v>1</v>
      </c>
      <c r="G17">
        <v>1</v>
      </c>
      <c r="H17">
        <v>2</v>
      </c>
      <c r="I17" t="s">
        <v>251</v>
      </c>
      <c r="J17" t="s">
        <v>252</v>
      </c>
      <c r="K17" t="s">
        <v>253</v>
      </c>
      <c r="L17">
        <v>1368</v>
      </c>
      <c r="N17">
        <v>1011</v>
      </c>
      <c r="O17" t="s">
        <v>215</v>
      </c>
      <c r="P17" t="s">
        <v>215</v>
      </c>
      <c r="Q17">
        <v>1</v>
      </c>
      <c r="X17">
        <v>0.01</v>
      </c>
      <c r="Y17">
        <v>0</v>
      </c>
      <c r="Z17">
        <v>31.26</v>
      </c>
      <c r="AA17">
        <v>13.5</v>
      </c>
      <c r="AB17">
        <v>0</v>
      </c>
      <c r="AC17">
        <v>0</v>
      </c>
      <c r="AD17">
        <v>1</v>
      </c>
      <c r="AE17">
        <v>0</v>
      </c>
      <c r="AF17" t="s">
        <v>3</v>
      </c>
      <c r="AG17">
        <v>0.01</v>
      </c>
      <c r="AH17">
        <v>2</v>
      </c>
      <c r="AI17">
        <v>34944271</v>
      </c>
      <c r="AJ17">
        <v>18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</row>
    <row r="18" spans="1:44">
      <c r="A18">
        <f>ROW(Source!A28)</f>
        <v>28</v>
      </c>
      <c r="B18">
        <v>34944280</v>
      </c>
      <c r="C18">
        <v>34944268</v>
      </c>
      <c r="D18">
        <v>29173472</v>
      </c>
      <c r="E18">
        <v>1</v>
      </c>
      <c r="F18">
        <v>1</v>
      </c>
      <c r="G18">
        <v>1</v>
      </c>
      <c r="H18">
        <v>2</v>
      </c>
      <c r="I18" t="s">
        <v>254</v>
      </c>
      <c r="J18" t="s">
        <v>255</v>
      </c>
      <c r="K18" t="s">
        <v>256</v>
      </c>
      <c r="L18">
        <v>1368</v>
      </c>
      <c r="N18">
        <v>1011</v>
      </c>
      <c r="O18" t="s">
        <v>215</v>
      </c>
      <c r="P18" t="s">
        <v>215</v>
      </c>
      <c r="Q18">
        <v>1</v>
      </c>
      <c r="X18">
        <v>6.08</v>
      </c>
      <c r="Y18">
        <v>0</v>
      </c>
      <c r="Z18">
        <v>3</v>
      </c>
      <c r="AA18">
        <v>0</v>
      </c>
      <c r="AB18">
        <v>0</v>
      </c>
      <c r="AC18">
        <v>0</v>
      </c>
      <c r="AD18">
        <v>1</v>
      </c>
      <c r="AE18">
        <v>0</v>
      </c>
      <c r="AF18" t="s">
        <v>3</v>
      </c>
      <c r="AG18">
        <v>6.08</v>
      </c>
      <c r="AH18">
        <v>2</v>
      </c>
      <c r="AI18">
        <v>34944272</v>
      </c>
      <c r="AJ18">
        <v>19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</row>
    <row r="19" spans="1:44">
      <c r="A19">
        <f>ROW(Source!A28)</f>
        <v>28</v>
      </c>
      <c r="B19">
        <v>34944281</v>
      </c>
      <c r="C19">
        <v>34944268</v>
      </c>
      <c r="D19">
        <v>29174580</v>
      </c>
      <c r="E19">
        <v>1</v>
      </c>
      <c r="F19">
        <v>1</v>
      </c>
      <c r="G19">
        <v>1</v>
      </c>
      <c r="H19">
        <v>2</v>
      </c>
      <c r="I19" t="s">
        <v>257</v>
      </c>
      <c r="J19" t="s">
        <v>258</v>
      </c>
      <c r="K19" t="s">
        <v>259</v>
      </c>
      <c r="L19">
        <v>1368</v>
      </c>
      <c r="N19">
        <v>1011</v>
      </c>
      <c r="O19" t="s">
        <v>215</v>
      </c>
      <c r="P19" t="s">
        <v>215</v>
      </c>
      <c r="Q19">
        <v>1</v>
      </c>
      <c r="X19">
        <v>6.08</v>
      </c>
      <c r="Y19">
        <v>0</v>
      </c>
      <c r="Z19">
        <v>2.08</v>
      </c>
      <c r="AA19">
        <v>0</v>
      </c>
      <c r="AB19">
        <v>0</v>
      </c>
      <c r="AC19">
        <v>0</v>
      </c>
      <c r="AD19">
        <v>1</v>
      </c>
      <c r="AE19">
        <v>0</v>
      </c>
      <c r="AF19" t="s">
        <v>3</v>
      </c>
      <c r="AG19">
        <v>6.08</v>
      </c>
      <c r="AH19">
        <v>2</v>
      </c>
      <c r="AI19">
        <v>34944273</v>
      </c>
      <c r="AJ19">
        <v>20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</row>
    <row r="20" spans="1:44">
      <c r="A20">
        <f>ROW(Source!A28)</f>
        <v>28</v>
      </c>
      <c r="B20">
        <v>34944282</v>
      </c>
      <c r="C20">
        <v>34944268</v>
      </c>
      <c r="D20">
        <v>29114688</v>
      </c>
      <c r="E20">
        <v>1</v>
      </c>
      <c r="F20">
        <v>1</v>
      </c>
      <c r="G20">
        <v>1</v>
      </c>
      <c r="H20">
        <v>3</v>
      </c>
      <c r="I20" t="s">
        <v>260</v>
      </c>
      <c r="J20" t="s">
        <v>261</v>
      </c>
      <c r="K20" t="s">
        <v>262</v>
      </c>
      <c r="L20">
        <v>1348</v>
      </c>
      <c r="N20">
        <v>1009</v>
      </c>
      <c r="O20" t="s">
        <v>227</v>
      </c>
      <c r="P20" t="s">
        <v>227</v>
      </c>
      <c r="Q20">
        <v>1000</v>
      </c>
      <c r="X20">
        <v>1E-3</v>
      </c>
      <c r="Y20">
        <v>12430</v>
      </c>
      <c r="Z20">
        <v>0</v>
      </c>
      <c r="AA20">
        <v>0</v>
      </c>
      <c r="AB20">
        <v>0</v>
      </c>
      <c r="AC20">
        <v>0</v>
      </c>
      <c r="AD20">
        <v>1</v>
      </c>
      <c r="AE20">
        <v>0</v>
      </c>
      <c r="AF20" t="s">
        <v>3</v>
      </c>
      <c r="AG20">
        <v>1E-3</v>
      </c>
      <c r="AH20">
        <v>2</v>
      </c>
      <c r="AI20">
        <v>34944274</v>
      </c>
      <c r="AJ20">
        <v>21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</row>
    <row r="21" spans="1:44">
      <c r="A21">
        <f>ROW(Source!A28)</f>
        <v>28</v>
      </c>
      <c r="B21">
        <v>34944283</v>
      </c>
      <c r="C21">
        <v>34944268</v>
      </c>
      <c r="D21">
        <v>29114472</v>
      </c>
      <c r="E21">
        <v>1</v>
      </c>
      <c r="F21">
        <v>1</v>
      </c>
      <c r="G21">
        <v>1</v>
      </c>
      <c r="H21">
        <v>3</v>
      </c>
      <c r="I21" t="s">
        <v>263</v>
      </c>
      <c r="J21" t="s">
        <v>264</v>
      </c>
      <c r="K21" t="s">
        <v>265</v>
      </c>
      <c r="L21">
        <v>1358</v>
      </c>
      <c r="N21">
        <v>1010</v>
      </c>
      <c r="O21" t="s">
        <v>223</v>
      </c>
      <c r="P21" t="s">
        <v>223</v>
      </c>
      <c r="Q21">
        <v>10</v>
      </c>
      <c r="X21">
        <v>20</v>
      </c>
      <c r="Y21">
        <v>1.79</v>
      </c>
      <c r="Z21">
        <v>0</v>
      </c>
      <c r="AA21">
        <v>0</v>
      </c>
      <c r="AB21">
        <v>0</v>
      </c>
      <c r="AC21">
        <v>0</v>
      </c>
      <c r="AD21">
        <v>1</v>
      </c>
      <c r="AE21">
        <v>0</v>
      </c>
      <c r="AF21" t="s">
        <v>3</v>
      </c>
      <c r="AG21">
        <v>20</v>
      </c>
      <c r="AH21">
        <v>2</v>
      </c>
      <c r="AI21">
        <v>34944275</v>
      </c>
      <c r="AJ21">
        <v>22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</row>
    <row r="22" spans="1:44">
      <c r="A22">
        <f>ROW(Source!A28)</f>
        <v>28</v>
      </c>
      <c r="B22">
        <v>34944284</v>
      </c>
      <c r="C22">
        <v>34944268</v>
      </c>
      <c r="D22">
        <v>29171808</v>
      </c>
      <c r="E22">
        <v>1</v>
      </c>
      <c r="F22">
        <v>1</v>
      </c>
      <c r="G22">
        <v>1</v>
      </c>
      <c r="H22">
        <v>3</v>
      </c>
      <c r="I22" t="s">
        <v>231</v>
      </c>
      <c r="J22" t="s">
        <v>232</v>
      </c>
      <c r="K22" t="s">
        <v>233</v>
      </c>
      <c r="L22">
        <v>1374</v>
      </c>
      <c r="N22">
        <v>1013</v>
      </c>
      <c r="O22" t="s">
        <v>234</v>
      </c>
      <c r="P22" t="s">
        <v>234</v>
      </c>
      <c r="Q22">
        <v>1</v>
      </c>
      <c r="X22">
        <v>3.1</v>
      </c>
      <c r="Y22">
        <v>1</v>
      </c>
      <c r="Z22">
        <v>0</v>
      </c>
      <c r="AA22">
        <v>0</v>
      </c>
      <c r="AB22">
        <v>0</v>
      </c>
      <c r="AC22">
        <v>0</v>
      </c>
      <c r="AD22">
        <v>1</v>
      </c>
      <c r="AE22">
        <v>0</v>
      </c>
      <c r="AF22" t="s">
        <v>3</v>
      </c>
      <c r="AG22">
        <v>3.1</v>
      </c>
      <c r="AH22">
        <v>2</v>
      </c>
      <c r="AI22">
        <v>34944276</v>
      </c>
      <c r="AJ22">
        <v>23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</row>
    <row r="23" spans="1:44">
      <c r="A23">
        <f>ROW(Source!A29)</f>
        <v>29</v>
      </c>
      <c r="B23">
        <v>34944294</v>
      </c>
      <c r="C23">
        <v>34944285</v>
      </c>
      <c r="D23">
        <v>29361034</v>
      </c>
      <c r="E23">
        <v>1</v>
      </c>
      <c r="F23">
        <v>1</v>
      </c>
      <c r="G23">
        <v>1</v>
      </c>
      <c r="H23">
        <v>1</v>
      </c>
      <c r="I23" t="s">
        <v>266</v>
      </c>
      <c r="J23" t="s">
        <v>3</v>
      </c>
      <c r="K23" t="s">
        <v>267</v>
      </c>
      <c r="L23">
        <v>1369</v>
      </c>
      <c r="N23">
        <v>1013</v>
      </c>
      <c r="O23" t="s">
        <v>211</v>
      </c>
      <c r="P23" t="s">
        <v>211</v>
      </c>
      <c r="Q23">
        <v>1</v>
      </c>
      <c r="X23">
        <v>1.03</v>
      </c>
      <c r="Y23">
        <v>0</v>
      </c>
      <c r="Z23">
        <v>0</v>
      </c>
      <c r="AA23">
        <v>0</v>
      </c>
      <c r="AB23">
        <v>258.91000000000003</v>
      </c>
      <c r="AC23">
        <v>0</v>
      </c>
      <c r="AD23">
        <v>1</v>
      </c>
      <c r="AE23">
        <v>1</v>
      </c>
      <c r="AF23" t="s">
        <v>3</v>
      </c>
      <c r="AG23">
        <v>1.03</v>
      </c>
      <c r="AH23">
        <v>2</v>
      </c>
      <c r="AI23">
        <v>34944286</v>
      </c>
      <c r="AJ23">
        <v>24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</row>
    <row r="24" spans="1:44">
      <c r="A24">
        <f>ROW(Source!A29)</f>
        <v>29</v>
      </c>
      <c r="B24">
        <v>34944295</v>
      </c>
      <c r="C24">
        <v>34944285</v>
      </c>
      <c r="D24">
        <v>121548</v>
      </c>
      <c r="E24">
        <v>1</v>
      </c>
      <c r="F24">
        <v>1</v>
      </c>
      <c r="G24">
        <v>1</v>
      </c>
      <c r="H24">
        <v>1</v>
      </c>
      <c r="I24" t="s">
        <v>248</v>
      </c>
      <c r="J24" t="s">
        <v>3</v>
      </c>
      <c r="K24" t="s">
        <v>249</v>
      </c>
      <c r="L24">
        <v>608254</v>
      </c>
      <c r="N24">
        <v>1013</v>
      </c>
      <c r="O24" t="s">
        <v>250</v>
      </c>
      <c r="P24" t="s">
        <v>250</v>
      </c>
      <c r="Q24">
        <v>1</v>
      </c>
      <c r="X24">
        <v>0.01</v>
      </c>
      <c r="Y24">
        <v>0</v>
      </c>
      <c r="Z24">
        <v>0</v>
      </c>
      <c r="AA24">
        <v>0</v>
      </c>
      <c r="AB24">
        <v>0</v>
      </c>
      <c r="AC24">
        <v>0</v>
      </c>
      <c r="AD24">
        <v>1</v>
      </c>
      <c r="AE24">
        <v>2</v>
      </c>
      <c r="AF24" t="s">
        <v>3</v>
      </c>
      <c r="AG24">
        <v>0.01</v>
      </c>
      <c r="AH24">
        <v>2</v>
      </c>
      <c r="AI24">
        <v>34944287</v>
      </c>
      <c r="AJ24">
        <v>25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</row>
    <row r="25" spans="1:44">
      <c r="A25">
        <f>ROW(Source!A29)</f>
        <v>29</v>
      </c>
      <c r="B25">
        <v>34944296</v>
      </c>
      <c r="C25">
        <v>34944285</v>
      </c>
      <c r="D25">
        <v>29172362</v>
      </c>
      <c r="E25">
        <v>1</v>
      </c>
      <c r="F25">
        <v>1</v>
      </c>
      <c r="G25">
        <v>1</v>
      </c>
      <c r="H25">
        <v>2</v>
      </c>
      <c r="I25" t="s">
        <v>268</v>
      </c>
      <c r="J25" t="s">
        <v>269</v>
      </c>
      <c r="K25" t="s">
        <v>270</v>
      </c>
      <c r="L25">
        <v>1368</v>
      </c>
      <c r="N25">
        <v>1011</v>
      </c>
      <c r="O25" t="s">
        <v>215</v>
      </c>
      <c r="P25" t="s">
        <v>215</v>
      </c>
      <c r="Q25">
        <v>1</v>
      </c>
      <c r="X25">
        <v>0.01</v>
      </c>
      <c r="Y25">
        <v>0</v>
      </c>
      <c r="Z25">
        <v>134.65</v>
      </c>
      <c r="AA25">
        <v>13.5</v>
      </c>
      <c r="AB25">
        <v>0</v>
      </c>
      <c r="AC25">
        <v>0</v>
      </c>
      <c r="AD25">
        <v>1</v>
      </c>
      <c r="AE25">
        <v>0</v>
      </c>
      <c r="AF25" t="s">
        <v>3</v>
      </c>
      <c r="AG25">
        <v>0.01</v>
      </c>
      <c r="AH25">
        <v>2</v>
      </c>
      <c r="AI25">
        <v>34944288</v>
      </c>
      <c r="AJ25">
        <v>26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</row>
    <row r="26" spans="1:44">
      <c r="A26">
        <f>ROW(Source!A29)</f>
        <v>29</v>
      </c>
      <c r="B26">
        <v>34944297</v>
      </c>
      <c r="C26">
        <v>34944285</v>
      </c>
      <c r="D26">
        <v>29174913</v>
      </c>
      <c r="E26">
        <v>1</v>
      </c>
      <c r="F26">
        <v>1</v>
      </c>
      <c r="G26">
        <v>1</v>
      </c>
      <c r="H26">
        <v>2</v>
      </c>
      <c r="I26" t="s">
        <v>271</v>
      </c>
      <c r="J26" t="s">
        <v>272</v>
      </c>
      <c r="K26" t="s">
        <v>273</v>
      </c>
      <c r="L26">
        <v>1368</v>
      </c>
      <c r="N26">
        <v>1011</v>
      </c>
      <c r="O26" t="s">
        <v>215</v>
      </c>
      <c r="P26" t="s">
        <v>215</v>
      </c>
      <c r="Q26">
        <v>1</v>
      </c>
      <c r="X26">
        <v>0.01</v>
      </c>
      <c r="Y26">
        <v>0</v>
      </c>
      <c r="Z26">
        <v>87.17</v>
      </c>
      <c r="AA26">
        <v>11.6</v>
      </c>
      <c r="AB26">
        <v>0</v>
      </c>
      <c r="AC26">
        <v>0</v>
      </c>
      <c r="AD26">
        <v>1</v>
      </c>
      <c r="AE26">
        <v>0</v>
      </c>
      <c r="AF26" t="s">
        <v>3</v>
      </c>
      <c r="AG26">
        <v>0.01</v>
      </c>
      <c r="AH26">
        <v>2</v>
      </c>
      <c r="AI26">
        <v>34944289</v>
      </c>
      <c r="AJ26">
        <v>27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</row>
    <row r="27" spans="1:44">
      <c r="A27">
        <f>ROW(Source!A29)</f>
        <v>29</v>
      </c>
      <c r="B27">
        <v>34944298</v>
      </c>
      <c r="C27">
        <v>34944285</v>
      </c>
      <c r="D27">
        <v>29110426</v>
      </c>
      <c r="E27">
        <v>1</v>
      </c>
      <c r="F27">
        <v>1</v>
      </c>
      <c r="G27">
        <v>1</v>
      </c>
      <c r="H27">
        <v>3</v>
      </c>
      <c r="I27" t="s">
        <v>274</v>
      </c>
      <c r="J27" t="s">
        <v>275</v>
      </c>
      <c r="K27" t="s">
        <v>276</v>
      </c>
      <c r="L27">
        <v>1346</v>
      </c>
      <c r="N27">
        <v>1009</v>
      </c>
      <c r="O27" t="s">
        <v>219</v>
      </c>
      <c r="P27" t="s">
        <v>219</v>
      </c>
      <c r="Q27">
        <v>1</v>
      </c>
      <c r="X27">
        <v>0.05</v>
      </c>
      <c r="Y27">
        <v>28.67</v>
      </c>
      <c r="Z27">
        <v>0</v>
      </c>
      <c r="AA27">
        <v>0</v>
      </c>
      <c r="AB27">
        <v>0</v>
      </c>
      <c r="AC27">
        <v>0</v>
      </c>
      <c r="AD27">
        <v>1</v>
      </c>
      <c r="AE27">
        <v>0</v>
      </c>
      <c r="AF27" t="s">
        <v>3</v>
      </c>
      <c r="AG27">
        <v>0.05</v>
      </c>
      <c r="AH27">
        <v>2</v>
      </c>
      <c r="AI27">
        <v>34944290</v>
      </c>
      <c r="AJ27">
        <v>28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</row>
    <row r="28" spans="1:44">
      <c r="A28">
        <f>ROW(Source!A29)</f>
        <v>29</v>
      </c>
      <c r="B28">
        <v>34944299</v>
      </c>
      <c r="C28">
        <v>34944285</v>
      </c>
      <c r="D28">
        <v>29110793</v>
      </c>
      <c r="E28">
        <v>1</v>
      </c>
      <c r="F28">
        <v>1</v>
      </c>
      <c r="G28">
        <v>1</v>
      </c>
      <c r="H28">
        <v>3</v>
      </c>
      <c r="I28" t="s">
        <v>277</v>
      </c>
      <c r="J28" t="s">
        <v>278</v>
      </c>
      <c r="K28" t="s">
        <v>279</v>
      </c>
      <c r="L28">
        <v>1308</v>
      </c>
      <c r="N28">
        <v>1003</v>
      </c>
      <c r="O28" t="s">
        <v>40</v>
      </c>
      <c r="P28" t="s">
        <v>40</v>
      </c>
      <c r="Q28">
        <v>100</v>
      </c>
      <c r="X28">
        <v>0.05</v>
      </c>
      <c r="Y28">
        <v>120.36</v>
      </c>
      <c r="Z28">
        <v>0</v>
      </c>
      <c r="AA28">
        <v>0</v>
      </c>
      <c r="AB28">
        <v>0</v>
      </c>
      <c r="AC28">
        <v>0</v>
      </c>
      <c r="AD28">
        <v>1</v>
      </c>
      <c r="AE28">
        <v>0</v>
      </c>
      <c r="AF28" t="s">
        <v>3</v>
      </c>
      <c r="AG28">
        <v>0.05</v>
      </c>
      <c r="AH28">
        <v>2</v>
      </c>
      <c r="AI28">
        <v>34944291</v>
      </c>
      <c r="AJ28">
        <v>29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</row>
    <row r="29" spans="1:44">
      <c r="A29">
        <f>ROW(Source!A29)</f>
        <v>29</v>
      </c>
      <c r="B29">
        <v>34944300</v>
      </c>
      <c r="C29">
        <v>34944285</v>
      </c>
      <c r="D29">
        <v>29110838</v>
      </c>
      <c r="E29">
        <v>1</v>
      </c>
      <c r="F29">
        <v>1</v>
      </c>
      <c r="G29">
        <v>1</v>
      </c>
      <c r="H29">
        <v>3</v>
      </c>
      <c r="I29" t="s">
        <v>280</v>
      </c>
      <c r="J29" t="s">
        <v>281</v>
      </c>
      <c r="K29" t="s">
        <v>282</v>
      </c>
      <c r="L29">
        <v>1346</v>
      </c>
      <c r="N29">
        <v>1009</v>
      </c>
      <c r="O29" t="s">
        <v>219</v>
      </c>
      <c r="P29" t="s">
        <v>219</v>
      </c>
      <c r="Q29">
        <v>1</v>
      </c>
      <c r="X29">
        <v>0.16</v>
      </c>
      <c r="Y29">
        <v>30.5</v>
      </c>
      <c r="Z29">
        <v>0</v>
      </c>
      <c r="AA29">
        <v>0</v>
      </c>
      <c r="AB29">
        <v>0</v>
      </c>
      <c r="AC29">
        <v>0</v>
      </c>
      <c r="AD29">
        <v>1</v>
      </c>
      <c r="AE29">
        <v>0</v>
      </c>
      <c r="AF29" t="s">
        <v>3</v>
      </c>
      <c r="AG29">
        <v>0.16</v>
      </c>
      <c r="AH29">
        <v>2</v>
      </c>
      <c r="AI29">
        <v>34944292</v>
      </c>
      <c r="AJ29">
        <v>30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</row>
    <row r="30" spans="1:44">
      <c r="A30">
        <f>ROW(Source!A29)</f>
        <v>29</v>
      </c>
      <c r="B30">
        <v>34944301</v>
      </c>
      <c r="C30">
        <v>34944285</v>
      </c>
      <c r="D30">
        <v>29171808</v>
      </c>
      <c r="E30">
        <v>1</v>
      </c>
      <c r="F30">
        <v>1</v>
      </c>
      <c r="G30">
        <v>1</v>
      </c>
      <c r="H30">
        <v>3</v>
      </c>
      <c r="I30" t="s">
        <v>231</v>
      </c>
      <c r="J30" t="s">
        <v>232</v>
      </c>
      <c r="K30" t="s">
        <v>233</v>
      </c>
      <c r="L30">
        <v>1374</v>
      </c>
      <c r="N30">
        <v>1013</v>
      </c>
      <c r="O30" t="s">
        <v>234</v>
      </c>
      <c r="P30" t="s">
        <v>234</v>
      </c>
      <c r="Q30">
        <v>1</v>
      </c>
      <c r="X30">
        <v>0.19</v>
      </c>
      <c r="Y30">
        <v>1</v>
      </c>
      <c r="Z30">
        <v>0</v>
      </c>
      <c r="AA30">
        <v>0</v>
      </c>
      <c r="AB30">
        <v>0</v>
      </c>
      <c r="AC30">
        <v>0</v>
      </c>
      <c r="AD30">
        <v>1</v>
      </c>
      <c r="AE30">
        <v>0</v>
      </c>
      <c r="AF30" t="s">
        <v>3</v>
      </c>
      <c r="AG30">
        <v>0.19</v>
      </c>
      <c r="AH30">
        <v>2</v>
      </c>
      <c r="AI30">
        <v>34944293</v>
      </c>
      <c r="AJ30">
        <v>31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</row>
    <row r="31" spans="1:44">
      <c r="A31">
        <f>ROW(Source!A30)</f>
        <v>30</v>
      </c>
      <c r="B31">
        <v>34944312</v>
      </c>
      <c r="C31">
        <v>34944302</v>
      </c>
      <c r="D31">
        <v>29362762</v>
      </c>
      <c r="E31">
        <v>1</v>
      </c>
      <c r="F31">
        <v>1</v>
      </c>
      <c r="G31">
        <v>1</v>
      </c>
      <c r="H31">
        <v>1</v>
      </c>
      <c r="I31" t="s">
        <v>235</v>
      </c>
      <c r="J31" t="s">
        <v>3</v>
      </c>
      <c r="K31" t="s">
        <v>236</v>
      </c>
      <c r="L31">
        <v>1369</v>
      </c>
      <c r="N31">
        <v>1013</v>
      </c>
      <c r="O31" t="s">
        <v>211</v>
      </c>
      <c r="P31" t="s">
        <v>211</v>
      </c>
      <c r="Q31">
        <v>1</v>
      </c>
      <c r="X31">
        <v>0.84</v>
      </c>
      <c r="Y31">
        <v>0</v>
      </c>
      <c r="Z31">
        <v>0</v>
      </c>
      <c r="AA31">
        <v>0</v>
      </c>
      <c r="AB31">
        <v>264.97000000000003</v>
      </c>
      <c r="AC31">
        <v>0</v>
      </c>
      <c r="AD31">
        <v>1</v>
      </c>
      <c r="AE31">
        <v>1</v>
      </c>
      <c r="AF31" t="s">
        <v>3</v>
      </c>
      <c r="AG31">
        <v>0.84</v>
      </c>
      <c r="AH31">
        <v>2</v>
      </c>
      <c r="AI31">
        <v>34944303</v>
      </c>
      <c r="AJ31">
        <v>32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</row>
    <row r="32" spans="1:44">
      <c r="A32">
        <f>ROW(Source!A30)</f>
        <v>30</v>
      </c>
      <c r="B32">
        <v>34944313</v>
      </c>
      <c r="C32">
        <v>34944302</v>
      </c>
      <c r="D32">
        <v>29174500</v>
      </c>
      <c r="E32">
        <v>1</v>
      </c>
      <c r="F32">
        <v>1</v>
      </c>
      <c r="G32">
        <v>1</v>
      </c>
      <c r="H32">
        <v>2</v>
      </c>
      <c r="I32" t="s">
        <v>212</v>
      </c>
      <c r="J32" t="s">
        <v>213</v>
      </c>
      <c r="K32" t="s">
        <v>214</v>
      </c>
      <c r="L32">
        <v>1368</v>
      </c>
      <c r="N32">
        <v>1011</v>
      </c>
      <c r="O32" t="s">
        <v>215</v>
      </c>
      <c r="P32" t="s">
        <v>215</v>
      </c>
      <c r="Q32">
        <v>1</v>
      </c>
      <c r="X32">
        <v>0.06</v>
      </c>
      <c r="Y32">
        <v>0</v>
      </c>
      <c r="Z32">
        <v>1.95</v>
      </c>
      <c r="AA32">
        <v>0</v>
      </c>
      <c r="AB32">
        <v>0</v>
      </c>
      <c r="AC32">
        <v>0</v>
      </c>
      <c r="AD32">
        <v>1</v>
      </c>
      <c r="AE32">
        <v>0</v>
      </c>
      <c r="AF32" t="s">
        <v>3</v>
      </c>
      <c r="AG32">
        <v>0.06</v>
      </c>
      <c r="AH32">
        <v>2</v>
      </c>
      <c r="AI32">
        <v>34944304</v>
      </c>
      <c r="AJ32">
        <v>33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</row>
    <row r="33" spans="1:44">
      <c r="A33">
        <f>ROW(Source!A30)</f>
        <v>30</v>
      </c>
      <c r="B33">
        <v>34944314</v>
      </c>
      <c r="C33">
        <v>34944302</v>
      </c>
      <c r="D33">
        <v>29109382</v>
      </c>
      <c r="E33">
        <v>1</v>
      </c>
      <c r="F33">
        <v>1</v>
      </c>
      <c r="G33">
        <v>1</v>
      </c>
      <c r="H33">
        <v>3</v>
      </c>
      <c r="I33" t="s">
        <v>237</v>
      </c>
      <c r="J33" t="s">
        <v>238</v>
      </c>
      <c r="K33" t="s">
        <v>239</v>
      </c>
      <c r="L33">
        <v>1346</v>
      </c>
      <c r="N33">
        <v>1009</v>
      </c>
      <c r="O33" t="s">
        <v>219</v>
      </c>
      <c r="P33" t="s">
        <v>219</v>
      </c>
      <c r="Q33">
        <v>1</v>
      </c>
      <c r="X33">
        <v>5.0000000000000001E-3</v>
      </c>
      <c r="Y33">
        <v>28.93</v>
      </c>
      <c r="Z33">
        <v>0</v>
      </c>
      <c r="AA33">
        <v>0</v>
      </c>
      <c r="AB33">
        <v>0</v>
      </c>
      <c r="AC33">
        <v>0</v>
      </c>
      <c r="AD33">
        <v>1</v>
      </c>
      <c r="AE33">
        <v>0</v>
      </c>
      <c r="AF33" t="s">
        <v>3</v>
      </c>
      <c r="AG33">
        <v>5.0000000000000001E-3</v>
      </c>
      <c r="AH33">
        <v>2</v>
      </c>
      <c r="AI33">
        <v>34944305</v>
      </c>
      <c r="AJ33">
        <v>34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</row>
    <row r="34" spans="1:44">
      <c r="A34">
        <f>ROW(Source!A30)</f>
        <v>30</v>
      </c>
      <c r="B34">
        <v>34944315</v>
      </c>
      <c r="C34">
        <v>34944302</v>
      </c>
      <c r="D34">
        <v>29107468</v>
      </c>
      <c r="E34">
        <v>1</v>
      </c>
      <c r="F34">
        <v>1</v>
      </c>
      <c r="G34">
        <v>1</v>
      </c>
      <c r="H34">
        <v>3</v>
      </c>
      <c r="I34" t="s">
        <v>216</v>
      </c>
      <c r="J34" t="s">
        <v>217</v>
      </c>
      <c r="K34" t="s">
        <v>218</v>
      </c>
      <c r="L34">
        <v>1346</v>
      </c>
      <c r="N34">
        <v>1009</v>
      </c>
      <c r="O34" t="s">
        <v>219</v>
      </c>
      <c r="P34" t="s">
        <v>219</v>
      </c>
      <c r="Q34">
        <v>1</v>
      </c>
      <c r="X34">
        <v>2.0000000000000001E-4</v>
      </c>
      <c r="Y34">
        <v>12.62</v>
      </c>
      <c r="Z34">
        <v>0</v>
      </c>
      <c r="AA34">
        <v>0</v>
      </c>
      <c r="AB34">
        <v>0</v>
      </c>
      <c r="AC34">
        <v>0</v>
      </c>
      <c r="AD34">
        <v>1</v>
      </c>
      <c r="AE34">
        <v>0</v>
      </c>
      <c r="AF34" t="s">
        <v>3</v>
      </c>
      <c r="AG34">
        <v>2.0000000000000001E-4</v>
      </c>
      <c r="AH34">
        <v>2</v>
      </c>
      <c r="AI34">
        <v>34944306</v>
      </c>
      <c r="AJ34">
        <v>35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</row>
    <row r="35" spans="1:44">
      <c r="A35">
        <f>ROW(Source!A30)</f>
        <v>30</v>
      </c>
      <c r="B35">
        <v>34944316</v>
      </c>
      <c r="C35">
        <v>34944302</v>
      </c>
      <c r="D35">
        <v>29114480</v>
      </c>
      <c r="E35">
        <v>1</v>
      </c>
      <c r="F35">
        <v>1</v>
      </c>
      <c r="G35">
        <v>1</v>
      </c>
      <c r="H35">
        <v>3</v>
      </c>
      <c r="I35" t="s">
        <v>220</v>
      </c>
      <c r="J35" t="s">
        <v>221</v>
      </c>
      <c r="K35" t="s">
        <v>222</v>
      </c>
      <c r="L35">
        <v>1358</v>
      </c>
      <c r="N35">
        <v>1010</v>
      </c>
      <c r="O35" t="s">
        <v>223</v>
      </c>
      <c r="P35" t="s">
        <v>223</v>
      </c>
      <c r="Q35">
        <v>10</v>
      </c>
      <c r="X35">
        <v>0.1</v>
      </c>
      <c r="Y35">
        <v>8.3000000000000007</v>
      </c>
      <c r="Z35">
        <v>0</v>
      </c>
      <c r="AA35">
        <v>0</v>
      </c>
      <c r="AB35">
        <v>0</v>
      </c>
      <c r="AC35">
        <v>0</v>
      </c>
      <c r="AD35">
        <v>1</v>
      </c>
      <c r="AE35">
        <v>0</v>
      </c>
      <c r="AF35" t="s">
        <v>3</v>
      </c>
      <c r="AG35">
        <v>0.1</v>
      </c>
      <c r="AH35">
        <v>2</v>
      </c>
      <c r="AI35">
        <v>34944307</v>
      </c>
      <c r="AJ35">
        <v>36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</row>
    <row r="36" spans="1:44">
      <c r="A36">
        <f>ROW(Source!A30)</f>
        <v>30</v>
      </c>
      <c r="B36">
        <v>34944317</v>
      </c>
      <c r="C36">
        <v>34944302</v>
      </c>
      <c r="D36">
        <v>29149204</v>
      </c>
      <c r="E36">
        <v>1</v>
      </c>
      <c r="F36">
        <v>1</v>
      </c>
      <c r="G36">
        <v>1</v>
      </c>
      <c r="H36">
        <v>3</v>
      </c>
      <c r="I36" t="s">
        <v>224</v>
      </c>
      <c r="J36" t="s">
        <v>225</v>
      </c>
      <c r="K36" t="s">
        <v>226</v>
      </c>
      <c r="L36">
        <v>1348</v>
      </c>
      <c r="N36">
        <v>1009</v>
      </c>
      <c r="O36" t="s">
        <v>227</v>
      </c>
      <c r="P36" t="s">
        <v>227</v>
      </c>
      <c r="Q36">
        <v>1000</v>
      </c>
      <c r="X36">
        <v>1.0000000000000001E-5</v>
      </c>
      <c r="Y36">
        <v>729.98</v>
      </c>
      <c r="Z36">
        <v>0</v>
      </c>
      <c r="AA36">
        <v>0</v>
      </c>
      <c r="AB36">
        <v>0</v>
      </c>
      <c r="AC36">
        <v>0</v>
      </c>
      <c r="AD36">
        <v>1</v>
      </c>
      <c r="AE36">
        <v>0</v>
      </c>
      <c r="AF36" t="s">
        <v>3</v>
      </c>
      <c r="AG36">
        <v>1.0000000000000001E-5</v>
      </c>
      <c r="AH36">
        <v>2</v>
      </c>
      <c r="AI36">
        <v>34944308</v>
      </c>
      <c r="AJ36">
        <v>37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</row>
    <row r="37" spans="1:44">
      <c r="A37">
        <f>ROW(Source!A30)</f>
        <v>30</v>
      </c>
      <c r="B37">
        <v>34944318</v>
      </c>
      <c r="C37">
        <v>34944302</v>
      </c>
      <c r="D37">
        <v>29158010</v>
      </c>
      <c r="E37">
        <v>1</v>
      </c>
      <c r="F37">
        <v>1</v>
      </c>
      <c r="G37">
        <v>1</v>
      </c>
      <c r="H37">
        <v>3</v>
      </c>
      <c r="I37" t="s">
        <v>228</v>
      </c>
      <c r="J37" t="s">
        <v>229</v>
      </c>
      <c r="K37" t="s">
        <v>230</v>
      </c>
      <c r="L37">
        <v>1346</v>
      </c>
      <c r="N37">
        <v>1009</v>
      </c>
      <c r="O37" t="s">
        <v>219</v>
      </c>
      <c r="P37" t="s">
        <v>219</v>
      </c>
      <c r="Q37">
        <v>1</v>
      </c>
      <c r="X37">
        <v>2E-3</v>
      </c>
      <c r="Y37">
        <v>65.930000000000007</v>
      </c>
      <c r="Z37">
        <v>0</v>
      </c>
      <c r="AA37">
        <v>0</v>
      </c>
      <c r="AB37">
        <v>0</v>
      </c>
      <c r="AC37">
        <v>0</v>
      </c>
      <c r="AD37">
        <v>1</v>
      </c>
      <c r="AE37">
        <v>0</v>
      </c>
      <c r="AF37" t="s">
        <v>3</v>
      </c>
      <c r="AG37">
        <v>2E-3</v>
      </c>
      <c r="AH37">
        <v>2</v>
      </c>
      <c r="AI37">
        <v>34944309</v>
      </c>
      <c r="AJ37">
        <v>38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</row>
    <row r="38" spans="1:44">
      <c r="A38">
        <f>ROW(Source!A30)</f>
        <v>30</v>
      </c>
      <c r="B38">
        <v>34944319</v>
      </c>
      <c r="C38">
        <v>34944302</v>
      </c>
      <c r="D38">
        <v>29171808</v>
      </c>
      <c r="E38">
        <v>1</v>
      </c>
      <c r="F38">
        <v>1</v>
      </c>
      <c r="G38">
        <v>1</v>
      </c>
      <c r="H38">
        <v>3</v>
      </c>
      <c r="I38" t="s">
        <v>231</v>
      </c>
      <c r="J38" t="s">
        <v>232</v>
      </c>
      <c r="K38" t="s">
        <v>233</v>
      </c>
      <c r="L38">
        <v>1374</v>
      </c>
      <c r="N38">
        <v>1013</v>
      </c>
      <c r="O38" t="s">
        <v>234</v>
      </c>
      <c r="P38" t="s">
        <v>234</v>
      </c>
      <c r="Q38">
        <v>1</v>
      </c>
      <c r="X38">
        <v>0.16</v>
      </c>
      <c r="Y38">
        <v>1</v>
      </c>
      <c r="Z38">
        <v>0</v>
      </c>
      <c r="AA38">
        <v>0</v>
      </c>
      <c r="AB38">
        <v>0</v>
      </c>
      <c r="AC38">
        <v>0</v>
      </c>
      <c r="AD38">
        <v>1</v>
      </c>
      <c r="AE38">
        <v>0</v>
      </c>
      <c r="AF38" t="s">
        <v>3</v>
      </c>
      <c r="AG38">
        <v>0.16</v>
      </c>
      <c r="AH38">
        <v>2</v>
      </c>
      <c r="AI38">
        <v>34944310</v>
      </c>
      <c r="AJ38">
        <v>39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</row>
    <row r="39" spans="1:44">
      <c r="A39">
        <f>ROW(Source!A32)</f>
        <v>32</v>
      </c>
      <c r="B39">
        <v>34944330</v>
      </c>
      <c r="C39">
        <v>34944321</v>
      </c>
      <c r="D39">
        <v>29364679</v>
      </c>
      <c r="E39">
        <v>1</v>
      </c>
      <c r="F39">
        <v>1</v>
      </c>
      <c r="G39">
        <v>1</v>
      </c>
      <c r="H39">
        <v>1</v>
      </c>
      <c r="I39" t="s">
        <v>283</v>
      </c>
      <c r="J39" t="s">
        <v>3</v>
      </c>
      <c r="K39" t="s">
        <v>284</v>
      </c>
      <c r="L39">
        <v>1369</v>
      </c>
      <c r="N39">
        <v>1013</v>
      </c>
      <c r="O39" t="s">
        <v>211</v>
      </c>
      <c r="P39" t="s">
        <v>211</v>
      </c>
      <c r="Q39">
        <v>1</v>
      </c>
      <c r="X39">
        <v>68.239999999999995</v>
      </c>
      <c r="Y39">
        <v>0</v>
      </c>
      <c r="Z39">
        <v>0</v>
      </c>
      <c r="AA39">
        <v>0</v>
      </c>
      <c r="AB39">
        <v>273.23</v>
      </c>
      <c r="AC39">
        <v>0</v>
      </c>
      <c r="AD39">
        <v>1</v>
      </c>
      <c r="AE39">
        <v>1</v>
      </c>
      <c r="AF39" t="s">
        <v>3</v>
      </c>
      <c r="AG39">
        <v>68.239999999999995</v>
      </c>
      <c r="AH39">
        <v>2</v>
      </c>
      <c r="AI39">
        <v>34944322</v>
      </c>
      <c r="AJ39">
        <v>41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</row>
    <row r="40" spans="1:44">
      <c r="A40">
        <f>ROW(Source!A32)</f>
        <v>32</v>
      </c>
      <c r="B40">
        <v>34944331</v>
      </c>
      <c r="C40">
        <v>34944321</v>
      </c>
      <c r="D40">
        <v>121548</v>
      </c>
      <c r="E40">
        <v>1</v>
      </c>
      <c r="F40">
        <v>1</v>
      </c>
      <c r="G40">
        <v>1</v>
      </c>
      <c r="H40">
        <v>1</v>
      </c>
      <c r="I40" t="s">
        <v>248</v>
      </c>
      <c r="J40" t="s">
        <v>3</v>
      </c>
      <c r="K40" t="s">
        <v>249</v>
      </c>
      <c r="L40">
        <v>608254</v>
      </c>
      <c r="N40">
        <v>1013</v>
      </c>
      <c r="O40" t="s">
        <v>250</v>
      </c>
      <c r="P40" t="s">
        <v>250</v>
      </c>
      <c r="Q40">
        <v>1</v>
      </c>
      <c r="X40">
        <v>0.1</v>
      </c>
      <c r="Y40">
        <v>0</v>
      </c>
      <c r="Z40">
        <v>0</v>
      </c>
      <c r="AA40">
        <v>0</v>
      </c>
      <c r="AB40">
        <v>0</v>
      </c>
      <c r="AC40">
        <v>0</v>
      </c>
      <c r="AD40">
        <v>1</v>
      </c>
      <c r="AE40">
        <v>2</v>
      </c>
      <c r="AF40" t="s">
        <v>3</v>
      </c>
      <c r="AG40">
        <v>0.1</v>
      </c>
      <c r="AH40">
        <v>2</v>
      </c>
      <c r="AI40">
        <v>34944323</v>
      </c>
      <c r="AJ40">
        <v>42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</row>
    <row r="41" spans="1:44">
      <c r="A41">
        <f>ROW(Source!A32)</f>
        <v>32</v>
      </c>
      <c r="B41">
        <v>34944332</v>
      </c>
      <c r="C41">
        <v>34944321</v>
      </c>
      <c r="D41">
        <v>29172362</v>
      </c>
      <c r="E41">
        <v>1</v>
      </c>
      <c r="F41">
        <v>1</v>
      </c>
      <c r="G41">
        <v>1</v>
      </c>
      <c r="H41">
        <v>2</v>
      </c>
      <c r="I41" t="s">
        <v>268</v>
      </c>
      <c r="J41" t="s">
        <v>269</v>
      </c>
      <c r="K41" t="s">
        <v>270</v>
      </c>
      <c r="L41">
        <v>1368</v>
      </c>
      <c r="N41">
        <v>1011</v>
      </c>
      <c r="O41" t="s">
        <v>215</v>
      </c>
      <c r="P41" t="s">
        <v>215</v>
      </c>
      <c r="Q41">
        <v>1</v>
      </c>
      <c r="X41">
        <v>0.1</v>
      </c>
      <c r="Y41">
        <v>0</v>
      </c>
      <c r="Z41">
        <v>134.65</v>
      </c>
      <c r="AA41">
        <v>13.5</v>
      </c>
      <c r="AB41">
        <v>0</v>
      </c>
      <c r="AC41">
        <v>0</v>
      </c>
      <c r="AD41">
        <v>1</v>
      </c>
      <c r="AE41">
        <v>0</v>
      </c>
      <c r="AF41" t="s">
        <v>3</v>
      </c>
      <c r="AG41">
        <v>0.1</v>
      </c>
      <c r="AH41">
        <v>2</v>
      </c>
      <c r="AI41">
        <v>34944324</v>
      </c>
      <c r="AJ41">
        <v>43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</row>
    <row r="42" spans="1:44">
      <c r="A42">
        <f>ROW(Source!A32)</f>
        <v>32</v>
      </c>
      <c r="B42">
        <v>34944333</v>
      </c>
      <c r="C42">
        <v>34944321</v>
      </c>
      <c r="D42">
        <v>29174913</v>
      </c>
      <c r="E42">
        <v>1</v>
      </c>
      <c r="F42">
        <v>1</v>
      </c>
      <c r="G42">
        <v>1</v>
      </c>
      <c r="H42">
        <v>2</v>
      </c>
      <c r="I42" t="s">
        <v>271</v>
      </c>
      <c r="J42" t="s">
        <v>272</v>
      </c>
      <c r="K42" t="s">
        <v>273</v>
      </c>
      <c r="L42">
        <v>1368</v>
      </c>
      <c r="N42">
        <v>1011</v>
      </c>
      <c r="O42" t="s">
        <v>215</v>
      </c>
      <c r="P42" t="s">
        <v>215</v>
      </c>
      <c r="Q42">
        <v>1</v>
      </c>
      <c r="X42">
        <v>0.1</v>
      </c>
      <c r="Y42">
        <v>0</v>
      </c>
      <c r="Z42">
        <v>87.17</v>
      </c>
      <c r="AA42">
        <v>11.6</v>
      </c>
      <c r="AB42">
        <v>0</v>
      </c>
      <c r="AC42">
        <v>0</v>
      </c>
      <c r="AD42">
        <v>1</v>
      </c>
      <c r="AE42">
        <v>0</v>
      </c>
      <c r="AF42" t="s">
        <v>3</v>
      </c>
      <c r="AG42">
        <v>0.1</v>
      </c>
      <c r="AH42">
        <v>2</v>
      </c>
      <c r="AI42">
        <v>34944325</v>
      </c>
      <c r="AJ42">
        <v>44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</row>
    <row r="43" spans="1:44">
      <c r="A43">
        <f>ROW(Source!A32)</f>
        <v>32</v>
      </c>
      <c r="B43">
        <v>34944334</v>
      </c>
      <c r="C43">
        <v>34944321</v>
      </c>
      <c r="D43">
        <v>29114269</v>
      </c>
      <c r="E43">
        <v>1</v>
      </c>
      <c r="F43">
        <v>1</v>
      </c>
      <c r="G43">
        <v>1</v>
      </c>
      <c r="H43">
        <v>3</v>
      </c>
      <c r="I43" t="s">
        <v>285</v>
      </c>
      <c r="J43" t="s">
        <v>286</v>
      </c>
      <c r="K43" t="s">
        <v>287</v>
      </c>
      <c r="L43">
        <v>1348</v>
      </c>
      <c r="N43">
        <v>1009</v>
      </c>
      <c r="O43" t="s">
        <v>227</v>
      </c>
      <c r="P43" t="s">
        <v>227</v>
      </c>
      <c r="Q43">
        <v>1000</v>
      </c>
      <c r="X43">
        <v>3.0599999999999998E-3</v>
      </c>
      <c r="Y43">
        <v>12429.99</v>
      </c>
      <c r="Z43">
        <v>0</v>
      </c>
      <c r="AA43">
        <v>0</v>
      </c>
      <c r="AB43">
        <v>0</v>
      </c>
      <c r="AC43">
        <v>0</v>
      </c>
      <c r="AD43">
        <v>1</v>
      </c>
      <c r="AE43">
        <v>0</v>
      </c>
      <c r="AF43" t="s">
        <v>3</v>
      </c>
      <c r="AG43">
        <v>3.0599999999999998E-3</v>
      </c>
      <c r="AH43">
        <v>2</v>
      </c>
      <c r="AI43">
        <v>34944326</v>
      </c>
      <c r="AJ43">
        <v>45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</row>
    <row r="44" spans="1:44">
      <c r="A44">
        <f>ROW(Source!A32)</f>
        <v>32</v>
      </c>
      <c r="B44">
        <v>34944335</v>
      </c>
      <c r="C44">
        <v>34944321</v>
      </c>
      <c r="D44">
        <v>29110838</v>
      </c>
      <c r="E44">
        <v>1</v>
      </c>
      <c r="F44">
        <v>1</v>
      </c>
      <c r="G44">
        <v>1</v>
      </c>
      <c r="H44">
        <v>3</v>
      </c>
      <c r="I44" t="s">
        <v>280</v>
      </c>
      <c r="J44" t="s">
        <v>281</v>
      </c>
      <c r="K44" t="s">
        <v>282</v>
      </c>
      <c r="L44">
        <v>1346</v>
      </c>
      <c r="N44">
        <v>1009</v>
      </c>
      <c r="O44" t="s">
        <v>219</v>
      </c>
      <c r="P44" t="s">
        <v>219</v>
      </c>
      <c r="Q44">
        <v>1</v>
      </c>
      <c r="X44">
        <v>0.31</v>
      </c>
      <c r="Y44">
        <v>30.5</v>
      </c>
      <c r="Z44">
        <v>0</v>
      </c>
      <c r="AA44">
        <v>0</v>
      </c>
      <c r="AB44">
        <v>0</v>
      </c>
      <c r="AC44">
        <v>0</v>
      </c>
      <c r="AD44">
        <v>1</v>
      </c>
      <c r="AE44">
        <v>0</v>
      </c>
      <c r="AF44" t="s">
        <v>3</v>
      </c>
      <c r="AG44">
        <v>0.31</v>
      </c>
      <c r="AH44">
        <v>2</v>
      </c>
      <c r="AI44">
        <v>34944327</v>
      </c>
      <c r="AJ44">
        <v>46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</row>
    <row r="45" spans="1:44">
      <c r="A45">
        <f>ROW(Source!A32)</f>
        <v>32</v>
      </c>
      <c r="B45">
        <v>34944336</v>
      </c>
      <c r="C45">
        <v>34944321</v>
      </c>
      <c r="D45">
        <v>29114470</v>
      </c>
      <c r="E45">
        <v>1</v>
      </c>
      <c r="F45">
        <v>1</v>
      </c>
      <c r="G45">
        <v>1</v>
      </c>
      <c r="H45">
        <v>3</v>
      </c>
      <c r="I45" t="s">
        <v>288</v>
      </c>
      <c r="J45" t="s">
        <v>289</v>
      </c>
      <c r="K45" t="s">
        <v>290</v>
      </c>
      <c r="L45">
        <v>1355</v>
      </c>
      <c r="N45">
        <v>1010</v>
      </c>
      <c r="O45" t="s">
        <v>58</v>
      </c>
      <c r="P45" t="s">
        <v>58</v>
      </c>
      <c r="Q45">
        <v>100</v>
      </c>
      <c r="X45">
        <v>4.08</v>
      </c>
      <c r="Y45">
        <v>86.24</v>
      </c>
      <c r="Z45">
        <v>0</v>
      </c>
      <c r="AA45">
        <v>0</v>
      </c>
      <c r="AB45">
        <v>0</v>
      </c>
      <c r="AC45">
        <v>0</v>
      </c>
      <c r="AD45">
        <v>1</v>
      </c>
      <c r="AE45">
        <v>0</v>
      </c>
      <c r="AF45" t="s">
        <v>3</v>
      </c>
      <c r="AG45">
        <v>4.08</v>
      </c>
      <c r="AH45">
        <v>2</v>
      </c>
      <c r="AI45">
        <v>34944328</v>
      </c>
      <c r="AJ45">
        <v>47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</row>
    <row r="46" spans="1:44">
      <c r="A46">
        <f>ROW(Source!A32)</f>
        <v>32</v>
      </c>
      <c r="B46">
        <v>34944337</v>
      </c>
      <c r="C46">
        <v>34944321</v>
      </c>
      <c r="D46">
        <v>29171808</v>
      </c>
      <c r="E46">
        <v>1</v>
      </c>
      <c r="F46">
        <v>1</v>
      </c>
      <c r="G46">
        <v>1</v>
      </c>
      <c r="H46">
        <v>3</v>
      </c>
      <c r="I46" t="s">
        <v>231</v>
      </c>
      <c r="J46" t="s">
        <v>232</v>
      </c>
      <c r="K46" t="s">
        <v>233</v>
      </c>
      <c r="L46">
        <v>1374</v>
      </c>
      <c r="N46">
        <v>1013</v>
      </c>
      <c r="O46" t="s">
        <v>234</v>
      </c>
      <c r="P46" t="s">
        <v>234</v>
      </c>
      <c r="Q46">
        <v>1</v>
      </c>
      <c r="X46">
        <v>13.54</v>
      </c>
      <c r="Y46">
        <v>1</v>
      </c>
      <c r="Z46">
        <v>0</v>
      </c>
      <c r="AA46">
        <v>0</v>
      </c>
      <c r="AB46">
        <v>0</v>
      </c>
      <c r="AC46">
        <v>0</v>
      </c>
      <c r="AD46">
        <v>1</v>
      </c>
      <c r="AE46">
        <v>0</v>
      </c>
      <c r="AF46" t="s">
        <v>3</v>
      </c>
      <c r="AG46">
        <v>13.54</v>
      </c>
      <c r="AH46">
        <v>2</v>
      </c>
      <c r="AI46">
        <v>34944329</v>
      </c>
      <c r="AJ46">
        <v>48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</row>
  </sheetData>
  <printOptions gridLines="1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Смета 12 гр. ТЕР МО</vt:lpstr>
      <vt:lpstr>Source</vt:lpstr>
      <vt:lpstr>SourceObSm</vt:lpstr>
      <vt:lpstr>SmtRes</vt:lpstr>
      <vt:lpstr>EtalonRes</vt:lpstr>
      <vt:lpstr>'Смета 12 гр. ТЕР МО'!Заголовки_для_печати</vt:lpstr>
      <vt:lpstr>'Смета 12 гр. ТЕР МО'!Область_печати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Олеся</dc:creator>
  <cp:lastModifiedBy>Олеся</cp:lastModifiedBy>
  <dcterms:created xsi:type="dcterms:W3CDTF">2021-04-22T12:37:39Z</dcterms:created>
  <dcterms:modified xsi:type="dcterms:W3CDTF">2021-04-22T14:00:54Z</dcterms:modified>
</cp:coreProperties>
</file>