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Рабочая папка\ЗАКУПКИ\ЗАО АКВАСТОК\ЗАКУПКИ\Закупки 2022 год\Закупка 76 (измерения сточной и поверх.воды, воздуха, морфометрия) 2022\разное\"/>
    </mc:Choice>
  </mc:AlternateContent>
  <xr:revisionPtr revIDLastSave="0" documentId="8_{47FBA580-5E76-4B0E-982F-ECC7327F9FAF}" xr6:coauthVersionLast="47" xr6:coauthVersionMax="47" xr10:uidLastSave="{00000000-0000-0000-0000-000000000000}"/>
  <bookViews>
    <workbookView xWindow="-120" yWindow="-120" windowWidth="29040" windowHeight="15840" xr2:uid="{B1C1D2D6-B0F9-457C-8427-E4B9FCEAFE05}"/>
  </bookViews>
  <sheets>
    <sheet name="Приложение 2022" sheetId="1" r:id="rId1"/>
    <sheet name="Воздух 2022" sheetId="2" r:id="rId2"/>
  </sheets>
  <externalReferences>
    <externalReference r:id="rId3"/>
  </externalReferences>
  <definedNames>
    <definedName name="_GoBack" localSheetId="1">'Воздух 2022'!#REF!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2" l="1"/>
  <c r="N14" i="2" s="1"/>
  <c r="F14" i="2"/>
  <c r="F13" i="2" s="1"/>
  <c r="F17" i="2" s="1"/>
  <c r="G59" i="1"/>
  <c r="G56" i="1"/>
  <c r="H55" i="1"/>
  <c r="H57" i="1" s="1"/>
  <c r="H58" i="1" s="1"/>
  <c r="K50" i="1"/>
  <c r="K49" i="1"/>
  <c r="H49" i="1"/>
  <c r="I48" i="1"/>
  <c r="I49" i="1" s="1"/>
  <c r="H48" i="1"/>
  <c r="M48" i="1" s="1"/>
  <c r="H47" i="1"/>
  <c r="F47" i="1"/>
  <c r="G47" i="1" s="1"/>
  <c r="E47" i="1"/>
  <c r="H46" i="1"/>
  <c r="F46" i="1"/>
  <c r="G46" i="1" s="1"/>
  <c r="E46" i="1"/>
  <c r="H45" i="1"/>
  <c r="F45" i="1"/>
  <c r="G45" i="1" s="1"/>
  <c r="E45" i="1"/>
  <c r="H44" i="1"/>
  <c r="F44" i="1"/>
  <c r="G44" i="1" s="1"/>
  <c r="E44" i="1"/>
  <c r="H43" i="1"/>
  <c r="F43" i="1"/>
  <c r="G43" i="1" s="1"/>
  <c r="E43" i="1"/>
  <c r="K37" i="1"/>
  <c r="F35" i="1"/>
  <c r="G35" i="1" s="1"/>
  <c r="E35" i="1"/>
  <c r="H35" i="1" s="1"/>
  <c r="F34" i="1"/>
  <c r="G34" i="1" s="1"/>
  <c r="E34" i="1"/>
  <c r="H34" i="1" s="1"/>
  <c r="F33" i="1"/>
  <c r="G33" i="1" s="1"/>
  <c r="E33" i="1"/>
  <c r="H33" i="1" s="1"/>
  <c r="F32" i="1"/>
  <c r="G32" i="1" s="1"/>
  <c r="E32" i="1"/>
  <c r="H32" i="1" s="1"/>
  <c r="F31" i="1"/>
  <c r="G31" i="1" s="1"/>
  <c r="E31" i="1"/>
  <c r="H31" i="1" s="1"/>
  <c r="F30" i="1"/>
  <c r="G30" i="1" s="1"/>
  <c r="E30" i="1"/>
  <c r="H30" i="1" s="1"/>
  <c r="F29" i="1"/>
  <c r="G29" i="1" s="1"/>
  <c r="E29" i="1"/>
  <c r="H29" i="1" s="1"/>
  <c r="F28" i="1"/>
  <c r="G28" i="1" s="1"/>
  <c r="E28" i="1"/>
  <c r="H28" i="1" s="1"/>
  <c r="F27" i="1"/>
  <c r="G27" i="1" s="1"/>
  <c r="E27" i="1"/>
  <c r="H27" i="1" s="1"/>
  <c r="F26" i="1"/>
  <c r="G26" i="1" s="1"/>
  <c r="E26" i="1"/>
  <c r="H26" i="1" s="1"/>
  <c r="F25" i="1"/>
  <c r="G25" i="1" s="1"/>
  <c r="E25" i="1"/>
  <c r="H25" i="1" s="1"/>
  <c r="F24" i="1"/>
  <c r="G24" i="1" s="1"/>
  <c r="G23" i="1" s="1"/>
  <c r="E24" i="1"/>
  <c r="H24" i="1" s="1"/>
  <c r="H23" i="1" s="1"/>
  <c r="M23" i="1" s="1"/>
  <c r="N23" i="1" s="1"/>
  <c r="I23" i="1"/>
  <c r="H22" i="1"/>
  <c r="F22" i="1"/>
  <c r="G22" i="1" s="1"/>
  <c r="E22" i="1"/>
  <c r="H21" i="1"/>
  <c r="F21" i="1"/>
  <c r="G21" i="1" s="1"/>
  <c r="E21" i="1"/>
  <c r="H20" i="1"/>
  <c r="F20" i="1"/>
  <c r="G20" i="1" s="1"/>
  <c r="E20" i="1"/>
  <c r="H19" i="1"/>
  <c r="F19" i="1"/>
  <c r="G19" i="1" s="1"/>
  <c r="E19" i="1"/>
  <c r="H18" i="1"/>
  <c r="F18" i="1"/>
  <c r="G18" i="1" s="1"/>
  <c r="E18" i="1"/>
  <c r="H17" i="1"/>
  <c r="F17" i="1"/>
  <c r="G17" i="1" s="1"/>
  <c r="E17" i="1"/>
  <c r="H16" i="1"/>
  <c r="F16" i="1"/>
  <c r="G16" i="1" s="1"/>
  <c r="E16" i="1"/>
  <c r="H15" i="1"/>
  <c r="F15" i="1"/>
  <c r="G15" i="1" s="1"/>
  <c r="E15" i="1"/>
  <c r="H14" i="1"/>
  <c r="F14" i="1"/>
  <c r="G14" i="1" s="1"/>
  <c r="E14" i="1"/>
  <c r="H13" i="1"/>
  <c r="F13" i="1"/>
  <c r="G13" i="1" s="1"/>
  <c r="E13" i="1"/>
  <c r="H12" i="1"/>
  <c r="F12" i="1"/>
  <c r="G12" i="1" s="1"/>
  <c r="E12" i="1"/>
  <c r="H11" i="1"/>
  <c r="F11" i="1"/>
  <c r="G11" i="1" s="1"/>
  <c r="E11" i="1"/>
  <c r="H10" i="1"/>
  <c r="F10" i="1"/>
  <c r="G10" i="1" s="1"/>
  <c r="E10" i="1"/>
  <c r="H9" i="1"/>
  <c r="F9" i="1"/>
  <c r="G9" i="1" s="1"/>
  <c r="E9" i="1"/>
  <c r="J8" i="1"/>
  <c r="H8" i="1"/>
  <c r="G8" i="1"/>
  <c r="F8" i="1"/>
  <c r="E8" i="1"/>
  <c r="H7" i="1"/>
  <c r="G7" i="1"/>
  <c r="F7" i="1"/>
  <c r="E7" i="1"/>
  <c r="H6" i="1"/>
  <c r="G6" i="1"/>
  <c r="F6" i="1"/>
  <c r="E6" i="1"/>
  <c r="I5" i="1"/>
  <c r="I36" i="1" s="1"/>
  <c r="H5" i="1"/>
  <c r="N13" i="2" l="1"/>
  <c r="M49" i="1"/>
  <c r="N48" i="1"/>
  <c r="N49" i="1" s="1"/>
  <c r="N50" i="1" s="1"/>
  <c r="G5" i="1"/>
  <c r="G36" i="1" s="1"/>
  <c r="G48" i="1"/>
  <c r="G49" i="1" s="1"/>
  <c r="H36" i="1"/>
  <c r="I37" i="1"/>
  <c r="I50" i="1" s="1"/>
  <c r="I53" i="1"/>
  <c r="H53" i="1" l="1"/>
  <c r="H37" i="1"/>
  <c r="H50" i="1" s="1"/>
  <c r="H51" i="1" s="1"/>
  <c r="G37" i="1"/>
  <c r="G50" i="1" s="1"/>
  <c r="G60" i="1" s="1"/>
  <c r="G61" i="1" s="1"/>
  <c r="G62" i="1" s="1"/>
  <c r="G55" i="1"/>
  <c r="G57" i="1" s="1"/>
  <c r="F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3" authorId="0" shapeId="0" xr:uid="{EBD1CBC0-F753-4A25-A945-764528332482}">
      <text>
        <r>
          <rPr>
            <b/>
            <sz val="8"/>
            <color indexed="81"/>
            <rFont val="Tahoma"/>
            <charset val="1"/>
          </rPr>
          <t>Admin:</t>
        </r>
        <r>
          <rPr>
            <sz val="8"/>
            <color indexed="81"/>
            <rFont val="Tahoma"/>
            <charset val="1"/>
          </rPr>
          <t xml:space="preserve">
3240+17060=20300/2=10150(смета ЦГМС-Р)</t>
        </r>
      </text>
    </comment>
  </commentList>
</comments>
</file>

<file path=xl/sharedStrings.xml><?xml version="1.0" encoding="utf-8"?>
<sst xmlns="http://schemas.openxmlformats.org/spreadsheetml/2006/main" count="139" uniqueCount="97">
  <si>
    <t>Проведение измерений и анализов сточной и поверхностной воды</t>
  </si>
  <si>
    <t>№ п/п</t>
  </si>
  <si>
    <t>Перечень контролируемых показателей</t>
  </si>
  <si>
    <t xml:space="preserve">Количество за период </t>
  </si>
  <si>
    <t>Стоимость единицы, руб.</t>
  </si>
  <si>
    <t>Сумма в год, руб.</t>
  </si>
  <si>
    <t>за квартал без ндс</t>
  </si>
  <si>
    <t>за квартал с  ндс</t>
  </si>
  <si>
    <t>Очистные сооружения предприятия</t>
  </si>
  <si>
    <t xml:space="preserve"> 16 обр/в месяц</t>
  </si>
  <si>
    <t>Температура</t>
  </si>
  <si>
    <t>Реакция среды</t>
  </si>
  <si>
    <t>Запах</t>
  </si>
  <si>
    <t>Цвет</t>
  </si>
  <si>
    <t>Осадок</t>
  </si>
  <si>
    <t>БПК</t>
  </si>
  <si>
    <t>Взвешенные вещества</t>
  </si>
  <si>
    <t>Сухой остаток</t>
  </si>
  <si>
    <t>Хлориды</t>
  </si>
  <si>
    <t>Сульфаты</t>
  </si>
  <si>
    <t>Аммоний-ион</t>
  </si>
  <si>
    <t>Нитрит-ион</t>
  </si>
  <si>
    <t>Нитрат-ион</t>
  </si>
  <si>
    <t>Фосфаты (по фосфору)</t>
  </si>
  <si>
    <t>Нефтепродукты</t>
  </si>
  <si>
    <t>Железо общее</t>
  </si>
  <si>
    <t>АПАВ</t>
  </si>
  <si>
    <t>р. Москва</t>
  </si>
  <si>
    <t xml:space="preserve"> 24 обр/в месяц</t>
  </si>
  <si>
    <t>ИТОГО</t>
  </si>
  <si>
    <t>ИТОГО с НДС</t>
  </si>
  <si>
    <t xml:space="preserve">Проведение морфометрических исследований части реки Москва </t>
  </si>
  <si>
    <t>Наименование контролируемого параметра</t>
  </si>
  <si>
    <t>р. Москва (морфометрические исследования)</t>
  </si>
  <si>
    <t>6 обр./межень;6 обр./паводок</t>
  </si>
  <si>
    <t>из сметы ЦГМС-Р</t>
  </si>
  <si>
    <t>Максимальная глубина, м</t>
  </si>
  <si>
    <t>Минимальная глубина, м</t>
  </si>
  <si>
    <t>Средняя глубина, м</t>
  </si>
  <si>
    <t>Скорость течения, м/с</t>
  </si>
  <si>
    <t>Расход воды, м3/с</t>
  </si>
  <si>
    <t>за квартал</t>
  </si>
  <si>
    <t>ВСЕГО с НДС</t>
  </si>
  <si>
    <t>за год</t>
  </si>
  <si>
    <t>без ндс кха морфометрия</t>
  </si>
  <si>
    <t>без ндс воздух</t>
  </si>
  <si>
    <t>без ндс</t>
  </si>
  <si>
    <t>с ндс воздух</t>
  </si>
  <si>
    <t>с ндс кха морфометрия</t>
  </si>
  <si>
    <t xml:space="preserve">с ндс </t>
  </si>
  <si>
    <t>Уровень над «0» графика, м</t>
  </si>
  <si>
    <t>301*2</t>
  </si>
  <si>
    <t>т.к. в отчете и протоколе нет,убрала из договора</t>
  </si>
  <si>
    <t>добавила к мах и мин глубине</t>
  </si>
  <si>
    <t>№   п/п</t>
  </si>
  <si>
    <t>Наименование производства</t>
  </si>
  <si>
    <t>Выбрасываемое вещество</t>
  </si>
  <si>
    <t>Периодичность контроля</t>
  </si>
  <si>
    <t>Сумма,</t>
  </si>
  <si>
    <t>Сумма, руб.</t>
  </si>
  <si>
    <t>руб.</t>
  </si>
  <si>
    <r>
      <t>мг/м</t>
    </r>
    <r>
      <rPr>
        <vertAlign val="superscript"/>
        <sz val="12"/>
        <color theme="1"/>
        <rFont val="Times New Roman"/>
        <family val="1"/>
        <charset val="204"/>
      </rPr>
      <t>3</t>
    </r>
  </si>
  <si>
    <t>г/сек</t>
  </si>
  <si>
    <t>т/год</t>
  </si>
  <si>
    <t>1 раз в год</t>
  </si>
  <si>
    <t>Азота диоксид; (Азот(IV) оксид)</t>
  </si>
  <si>
    <t>Очистные сооружения г. Воскресенск, ул. Гиганта, 20</t>
  </si>
  <si>
    <t>песколовки</t>
  </si>
  <si>
    <t>Дигидросульфид; Сероводород</t>
  </si>
  <si>
    <t>0,002761649</t>
  </si>
  <si>
    <t>0,0002180</t>
  </si>
  <si>
    <t>0,0039238</t>
  </si>
  <si>
    <t>преаэратор</t>
  </si>
  <si>
    <t>0,0041313</t>
  </si>
  <si>
    <t>0,5347758</t>
  </si>
  <si>
    <t>Формальдегид</t>
  </si>
  <si>
    <t>0,000287109</t>
  </si>
  <si>
    <t>0,0009990</t>
  </si>
  <si>
    <t>0,0010420</t>
  </si>
  <si>
    <t>первичные отстойники</t>
  </si>
  <si>
    <t>0,0018423</t>
  </si>
  <si>
    <t>0,0331671</t>
  </si>
  <si>
    <t>аэротенки</t>
  </si>
  <si>
    <t>0,0034908</t>
  </si>
  <si>
    <t>0,5767349</t>
  </si>
  <si>
    <t>иловые площадки</t>
  </si>
  <si>
    <t>0,0001975</t>
  </si>
  <si>
    <t>0,0602647</t>
  </si>
  <si>
    <t>Универсальная автомойка</t>
  </si>
  <si>
    <t>Открытая площадка автотранспорта</t>
  </si>
  <si>
    <t>21,26968</t>
  </si>
  <si>
    <t>0,0166967</t>
  </si>
  <si>
    <t>0,1732170</t>
  </si>
  <si>
    <t>Итого, руб. без НДС</t>
  </si>
  <si>
    <t>Итого, руб.  НДС</t>
  </si>
  <si>
    <t>Итого, руб. с НДС</t>
  </si>
  <si>
    <t>НМЦК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</si>
</sst>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#,##0.00;[Red]#,##0.00"/>
    <numFmt numFmtId="166" formatCode="0.0"/>
    <numFmt numFmtId="167" formatCode="0.0000000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/>
    <xf numFmtId="4" fontId="1" fillId="0" borderId="1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2" borderId="3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/>
    <xf numFmtId="0" fontId="1" fillId="0" borderId="1" xfId="0" applyFont="1" applyBorder="1"/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3" fontId="0" fillId="0" borderId="5" xfId="0" applyNumberFormat="1" applyBorder="1" applyAlignment="1">
      <alignment horizontal="center" vertical="top" wrapText="1"/>
    </xf>
    <xf numFmtId="3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3" fontId="1" fillId="0" borderId="4" xfId="0" applyNumberFormat="1" applyFont="1" applyBorder="1" applyAlignment="1">
      <alignment vertical="top" wrapText="1"/>
    </xf>
    <xf numFmtId="3" fontId="0" fillId="0" borderId="2" xfId="0" applyNumberFormat="1" applyBorder="1" applyAlignment="1">
      <alignment horizontal="center" vertical="top" wrapText="1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164" fontId="0" fillId="0" borderId="0" xfId="0" applyNumberFormat="1" applyAlignment="1">
      <alignment horizontal="center" vertical="top" wrapText="1"/>
    </xf>
    <xf numFmtId="164" fontId="0" fillId="0" borderId="0" xfId="0" applyNumberForma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4" fontId="1" fillId="2" borderId="0" xfId="0" applyNumberFormat="1" applyFont="1" applyFill="1"/>
    <xf numFmtId="3" fontId="0" fillId="0" borderId="7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2" fontId="1" fillId="0" borderId="0" xfId="0" applyNumberFormat="1" applyFont="1"/>
    <xf numFmtId="2" fontId="0" fillId="0" borderId="0" xfId="0" applyNumberFormat="1"/>
    <xf numFmtId="4" fontId="0" fillId="0" borderId="0" xfId="0" applyNumberFormat="1" applyAlignment="1">
      <alignment horizontal="center" vertical="top" wrapText="1"/>
    </xf>
    <xf numFmtId="4" fontId="0" fillId="2" borderId="0" xfId="0" applyNumberFormat="1" applyFill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4" fontId="0" fillId="0" borderId="8" xfId="0" applyNumberFormat="1" applyBorder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Font="1"/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right" vertical="top" wrapText="1"/>
    </xf>
    <xf numFmtId="0" fontId="6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center" vertical="top" wrapText="1"/>
    </xf>
    <xf numFmtId="1" fontId="8" fillId="0" borderId="9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13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center"/>
    </xf>
    <xf numFmtId="0" fontId="0" fillId="0" borderId="16" xfId="0" applyBorder="1"/>
    <xf numFmtId="2" fontId="13" fillId="0" borderId="0" xfId="0" applyNumberFormat="1" applyFont="1"/>
    <xf numFmtId="0" fontId="14" fillId="0" borderId="0" xfId="0" applyFont="1"/>
    <xf numFmtId="3" fontId="8" fillId="0" borderId="0" xfId="0" applyNumberFormat="1" applyFont="1"/>
    <xf numFmtId="2" fontId="13" fillId="0" borderId="18" xfId="0" applyNumberFormat="1" applyFont="1" applyBorder="1" applyAlignment="1">
      <alignment horizontal="center" vertical="center"/>
    </xf>
    <xf numFmtId="166" fontId="1" fillId="0" borderId="0" xfId="0" applyNumberFormat="1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horizontal="center" vertical="center"/>
    </xf>
    <xf numFmtId="167" fontId="0" fillId="0" borderId="0" xfId="0" applyNumberFormat="1"/>
    <xf numFmtId="0" fontId="15" fillId="0" borderId="0" xfId="0" applyFont="1"/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2" fontId="8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  <xf numFmtId="164" fontId="17" fillId="0" borderId="0" xfId="0" applyNumberFormat="1" applyFont="1" applyAlignment="1">
      <alignment horizontal="center" vertical="top" wrapText="1"/>
    </xf>
    <xf numFmtId="0" fontId="18" fillId="0" borderId="0" xfId="0" applyFont="1"/>
    <xf numFmtId="165" fontId="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72;&#1103;%20&#1087;&#1072;&#1087;&#1082;&#1072;/&#1047;&#1040;&#1050;&#1059;&#1055;&#1050;&#1048;/&#1047;&#1040;&#1054;%20&#1040;&#1050;&#1042;&#1040;&#1057;&#1058;&#1054;&#1050;/&#1047;&#1040;&#1050;&#1059;&#1055;&#1050;&#1048;/&#1047;&#1072;&#1082;&#1091;&#1087;&#1082;&#1080;%202021%20&#1075;&#1086;&#1076;/&#1047;&#1072;&#1082;&#1091;&#1087;&#1082;&#1072;%2071%20(&#1080;&#1079;&#1084;&#1077;&#1088;&#1077;&#1085;&#1080;&#1103;%20&#1089;&#1090;&#1086;&#1095;&#1085;&#1086;&#1081;%20&#1080;%20&#1087;&#1086;&#1074;&#1077;&#1088;&#1093;.&#1074;&#1086;&#1076;&#1099;,%20&#1074;&#1086;&#1079;&#1076;&#1091;&#1093;&#1072;,%20&#1084;&#1086;&#1088;&#1092;&#1086;&#1084;&#1077;&#1090;&#1088;&#1080;&#1103;)%202021/&#1088;&#1072;&#1079;&#1085;&#1086;&#1077;/&#1062;&#1051;&#1040;&#1058;&#1048;%20&#1076;&#1086;&#1075;&#1086;&#1074;&#1086;&#1088;_%202020%20&#1076;&#1077;&#1085;&#1100;&#107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020"/>
      <sheetName val="Воздух 2020"/>
      <sheetName val="Воздух 2022"/>
      <sheetName val="Приложение 2022"/>
    </sheetNames>
    <sheetDataSet>
      <sheetData sheetId="0"/>
      <sheetData sheetId="1">
        <row r="51">
          <cell r="N51">
            <v>32842</v>
          </cell>
        </row>
      </sheetData>
      <sheetData sheetId="2">
        <row r="20">
          <cell r="O20">
            <v>7383.5999999999995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75DD-167D-4826-AA14-A05F4BC51281}">
  <dimension ref="A2:O65"/>
  <sheetViews>
    <sheetView tabSelected="1" topLeftCell="A34" zoomScaleNormal="100" workbookViewId="0">
      <selection activeCell="P62" sqref="P62"/>
    </sheetView>
  </sheetViews>
  <sheetFormatPr defaultRowHeight="15" x14ac:dyDescent="0.25"/>
  <cols>
    <col min="1" max="1" width="5.42578125" customWidth="1"/>
    <col min="2" max="2" width="7.5703125" style="19" customWidth="1"/>
    <col min="3" max="3" width="45.7109375" style="36" customWidth="1"/>
    <col min="4" max="4" width="29.140625" style="19" customWidth="1"/>
    <col min="5" max="5" width="15" style="38" hidden="1" customWidth="1"/>
    <col min="6" max="6" width="15.28515625" style="38" customWidth="1"/>
    <col min="7" max="7" width="16.7109375" style="38" customWidth="1"/>
    <col min="8" max="8" width="13.28515625" style="38" hidden="1" customWidth="1"/>
    <col min="9" max="9" width="1.5703125" style="38" hidden="1" customWidth="1"/>
    <col min="10" max="10" width="7" hidden="1" customWidth="1"/>
    <col min="11" max="11" width="11.85546875" hidden="1" customWidth="1"/>
    <col min="12" max="12" width="7" hidden="1" customWidth="1"/>
    <col min="13" max="13" width="10.140625" style="3" hidden="1" customWidth="1"/>
    <col min="14" max="14" width="11" hidden="1" customWidth="1"/>
    <col min="15" max="15" width="0" hidden="1" customWidth="1"/>
  </cols>
  <sheetData>
    <row r="2" spans="1:14" ht="15" customHeight="1" x14ac:dyDescent="0.25">
      <c r="B2" s="1" t="s">
        <v>0</v>
      </c>
      <c r="C2" s="1"/>
      <c r="D2" s="1"/>
      <c r="E2" s="1"/>
      <c r="F2" s="1"/>
      <c r="G2" s="1"/>
      <c r="H2" s="1"/>
      <c r="I2" s="2">
        <v>1.5172000000000001</v>
      </c>
    </row>
    <row r="4" spans="1:14" ht="30" customHeight="1" x14ac:dyDescent="0.25">
      <c r="B4" s="4" t="s">
        <v>1</v>
      </c>
      <c r="C4" s="4" t="s">
        <v>2</v>
      </c>
      <c r="D4" s="4" t="s">
        <v>3</v>
      </c>
      <c r="E4" s="5" t="s">
        <v>4</v>
      </c>
      <c r="F4" s="5" t="s">
        <v>4</v>
      </c>
      <c r="G4" s="5" t="s">
        <v>5</v>
      </c>
      <c r="H4" s="5" t="s">
        <v>5</v>
      </c>
      <c r="I4" s="6"/>
      <c r="K4" s="7">
        <v>0.98</v>
      </c>
      <c r="M4" s="8" t="s">
        <v>6</v>
      </c>
      <c r="N4" s="8" t="s">
        <v>7</v>
      </c>
    </row>
    <row r="5" spans="1:14" ht="15" customHeight="1" x14ac:dyDescent="0.25">
      <c r="A5" s="9"/>
      <c r="B5" s="10"/>
      <c r="C5" s="11" t="s">
        <v>8</v>
      </c>
      <c r="D5" s="10" t="s">
        <v>9</v>
      </c>
      <c r="E5" s="12"/>
      <c r="F5" s="12"/>
      <c r="G5" s="13">
        <f>SUM(G6:G22)</f>
        <v>64116</v>
      </c>
      <c r="H5" s="13" t="e">
        <f>SUM(H6:H22)</f>
        <v>#DIV/0!</v>
      </c>
      <c r="I5" s="14">
        <f>SUM(I6:I22)</f>
        <v>65488</v>
      </c>
      <c r="M5" s="15"/>
      <c r="N5" s="16"/>
    </row>
    <row r="6" spans="1:14" ht="15" customHeight="1" x14ac:dyDescent="0.25">
      <c r="A6" s="9"/>
      <c r="B6" s="17">
        <v>1</v>
      </c>
      <c r="C6" s="18" t="s">
        <v>10</v>
      </c>
      <c r="E6" s="20">
        <f>172*2/I2</f>
        <v>226.73345636699182</v>
      </c>
      <c r="F6" s="20">
        <f>ROUND(227*K4,0)</f>
        <v>222</v>
      </c>
      <c r="G6" s="20">
        <f>F6*12</f>
        <v>2664</v>
      </c>
      <c r="H6" s="20">
        <f t="shared" ref="H6:H22" si="0">E6*12</f>
        <v>2720.8014764039017</v>
      </c>
      <c r="I6" s="21">
        <v>2721</v>
      </c>
    </row>
    <row r="7" spans="1:14" x14ac:dyDescent="0.25">
      <c r="A7" s="9"/>
      <c r="B7" s="17">
        <v>2</v>
      </c>
      <c r="C7" s="22" t="s">
        <v>11</v>
      </c>
      <c r="D7" s="23"/>
      <c r="E7" s="20">
        <f>86*2/I2</f>
        <v>113.36672818349591</v>
      </c>
      <c r="F7" s="20">
        <f>ROUND(113*K4,0)</f>
        <v>111</v>
      </c>
      <c r="G7" s="20">
        <f>F7*12</f>
        <v>1332</v>
      </c>
      <c r="H7" s="20">
        <f t="shared" si="0"/>
        <v>1360.4007382019508</v>
      </c>
      <c r="I7" s="21">
        <v>1360</v>
      </c>
    </row>
    <row r="8" spans="1:14" x14ac:dyDescent="0.25">
      <c r="A8" s="9"/>
      <c r="B8" s="17">
        <v>3</v>
      </c>
      <c r="C8" s="22" t="s">
        <v>12</v>
      </c>
      <c r="D8" s="23"/>
      <c r="E8" s="20">
        <f>172*2/I2</f>
        <v>226.73345636699182</v>
      </c>
      <c r="F8" s="20">
        <f>ROUND(227*K4,0)</f>
        <v>222</v>
      </c>
      <c r="G8" s="20">
        <f>F8*12</f>
        <v>2664</v>
      </c>
      <c r="H8" s="20">
        <f t="shared" si="0"/>
        <v>2720.8014764039017</v>
      </c>
      <c r="I8" s="21">
        <v>2721</v>
      </c>
      <c r="J8">
        <f>227*12</f>
        <v>2724</v>
      </c>
    </row>
    <row r="9" spans="1:14" x14ac:dyDescent="0.25">
      <c r="A9" s="9"/>
      <c r="B9" s="17">
        <v>4</v>
      </c>
      <c r="C9" s="22" t="s">
        <v>13</v>
      </c>
      <c r="D9" s="23"/>
      <c r="E9" s="20">
        <f>259*2/I2</f>
        <v>341.41840232006325</v>
      </c>
      <c r="F9" s="20">
        <f>ROUND(341*K4,0)</f>
        <v>334</v>
      </c>
      <c r="G9" s="20">
        <f t="shared" ref="G9:G22" si="1">F9*12</f>
        <v>4008</v>
      </c>
      <c r="H9" s="20">
        <f t="shared" si="0"/>
        <v>4097.020827840759</v>
      </c>
      <c r="I9" s="21">
        <v>4097</v>
      </c>
    </row>
    <row r="10" spans="1:14" ht="15" customHeight="1" x14ac:dyDescent="0.25">
      <c r="A10" s="9"/>
      <c r="B10" s="17">
        <v>5</v>
      </c>
      <c r="C10" s="22" t="s">
        <v>14</v>
      </c>
      <c r="D10" s="23"/>
      <c r="E10" s="20">
        <f>259*2/I2</f>
        <v>341.41840232006325</v>
      </c>
      <c r="F10" s="20">
        <f>ROUND(341*K4,0)</f>
        <v>334</v>
      </c>
      <c r="G10" s="20">
        <f t="shared" si="1"/>
        <v>4008</v>
      </c>
      <c r="H10" s="20">
        <f t="shared" si="0"/>
        <v>4097.020827840759</v>
      </c>
      <c r="I10" s="21">
        <v>4097</v>
      </c>
    </row>
    <row r="11" spans="1:14" x14ac:dyDescent="0.25">
      <c r="A11" s="9"/>
      <c r="B11" s="17">
        <v>6</v>
      </c>
      <c r="C11" s="22" t="s">
        <v>15</v>
      </c>
      <c r="D11" s="23"/>
      <c r="E11" s="20">
        <f>172*2/I2</f>
        <v>226.73345636699182</v>
      </c>
      <c r="F11" s="20">
        <f>ROUND(227*K4,0)</f>
        <v>222</v>
      </c>
      <c r="G11" s="20">
        <f t="shared" si="1"/>
        <v>2664</v>
      </c>
      <c r="H11" s="20">
        <f t="shared" si="0"/>
        <v>2720.8014764039017</v>
      </c>
      <c r="I11" s="21">
        <v>2721</v>
      </c>
    </row>
    <row r="12" spans="1:14" x14ac:dyDescent="0.25">
      <c r="A12" s="9"/>
      <c r="B12" s="17">
        <v>7</v>
      </c>
      <c r="C12" s="22" t="s">
        <v>16</v>
      </c>
      <c r="D12" s="23"/>
      <c r="E12" s="20">
        <f>345*2/I2</f>
        <v>454.78513050355917</v>
      </c>
      <c r="F12" s="20">
        <f>ROUND(455*K4,0)</f>
        <v>446</v>
      </c>
      <c r="G12" s="20">
        <f t="shared" si="1"/>
        <v>5352</v>
      </c>
      <c r="H12" s="20">
        <f t="shared" si="0"/>
        <v>5457.4215660427099</v>
      </c>
      <c r="I12" s="21">
        <v>5457</v>
      </c>
    </row>
    <row r="13" spans="1:14" x14ac:dyDescent="0.25">
      <c r="A13" s="9"/>
      <c r="B13" s="17">
        <v>8</v>
      </c>
      <c r="C13" s="22" t="s">
        <v>17</v>
      </c>
      <c r="D13" s="23"/>
      <c r="E13" s="20">
        <f>172*2/I2</f>
        <v>226.73345636699182</v>
      </c>
      <c r="F13" s="20">
        <f>ROUND(227*K4,0)</f>
        <v>222</v>
      </c>
      <c r="G13" s="20">
        <f t="shared" si="1"/>
        <v>2664</v>
      </c>
      <c r="H13" s="20">
        <f t="shared" si="0"/>
        <v>2720.8014764039017</v>
      </c>
      <c r="I13" s="21">
        <v>2721</v>
      </c>
    </row>
    <row r="14" spans="1:14" x14ac:dyDescent="0.25">
      <c r="A14" s="9"/>
      <c r="B14" s="17">
        <v>9</v>
      </c>
      <c r="C14" s="22" t="s">
        <v>18</v>
      </c>
      <c r="D14" s="23"/>
      <c r="E14" s="20">
        <f>259*2/I2</f>
        <v>341.41840232006325</v>
      </c>
      <c r="F14" s="20">
        <f>ROUND(341*K4,0)</f>
        <v>334</v>
      </c>
      <c r="G14" s="20">
        <f t="shared" si="1"/>
        <v>4008</v>
      </c>
      <c r="H14" s="20">
        <f t="shared" si="0"/>
        <v>4097.020827840759</v>
      </c>
      <c r="I14" s="21">
        <v>4097</v>
      </c>
    </row>
    <row r="15" spans="1:14" x14ac:dyDescent="0.25">
      <c r="A15" s="9"/>
      <c r="B15" s="17">
        <v>10</v>
      </c>
      <c r="C15" s="22" t="s">
        <v>19</v>
      </c>
      <c r="D15" s="23"/>
      <c r="E15" s="20">
        <f>259*2/I2</f>
        <v>341.41840232006325</v>
      </c>
      <c r="F15" s="20">
        <f>ROUND(341*K4,0)</f>
        <v>334</v>
      </c>
      <c r="G15" s="20">
        <f t="shared" si="1"/>
        <v>4008</v>
      </c>
      <c r="H15" s="20">
        <f t="shared" si="0"/>
        <v>4097.020827840759</v>
      </c>
      <c r="I15" s="21">
        <v>4097</v>
      </c>
    </row>
    <row r="16" spans="1:14" x14ac:dyDescent="0.25">
      <c r="A16" s="9"/>
      <c r="B16" s="17">
        <v>11</v>
      </c>
      <c r="C16" s="22" t="s">
        <v>20</v>
      </c>
      <c r="D16" s="23"/>
      <c r="E16" s="20">
        <f>259*2/I2</f>
        <v>341.41840232006325</v>
      </c>
      <c r="F16" s="20">
        <f>ROUND(341*K4,0)</f>
        <v>334</v>
      </c>
      <c r="G16" s="20">
        <f t="shared" si="1"/>
        <v>4008</v>
      </c>
      <c r="H16" s="20">
        <f t="shared" si="0"/>
        <v>4097.020827840759</v>
      </c>
      <c r="I16" s="21">
        <v>4097</v>
      </c>
    </row>
    <row r="17" spans="1:14" x14ac:dyDescent="0.25">
      <c r="A17" s="9"/>
      <c r="B17" s="17">
        <v>12</v>
      </c>
      <c r="C17" s="22" t="s">
        <v>21</v>
      </c>
      <c r="D17" s="24"/>
      <c r="E17" s="20">
        <f>259*2/I2</f>
        <v>341.41840232006325</v>
      </c>
      <c r="F17" s="20">
        <f>ROUND(341*K4,0)</f>
        <v>334</v>
      </c>
      <c r="G17" s="20">
        <f t="shared" si="1"/>
        <v>4008</v>
      </c>
      <c r="H17" s="20">
        <f t="shared" si="0"/>
        <v>4097.020827840759</v>
      </c>
      <c r="I17" s="21">
        <v>4097</v>
      </c>
    </row>
    <row r="18" spans="1:14" x14ac:dyDescent="0.25">
      <c r="A18" s="9"/>
      <c r="B18" s="17">
        <v>13</v>
      </c>
      <c r="C18" s="22" t="s">
        <v>22</v>
      </c>
      <c r="D18" s="24"/>
      <c r="E18" s="20">
        <f>259*2/I2</f>
        <v>341.41840232006325</v>
      </c>
      <c r="F18" s="20">
        <f>ROUND(341*K4,0)</f>
        <v>334</v>
      </c>
      <c r="G18" s="20">
        <f t="shared" si="1"/>
        <v>4008</v>
      </c>
      <c r="H18" s="20">
        <f t="shared" si="0"/>
        <v>4097.020827840759</v>
      </c>
      <c r="I18" s="21">
        <v>4097</v>
      </c>
    </row>
    <row r="19" spans="1:14" x14ac:dyDescent="0.25">
      <c r="A19" s="9"/>
      <c r="B19" s="17">
        <v>14</v>
      </c>
      <c r="C19" s="22" t="s">
        <v>23</v>
      </c>
      <c r="D19" s="24"/>
      <c r="E19" s="20">
        <f>345*2/I2</f>
        <v>454.78513050355917</v>
      </c>
      <c r="F19" s="20">
        <f>ROUND(455*K4,0)</f>
        <v>446</v>
      </c>
      <c r="G19" s="20">
        <f t="shared" si="1"/>
        <v>5352</v>
      </c>
      <c r="H19" s="20">
        <f t="shared" si="0"/>
        <v>5457.4215660427099</v>
      </c>
      <c r="I19" s="21">
        <v>5457</v>
      </c>
    </row>
    <row r="20" spans="1:14" x14ac:dyDescent="0.25">
      <c r="A20" s="9"/>
      <c r="B20" s="17">
        <v>15</v>
      </c>
      <c r="C20" s="22" t="s">
        <v>24</v>
      </c>
      <c r="D20" s="24"/>
      <c r="E20" s="20">
        <f>345*2/I2</f>
        <v>454.78513050355917</v>
      </c>
      <c r="F20" s="20">
        <f>ROUND(455*K4,0)</f>
        <v>446</v>
      </c>
      <c r="G20" s="20">
        <f t="shared" si="1"/>
        <v>5352</v>
      </c>
      <c r="H20" s="20">
        <f t="shared" si="0"/>
        <v>5457.4215660427099</v>
      </c>
      <c r="I20" s="21">
        <v>5457</v>
      </c>
    </row>
    <row r="21" spans="1:14" x14ac:dyDescent="0.25">
      <c r="B21" s="23">
        <v>16</v>
      </c>
      <c r="C21" s="22" t="s">
        <v>25</v>
      </c>
      <c r="D21" s="24"/>
      <c r="E21" s="20" t="e">
        <f>259*2/I1</f>
        <v>#DIV/0!</v>
      </c>
      <c r="F21" s="20">
        <f>ROUND(341*K4,0)</f>
        <v>334</v>
      </c>
      <c r="G21" s="20">
        <f t="shared" si="1"/>
        <v>4008</v>
      </c>
      <c r="H21" s="20" t="e">
        <f t="shared" si="0"/>
        <v>#DIV/0!</v>
      </c>
      <c r="I21" s="21">
        <v>4097</v>
      </c>
    </row>
    <row r="22" spans="1:14" x14ac:dyDescent="0.25">
      <c r="A22" s="9"/>
      <c r="B22" s="25">
        <v>17</v>
      </c>
      <c r="C22" s="22" t="s">
        <v>26</v>
      </c>
      <c r="D22" s="24"/>
      <c r="E22" s="20">
        <f>259*2/I2</f>
        <v>341.41840232006325</v>
      </c>
      <c r="F22" s="20">
        <f>ROUND(341*K4,0)</f>
        <v>334</v>
      </c>
      <c r="G22" s="20">
        <f t="shared" si="1"/>
        <v>4008</v>
      </c>
      <c r="H22" s="20">
        <f t="shared" si="0"/>
        <v>4097.020827840759</v>
      </c>
      <c r="I22" s="21">
        <v>4097</v>
      </c>
    </row>
    <row r="23" spans="1:14" ht="15" customHeight="1" x14ac:dyDescent="0.25">
      <c r="B23" s="23"/>
      <c r="C23" s="11" t="s">
        <v>27</v>
      </c>
      <c r="D23" s="10" t="s">
        <v>28</v>
      </c>
      <c r="E23" s="26"/>
      <c r="F23" s="26"/>
      <c r="G23" s="13">
        <f>SUM(G24:G35)</f>
        <v>82776</v>
      </c>
      <c r="H23" s="13">
        <f>SUM(H24:H35)</f>
        <v>84566.306353809647</v>
      </c>
      <c r="I23" s="14">
        <f>SUM(I24:I35)</f>
        <v>84568</v>
      </c>
      <c r="M23" s="15">
        <f>H23/4</f>
        <v>21141.576588452412</v>
      </c>
      <c r="N23" s="16">
        <f>M23*1.18</f>
        <v>24947.060374373843</v>
      </c>
    </row>
    <row r="24" spans="1:14" x14ac:dyDescent="0.25">
      <c r="B24" s="23">
        <v>1</v>
      </c>
      <c r="C24" s="18" t="s">
        <v>10</v>
      </c>
      <c r="D24" s="24"/>
      <c r="E24" s="20">
        <f>172*2/I2</f>
        <v>226.73345636699182</v>
      </c>
      <c r="F24" s="20">
        <f>ROUND(227*K4,0)</f>
        <v>222</v>
      </c>
      <c r="G24" s="27">
        <f t="shared" ref="G24:G35" si="2">F24*2*12</f>
        <v>5328</v>
      </c>
      <c r="H24" s="27">
        <f>E24*2*12</f>
        <v>5441.6029528078034</v>
      </c>
      <c r="I24" s="21">
        <v>5442</v>
      </c>
    </row>
    <row r="25" spans="1:14" x14ac:dyDescent="0.25">
      <c r="B25" s="23">
        <v>2</v>
      </c>
      <c r="C25" s="22" t="s">
        <v>11</v>
      </c>
      <c r="D25" s="24"/>
      <c r="E25" s="20">
        <f>86*2/I2</f>
        <v>113.36672818349591</v>
      </c>
      <c r="F25" s="20">
        <f>ROUND(113*K4,0)</f>
        <v>111</v>
      </c>
      <c r="G25" s="27">
        <f t="shared" si="2"/>
        <v>2664</v>
      </c>
      <c r="H25" s="27">
        <f t="shared" ref="H25:H35" si="3">E25*2*12</f>
        <v>2720.8014764039017</v>
      </c>
      <c r="I25" s="21">
        <v>2721</v>
      </c>
    </row>
    <row r="26" spans="1:14" x14ac:dyDescent="0.25">
      <c r="B26" s="23">
        <v>3</v>
      </c>
      <c r="C26" s="22" t="s">
        <v>15</v>
      </c>
      <c r="D26" s="24"/>
      <c r="E26" s="20">
        <f>172*2/I2</f>
        <v>226.73345636699182</v>
      </c>
      <c r="F26" s="20">
        <f>ROUND(227*K4,0)</f>
        <v>222</v>
      </c>
      <c r="G26" s="27">
        <f t="shared" si="2"/>
        <v>5328</v>
      </c>
      <c r="H26" s="27">
        <f t="shared" si="3"/>
        <v>5441.6029528078034</v>
      </c>
      <c r="I26" s="21">
        <v>5442</v>
      </c>
    </row>
    <row r="27" spans="1:14" x14ac:dyDescent="0.25">
      <c r="B27" s="23">
        <v>4</v>
      </c>
      <c r="C27" s="22" t="s">
        <v>16</v>
      </c>
      <c r="D27" s="24"/>
      <c r="E27" s="20">
        <f>259*2/I2</f>
        <v>341.41840232006325</v>
      </c>
      <c r="F27" s="20">
        <f>ROUND(341*K4,0)</f>
        <v>334</v>
      </c>
      <c r="G27" s="27">
        <f t="shared" si="2"/>
        <v>8016</v>
      </c>
      <c r="H27" s="27">
        <f t="shared" si="3"/>
        <v>8194.041655681518</v>
      </c>
      <c r="I27" s="21">
        <v>8194</v>
      </c>
    </row>
    <row r="28" spans="1:14" x14ac:dyDescent="0.25">
      <c r="B28" s="23">
        <v>5</v>
      </c>
      <c r="C28" s="22" t="s">
        <v>18</v>
      </c>
      <c r="D28" s="24"/>
      <c r="E28" s="20">
        <f>259*2/I2</f>
        <v>341.41840232006325</v>
      </c>
      <c r="F28" s="20">
        <f>ROUND(341*K4,0)</f>
        <v>334</v>
      </c>
      <c r="G28" s="27">
        <f t="shared" si="2"/>
        <v>8016</v>
      </c>
      <c r="H28" s="27">
        <f t="shared" si="3"/>
        <v>8194.041655681518</v>
      </c>
      <c r="I28" s="21">
        <v>8194</v>
      </c>
    </row>
    <row r="29" spans="1:14" x14ac:dyDescent="0.25">
      <c r="B29" s="23">
        <v>6</v>
      </c>
      <c r="C29" s="18" t="s">
        <v>19</v>
      </c>
      <c r="D29" s="23"/>
      <c r="E29" s="20">
        <f>172*2/I2</f>
        <v>226.73345636699182</v>
      </c>
      <c r="F29" s="20">
        <f>ROUND(227*K4,0)</f>
        <v>222</v>
      </c>
      <c r="G29" s="27">
        <f t="shared" si="2"/>
        <v>5328</v>
      </c>
      <c r="H29" s="27">
        <f t="shared" si="3"/>
        <v>5441.6029528078034</v>
      </c>
      <c r="I29" s="21">
        <v>5442</v>
      </c>
    </row>
    <row r="30" spans="1:14" x14ac:dyDescent="0.25">
      <c r="B30" s="23">
        <v>7</v>
      </c>
      <c r="C30" s="18" t="s">
        <v>20</v>
      </c>
      <c r="D30" s="23"/>
      <c r="E30" s="20">
        <f>345*2/I2</f>
        <v>454.78513050355917</v>
      </c>
      <c r="F30" s="20">
        <f>ROUND(455*K4,0)</f>
        <v>446</v>
      </c>
      <c r="G30" s="27">
        <f t="shared" si="2"/>
        <v>10704</v>
      </c>
      <c r="H30" s="27">
        <f t="shared" si="3"/>
        <v>10914.84313208542</v>
      </c>
      <c r="I30" s="21">
        <v>10915</v>
      </c>
    </row>
    <row r="31" spans="1:14" x14ac:dyDescent="0.25">
      <c r="B31" s="23">
        <v>8</v>
      </c>
      <c r="C31" s="18" t="s">
        <v>21</v>
      </c>
      <c r="D31" s="23"/>
      <c r="E31" s="20">
        <f>172*2/I2</f>
        <v>226.73345636699182</v>
      </c>
      <c r="F31" s="20">
        <f>ROUND(227*K4,0)</f>
        <v>222</v>
      </c>
      <c r="G31" s="27">
        <f t="shared" si="2"/>
        <v>5328</v>
      </c>
      <c r="H31" s="27">
        <f t="shared" si="3"/>
        <v>5441.6029528078034</v>
      </c>
      <c r="I31" s="21">
        <v>5442</v>
      </c>
    </row>
    <row r="32" spans="1:14" x14ac:dyDescent="0.25">
      <c r="B32" s="23">
        <v>9</v>
      </c>
      <c r="C32" s="18" t="s">
        <v>22</v>
      </c>
      <c r="D32" s="23"/>
      <c r="E32" s="20">
        <f>259*2/I2</f>
        <v>341.41840232006325</v>
      </c>
      <c r="F32" s="20">
        <f>ROUND(341*K4,0)</f>
        <v>334</v>
      </c>
      <c r="G32" s="27">
        <f t="shared" si="2"/>
        <v>8016</v>
      </c>
      <c r="H32" s="27">
        <f t="shared" si="3"/>
        <v>8194.041655681518</v>
      </c>
      <c r="I32" s="21">
        <v>8194</v>
      </c>
    </row>
    <row r="33" spans="2:14" x14ac:dyDescent="0.25">
      <c r="B33" s="23">
        <v>10</v>
      </c>
      <c r="C33" s="18" t="s">
        <v>23</v>
      </c>
      <c r="D33" s="23"/>
      <c r="E33" s="20">
        <f>259*2/I2</f>
        <v>341.41840232006325</v>
      </c>
      <c r="F33" s="20">
        <f>ROUND(341*K4,0)</f>
        <v>334</v>
      </c>
      <c r="G33" s="27">
        <f t="shared" si="2"/>
        <v>8016</v>
      </c>
      <c r="H33" s="27">
        <f t="shared" si="3"/>
        <v>8194.041655681518</v>
      </c>
      <c r="I33" s="21">
        <v>8194</v>
      </c>
    </row>
    <row r="34" spans="2:14" x14ac:dyDescent="0.25">
      <c r="B34" s="23">
        <v>11</v>
      </c>
      <c r="C34" s="18" t="s">
        <v>24</v>
      </c>
      <c r="D34" s="23"/>
      <c r="E34" s="20">
        <f>259*2/I2</f>
        <v>341.41840232006325</v>
      </c>
      <c r="F34" s="20">
        <f>ROUND(341*K4,0)</f>
        <v>334</v>
      </c>
      <c r="G34" s="27">
        <f t="shared" si="2"/>
        <v>8016</v>
      </c>
      <c r="H34" s="27">
        <f t="shared" si="3"/>
        <v>8194.041655681518</v>
      </c>
      <c r="I34" s="21">
        <v>8194</v>
      </c>
    </row>
    <row r="35" spans="2:14" x14ac:dyDescent="0.25">
      <c r="B35" s="23">
        <v>12</v>
      </c>
      <c r="C35" s="28" t="s">
        <v>25</v>
      </c>
      <c r="D35" s="25"/>
      <c r="E35" s="20">
        <f>259*2/I2</f>
        <v>341.41840232006325</v>
      </c>
      <c r="F35" s="20">
        <f>ROUND(341*K4,0)</f>
        <v>334</v>
      </c>
      <c r="G35" s="27">
        <f t="shared" si="2"/>
        <v>8016</v>
      </c>
      <c r="H35" s="27">
        <f t="shared" si="3"/>
        <v>8194.041655681518</v>
      </c>
      <c r="I35" s="21">
        <v>8194</v>
      </c>
    </row>
    <row r="36" spans="2:14" x14ac:dyDescent="0.25">
      <c r="B36" s="29"/>
      <c r="C36" s="30"/>
      <c r="D36" s="31" t="s">
        <v>29</v>
      </c>
      <c r="E36" s="32"/>
      <c r="F36" s="32"/>
      <c r="G36" s="8">
        <f>G5+G23</f>
        <v>146892</v>
      </c>
      <c r="H36" s="33" t="e">
        <f>#REF!+H5+#REF!+H23</f>
        <v>#REF!</v>
      </c>
      <c r="I36" s="34" t="e">
        <f>#REF!+I5+#REF!+I23</f>
        <v>#REF!</v>
      </c>
    </row>
    <row r="37" spans="2:14" x14ac:dyDescent="0.25">
      <c r="B37" s="29"/>
      <c r="C37" s="30"/>
      <c r="D37" s="31" t="s">
        <v>30</v>
      </c>
      <c r="E37" s="32"/>
      <c r="F37" s="32"/>
      <c r="G37" s="8">
        <f>G36*1.2</f>
        <v>176270.4</v>
      </c>
      <c r="H37" s="33" t="e">
        <f>H36*1.18</f>
        <v>#REF!</v>
      </c>
      <c r="I37" s="35" t="e">
        <f>I36*1.18</f>
        <v>#REF!</v>
      </c>
      <c r="K37">
        <f>383480*1.18</f>
        <v>452506.39999999997</v>
      </c>
    </row>
    <row r="38" spans="2:14" x14ac:dyDescent="0.25">
      <c r="D38" s="37"/>
      <c r="J38" s="39"/>
      <c r="L38" s="39"/>
    </row>
    <row r="39" spans="2:14" ht="15.75" x14ac:dyDescent="0.25">
      <c r="B39" s="40" t="s">
        <v>31</v>
      </c>
      <c r="C39" s="40"/>
      <c r="D39" s="40"/>
      <c r="E39" s="40"/>
      <c r="F39" s="40"/>
      <c r="G39" s="40"/>
      <c r="H39" s="40"/>
      <c r="I39" s="41"/>
      <c r="J39" s="39"/>
      <c r="L39" s="39"/>
    </row>
    <row r="41" spans="2:14" ht="30" x14ac:dyDescent="0.25">
      <c r="B41" s="4" t="s">
        <v>1</v>
      </c>
      <c r="C41" s="4" t="s">
        <v>32</v>
      </c>
      <c r="D41" s="4" t="s">
        <v>3</v>
      </c>
      <c r="E41" s="5" t="s">
        <v>4</v>
      </c>
      <c r="F41" s="5" t="s">
        <v>4</v>
      </c>
      <c r="G41" s="5" t="s">
        <v>5</v>
      </c>
      <c r="H41" s="5" t="s">
        <v>5</v>
      </c>
      <c r="I41" s="6"/>
    </row>
    <row r="42" spans="2:14" ht="15" customHeight="1" x14ac:dyDescent="0.25">
      <c r="B42" s="42"/>
      <c r="C42" s="11" t="s">
        <v>33</v>
      </c>
      <c r="D42" s="42" t="s">
        <v>34</v>
      </c>
      <c r="E42" s="43"/>
      <c r="F42" s="43"/>
      <c r="G42" s="43"/>
      <c r="H42" s="43"/>
      <c r="I42" s="6"/>
      <c r="M42" s="44" t="s">
        <v>35</v>
      </c>
      <c r="N42" s="7"/>
    </row>
    <row r="43" spans="2:14" x14ac:dyDescent="0.25">
      <c r="B43" s="23">
        <v>1</v>
      </c>
      <c r="C43" s="18" t="s">
        <v>36</v>
      </c>
      <c r="E43" s="20">
        <f>10150/I2</f>
        <v>6689.9551805958336</v>
      </c>
      <c r="F43" s="20">
        <f>ROUND(6880*K4,0)</f>
        <v>6742</v>
      </c>
      <c r="G43" s="20">
        <f>F43*2</f>
        <v>13484</v>
      </c>
      <c r="H43" s="20">
        <f>E43*2</f>
        <v>13379.910361191667</v>
      </c>
      <c r="I43" s="21">
        <v>13380</v>
      </c>
    </row>
    <row r="44" spans="2:14" x14ac:dyDescent="0.25">
      <c r="B44" s="23">
        <v>2</v>
      </c>
      <c r="C44" s="18" t="s">
        <v>37</v>
      </c>
      <c r="D44" s="23"/>
      <c r="E44" s="20">
        <f>10150/I2</f>
        <v>6689.9551805958336</v>
      </c>
      <c r="F44" s="20">
        <f>ROUND(6880*K4,0)</f>
        <v>6742</v>
      </c>
      <c r="G44" s="20">
        <f t="shared" ref="G44:G46" si="4">F44*2</f>
        <v>13484</v>
      </c>
      <c r="H44" s="20">
        <f t="shared" ref="H44:H47" si="5">E44*2</f>
        <v>13379.910361191667</v>
      </c>
      <c r="I44" s="21">
        <v>13380</v>
      </c>
    </row>
    <row r="45" spans="2:14" x14ac:dyDescent="0.25">
      <c r="B45" s="23">
        <v>3</v>
      </c>
      <c r="C45" s="18" t="s">
        <v>38</v>
      </c>
      <c r="D45" s="23"/>
      <c r="E45" s="20">
        <f>885*2/I2</f>
        <v>1166.6227260743474</v>
      </c>
      <c r="F45" s="20">
        <f>ROUND(1167*K4,0)</f>
        <v>1144</v>
      </c>
      <c r="G45" s="20">
        <f t="shared" si="4"/>
        <v>2288</v>
      </c>
      <c r="H45" s="20">
        <f t="shared" si="5"/>
        <v>2333.2454521486948</v>
      </c>
      <c r="I45" s="21">
        <v>2333</v>
      </c>
    </row>
    <row r="46" spans="2:14" x14ac:dyDescent="0.25">
      <c r="B46" s="23">
        <v>4</v>
      </c>
      <c r="C46" s="18" t="s">
        <v>39</v>
      </c>
      <c r="D46" s="23"/>
      <c r="E46" s="20">
        <f>(885+26260)/I2</f>
        <v>17891.510677563932</v>
      </c>
      <c r="F46" s="20">
        <f>ROUND(17892*K4,0)</f>
        <v>17534</v>
      </c>
      <c r="G46" s="20">
        <f t="shared" si="4"/>
        <v>35068</v>
      </c>
      <c r="H46" s="20">
        <f t="shared" si="5"/>
        <v>35783.021355127865</v>
      </c>
      <c r="I46" s="21">
        <v>35783</v>
      </c>
    </row>
    <row r="47" spans="2:14" x14ac:dyDescent="0.25">
      <c r="B47" s="23">
        <v>5</v>
      </c>
      <c r="C47" s="28" t="s">
        <v>40</v>
      </c>
      <c r="D47" s="25"/>
      <c r="E47" s="45">
        <f>1234/I2</f>
        <v>813.34036382810439</v>
      </c>
      <c r="F47" s="20">
        <f>ROUND(813*K4,0)</f>
        <v>797</v>
      </c>
      <c r="G47" s="20">
        <f>F47*2</f>
        <v>1594</v>
      </c>
      <c r="H47" s="20">
        <f t="shared" si="5"/>
        <v>1626.6807276562088</v>
      </c>
      <c r="I47" s="21">
        <v>1627</v>
      </c>
    </row>
    <row r="48" spans="2:14" x14ac:dyDescent="0.25">
      <c r="B48" s="29"/>
      <c r="C48" s="30"/>
      <c r="D48" s="31" t="s">
        <v>29</v>
      </c>
      <c r="E48" s="46"/>
      <c r="F48" s="46"/>
      <c r="G48" s="8">
        <f>SUM(G43:G47)</f>
        <v>65918</v>
      </c>
      <c r="H48" s="33">
        <f>SUM(H43:H47)</f>
        <v>66502.7682573161</v>
      </c>
      <c r="I48" s="34">
        <f>SUM(I43:I47)</f>
        <v>66503</v>
      </c>
      <c r="M48" s="3">
        <f>H48/4</f>
        <v>16625.692064329025</v>
      </c>
      <c r="N48" s="47">
        <f>M48*1.18</f>
        <v>19618.31663590825</v>
      </c>
    </row>
    <row r="49" spans="1:15" x14ac:dyDescent="0.25">
      <c r="B49" s="29"/>
      <c r="C49" s="30"/>
      <c r="D49" s="37" t="s">
        <v>30</v>
      </c>
      <c r="E49" s="46"/>
      <c r="F49" s="46"/>
      <c r="G49" s="8">
        <f>G48*1.2</f>
        <v>79101.599999999991</v>
      </c>
      <c r="H49" s="33">
        <f>H48*1.18</f>
        <v>78473.266543632999</v>
      </c>
      <c r="I49" s="35">
        <f>I48*1.18</f>
        <v>78473.539999999994</v>
      </c>
      <c r="K49">
        <f>80032*1.18</f>
        <v>94437.759999999995</v>
      </c>
      <c r="M49" s="3" t="e">
        <f>M48+#REF!+M23+M5+#REF!</f>
        <v>#REF!</v>
      </c>
      <c r="N49" s="47" t="e">
        <f>N48+#REF!+N23+N5+#REF!</f>
        <v>#REF!</v>
      </c>
      <c r="O49" t="s">
        <v>41</v>
      </c>
    </row>
    <row r="50" spans="1:15" x14ac:dyDescent="0.25">
      <c r="B50" s="29"/>
      <c r="C50" s="30"/>
      <c r="D50" s="31" t="s">
        <v>42</v>
      </c>
      <c r="E50" s="46"/>
      <c r="F50" s="46"/>
      <c r="G50" s="8">
        <f>G37+G49</f>
        <v>255372</v>
      </c>
      <c r="H50" s="33" t="e">
        <f>H37+H49</f>
        <v>#REF!</v>
      </c>
      <c r="I50" s="35" t="e">
        <f>I37+I49</f>
        <v>#REF!</v>
      </c>
      <c r="K50">
        <f>K49+K37</f>
        <v>546944.15999999992</v>
      </c>
      <c r="N50" s="48" t="e">
        <f>N49*4</f>
        <v>#REF!</v>
      </c>
      <c r="O50" t="s">
        <v>43</v>
      </c>
    </row>
    <row r="51" spans="1:15" x14ac:dyDescent="0.25">
      <c r="E51" s="38" t="s">
        <v>41</v>
      </c>
      <c r="H51" s="49" t="e">
        <f>H50/4</f>
        <v>#REF!</v>
      </c>
    </row>
    <row r="52" spans="1:15" x14ac:dyDescent="0.25">
      <c r="H52" s="50">
        <v>33271</v>
      </c>
      <c r="I52" s="50">
        <v>33271</v>
      </c>
    </row>
    <row r="53" spans="1:15" x14ac:dyDescent="0.25">
      <c r="H53" s="49" t="e">
        <f>H36+H48+H52</f>
        <v>#REF!</v>
      </c>
      <c r="I53" s="50" t="e">
        <f>I36+I48+H52</f>
        <v>#REF!</v>
      </c>
    </row>
    <row r="54" spans="1:15" ht="15.75" x14ac:dyDescent="0.25">
      <c r="G54" s="51" t="s">
        <v>29</v>
      </c>
    </row>
    <row r="55" spans="1:15" x14ac:dyDescent="0.25">
      <c r="E55" s="49"/>
      <c r="F55" s="49"/>
      <c r="G55" s="49">
        <f>G36+G48</f>
        <v>212810</v>
      </c>
      <c r="H55" s="49">
        <f>499504+102038</f>
        <v>601542</v>
      </c>
      <c r="J55" t="s">
        <v>44</v>
      </c>
      <c r="L55" s="3"/>
    </row>
    <row r="56" spans="1:15" x14ac:dyDescent="0.25">
      <c r="E56" s="49"/>
      <c r="F56" s="49"/>
      <c r="G56" s="49">
        <f>'[1]Воздух 2020'!N51</f>
        <v>32842</v>
      </c>
      <c r="H56" s="52">
        <v>50848</v>
      </c>
      <c r="J56" t="s">
        <v>45</v>
      </c>
    </row>
    <row r="57" spans="1:15" x14ac:dyDescent="0.25">
      <c r="E57" s="49">
        <v>430000</v>
      </c>
      <c r="F57" s="49">
        <f>1.2*G57</f>
        <v>294782.39999999997</v>
      </c>
      <c r="G57" s="50">
        <f>G55+G56</f>
        <v>245652</v>
      </c>
      <c r="H57" s="49">
        <f>SUM(H55:H56)</f>
        <v>652390</v>
      </c>
      <c r="J57" t="s">
        <v>46</v>
      </c>
    </row>
    <row r="58" spans="1:15" x14ac:dyDescent="0.25">
      <c r="E58" s="49"/>
      <c r="F58" s="49"/>
      <c r="G58" s="49"/>
      <c r="H58" s="49">
        <f>H57/1.517</f>
        <v>430052.73566249176</v>
      </c>
    </row>
    <row r="59" spans="1:15" x14ac:dyDescent="0.25">
      <c r="G59" s="120">
        <f>'[1]Воздух 2022'!O20</f>
        <v>7383.5999999999995</v>
      </c>
      <c r="J59" t="s">
        <v>47</v>
      </c>
    </row>
    <row r="60" spans="1:15" x14ac:dyDescent="0.25">
      <c r="G60" s="120">
        <f>G50</f>
        <v>255372</v>
      </c>
      <c r="J60" t="s">
        <v>48</v>
      </c>
    </row>
    <row r="61" spans="1:15" s="3" customFormat="1" ht="15.75" x14ac:dyDescent="0.25">
      <c r="A61"/>
      <c r="B61" s="19"/>
      <c r="C61" s="36"/>
      <c r="D61" s="19"/>
      <c r="E61" s="38"/>
      <c r="F61" s="38"/>
      <c r="G61" s="53">
        <f>SUM(G59:G60)</f>
        <v>262755.59999999998</v>
      </c>
      <c r="H61" s="38"/>
      <c r="I61" s="38"/>
      <c r="J61" t="s">
        <v>49</v>
      </c>
      <c r="K61"/>
      <c r="L61"/>
      <c r="N61"/>
      <c r="O61"/>
    </row>
    <row r="62" spans="1:15" s="3" customFormat="1" x14ac:dyDescent="0.25">
      <c r="A62"/>
      <c r="B62" s="19"/>
      <c r="C62" s="36"/>
      <c r="D62" s="19"/>
      <c r="E62" s="38"/>
      <c r="F62" s="38"/>
      <c r="G62" s="54">
        <f>G61/4</f>
        <v>65688.899999999994</v>
      </c>
      <c r="H62" s="38"/>
      <c r="I62" s="38"/>
      <c r="J62" s="55" t="s">
        <v>41</v>
      </c>
      <c r="K62"/>
      <c r="L62"/>
      <c r="N62"/>
      <c r="O62"/>
    </row>
    <row r="63" spans="1:15" s="3" customFormat="1" ht="18.75" x14ac:dyDescent="0.3">
      <c r="A63"/>
      <c r="B63" s="19"/>
      <c r="C63" s="56" t="s">
        <v>50</v>
      </c>
      <c r="D63" s="57" t="s">
        <v>51</v>
      </c>
      <c r="E63" s="58"/>
      <c r="F63" s="58"/>
      <c r="G63" s="118">
        <v>300000</v>
      </c>
      <c r="H63" s="118"/>
      <c r="I63" s="118"/>
      <c r="J63" s="119" t="s">
        <v>96</v>
      </c>
      <c r="K63" s="119"/>
      <c r="L63"/>
      <c r="N63"/>
      <c r="O63"/>
    </row>
    <row r="64" spans="1:15" s="3" customFormat="1" ht="16.5" customHeight="1" x14ac:dyDescent="0.25">
      <c r="A64"/>
      <c r="B64" s="19"/>
      <c r="C64" s="59" t="s">
        <v>52</v>
      </c>
      <c r="D64" s="31" t="s">
        <v>53</v>
      </c>
      <c r="E64" s="58"/>
      <c r="F64" s="58"/>
      <c r="G64" s="58"/>
      <c r="H64" s="58"/>
      <c r="I64" s="58"/>
      <c r="J64"/>
      <c r="K64"/>
      <c r="L64"/>
      <c r="N64"/>
      <c r="O64"/>
    </row>
    <row r="65" spans="1:15" s="3" customFormat="1" x14ac:dyDescent="0.25">
      <c r="A65"/>
      <c r="B65" s="19"/>
      <c r="C65" s="36"/>
      <c r="D65" s="19"/>
      <c r="E65" s="38"/>
      <c r="F65" s="38"/>
      <c r="G65" s="38"/>
      <c r="H65" s="38"/>
      <c r="I65" s="38"/>
      <c r="J65"/>
      <c r="K65"/>
      <c r="L65"/>
      <c r="N65"/>
      <c r="O65"/>
    </row>
  </sheetData>
  <mergeCells count="2">
    <mergeCell ref="B2:H2"/>
    <mergeCell ref="B39:H39"/>
  </mergeCells>
  <pageMargins left="0" right="0" top="0" bottom="0" header="0.31496062992125984" footer="0.31496062992125984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0ED7-057A-4003-9227-8F2DB68D0C6F}">
  <dimension ref="A1:P17"/>
  <sheetViews>
    <sheetView zoomScale="130" zoomScaleNormal="130" workbookViewId="0">
      <selection activeCell="N16" sqref="N16:O16"/>
    </sheetView>
  </sheetViews>
  <sheetFormatPr defaultRowHeight="15" x14ac:dyDescent="0.25"/>
  <cols>
    <col min="1" max="1" width="4.7109375" style="108" customWidth="1"/>
    <col min="2" max="2" width="10.140625" hidden="1" customWidth="1"/>
    <col min="3" max="3" width="17.5703125" customWidth="1"/>
    <col min="4" max="4" width="13.5703125" customWidth="1"/>
    <col min="6" max="6" width="9.28515625" style="112" hidden="1" customWidth="1"/>
    <col min="7" max="13" width="0" hidden="1" customWidth="1"/>
    <col min="14" max="14" width="13.5703125" style="117" customWidth="1"/>
    <col min="15" max="15" width="12.5703125" bestFit="1" customWidth="1"/>
    <col min="16" max="16" width="9.28515625" bestFit="1" customWidth="1"/>
  </cols>
  <sheetData>
    <row r="1" spans="1:16" ht="39" thickBot="1" x14ac:dyDescent="0.3">
      <c r="A1" s="60" t="s">
        <v>54</v>
      </c>
      <c r="B1" s="61"/>
      <c r="C1" s="62" t="s">
        <v>55</v>
      </c>
      <c r="D1" s="62" t="s">
        <v>56</v>
      </c>
      <c r="E1" s="63" t="s">
        <v>57</v>
      </c>
      <c r="F1" s="64" t="s">
        <v>58</v>
      </c>
      <c r="G1" s="65"/>
      <c r="H1" s="66"/>
      <c r="I1" s="67"/>
      <c r="J1" s="65"/>
      <c r="K1" s="66"/>
      <c r="L1" s="67"/>
      <c r="M1" s="61"/>
      <c r="N1" s="62" t="s">
        <v>59</v>
      </c>
    </row>
    <row r="2" spans="1:16" ht="15" customHeight="1" thickBot="1" x14ac:dyDescent="0.3">
      <c r="A2" s="68"/>
      <c r="B2" s="61"/>
      <c r="C2" s="69"/>
      <c r="D2" s="69"/>
      <c r="E2" s="70"/>
      <c r="F2" s="71" t="s">
        <v>60</v>
      </c>
      <c r="G2" s="72" t="s">
        <v>61</v>
      </c>
      <c r="H2" s="72" t="s">
        <v>62</v>
      </c>
      <c r="I2" s="72" t="s">
        <v>63</v>
      </c>
      <c r="J2" s="72" t="s">
        <v>61</v>
      </c>
      <c r="K2" s="72" t="s">
        <v>62</v>
      </c>
      <c r="L2" s="72" t="s">
        <v>63</v>
      </c>
      <c r="M2" s="61"/>
      <c r="N2" s="69"/>
    </row>
    <row r="3" spans="1:16" ht="14.25" customHeight="1" thickBot="1" x14ac:dyDescent="0.3">
      <c r="A3" s="86" t="s">
        <v>66</v>
      </c>
      <c r="B3" s="87"/>
      <c r="C3" s="87"/>
      <c r="D3" s="87"/>
      <c r="E3" s="88"/>
      <c r="F3" s="73"/>
      <c r="G3" s="74"/>
      <c r="H3" s="74"/>
      <c r="I3" s="80"/>
      <c r="J3" s="74"/>
      <c r="K3" s="74"/>
      <c r="L3" s="74"/>
      <c r="M3" s="83"/>
      <c r="N3" s="81"/>
    </row>
    <row r="4" spans="1:16" ht="22.5" customHeight="1" thickBot="1" x14ac:dyDescent="0.3">
      <c r="A4" s="82">
        <v>6</v>
      </c>
      <c r="B4" s="75">
        <v>6004</v>
      </c>
      <c r="C4" s="80" t="s">
        <v>67</v>
      </c>
      <c r="D4" s="77" t="s">
        <v>68</v>
      </c>
      <c r="E4" s="78" t="s">
        <v>64</v>
      </c>
      <c r="F4" s="73">
        <v>948</v>
      </c>
      <c r="G4" s="80" t="s">
        <v>69</v>
      </c>
      <c r="H4" s="80" t="s">
        <v>70</v>
      </c>
      <c r="I4" s="80" t="s">
        <v>71</v>
      </c>
      <c r="J4" s="74">
        <v>948</v>
      </c>
      <c r="K4" s="74"/>
      <c r="L4" s="74"/>
      <c r="M4" s="83"/>
      <c r="N4" s="81">
        <v>879</v>
      </c>
    </row>
    <row r="5" spans="1:16" ht="22.5" customHeight="1" thickBot="1" x14ac:dyDescent="0.3">
      <c r="A5" s="84">
        <v>7</v>
      </c>
      <c r="B5" s="75">
        <v>6005</v>
      </c>
      <c r="C5" s="80" t="s">
        <v>72</v>
      </c>
      <c r="D5" s="77" t="s">
        <v>68</v>
      </c>
      <c r="E5" s="78" t="s">
        <v>64</v>
      </c>
      <c r="F5" s="73">
        <v>948</v>
      </c>
      <c r="G5" s="79" t="s">
        <v>69</v>
      </c>
      <c r="H5" s="79" t="s">
        <v>73</v>
      </c>
      <c r="I5" s="80" t="s">
        <v>74</v>
      </c>
      <c r="J5" s="74"/>
      <c r="K5" s="74"/>
      <c r="L5" s="74"/>
      <c r="M5" s="83"/>
      <c r="N5" s="81">
        <v>879</v>
      </c>
    </row>
    <row r="6" spans="1:16" ht="21" customHeight="1" thickBot="1" x14ac:dyDescent="0.3">
      <c r="A6" s="82">
        <v>8</v>
      </c>
      <c r="B6" s="75"/>
      <c r="C6" s="80"/>
      <c r="D6" s="77" t="s">
        <v>75</v>
      </c>
      <c r="E6" s="78" t="s">
        <v>64</v>
      </c>
      <c r="F6" s="73">
        <v>948</v>
      </c>
      <c r="G6" s="79" t="s">
        <v>76</v>
      </c>
      <c r="H6" s="79" t="s">
        <v>77</v>
      </c>
      <c r="I6" s="80" t="s">
        <v>78</v>
      </c>
      <c r="J6" s="74">
        <v>948</v>
      </c>
      <c r="K6" s="74"/>
      <c r="L6" s="74"/>
      <c r="M6" s="83"/>
      <c r="N6" s="81">
        <v>879</v>
      </c>
    </row>
    <row r="7" spans="1:16" ht="22.5" customHeight="1" thickBot="1" x14ac:dyDescent="0.3">
      <c r="A7" s="84">
        <v>9</v>
      </c>
      <c r="B7" s="75">
        <v>6006</v>
      </c>
      <c r="C7" s="80" t="s">
        <v>79</v>
      </c>
      <c r="D7" s="77" t="s">
        <v>68</v>
      </c>
      <c r="E7" s="78" t="s">
        <v>64</v>
      </c>
      <c r="F7" s="73">
        <v>948</v>
      </c>
      <c r="G7" s="80" t="s">
        <v>69</v>
      </c>
      <c r="H7" s="80" t="s">
        <v>80</v>
      </c>
      <c r="I7" s="80" t="s">
        <v>81</v>
      </c>
      <c r="J7" s="74"/>
      <c r="K7" s="74"/>
      <c r="L7" s="74"/>
      <c r="M7" s="83"/>
      <c r="N7" s="81">
        <v>879</v>
      </c>
    </row>
    <row r="8" spans="1:16" ht="21" customHeight="1" thickBot="1" x14ac:dyDescent="0.3">
      <c r="A8" s="82">
        <v>10</v>
      </c>
      <c r="B8" s="75">
        <v>6007</v>
      </c>
      <c r="C8" s="80" t="s">
        <v>82</v>
      </c>
      <c r="D8" s="77" t="s">
        <v>68</v>
      </c>
      <c r="E8" s="78" t="s">
        <v>64</v>
      </c>
      <c r="F8" s="73">
        <v>948</v>
      </c>
      <c r="G8" s="80" t="s">
        <v>69</v>
      </c>
      <c r="H8" s="80" t="s">
        <v>83</v>
      </c>
      <c r="I8" s="80" t="s">
        <v>84</v>
      </c>
      <c r="J8" s="74"/>
      <c r="K8" s="74"/>
      <c r="L8" s="74"/>
      <c r="M8" s="83"/>
      <c r="N8" s="81">
        <v>879</v>
      </c>
    </row>
    <row r="9" spans="1:16" ht="21.75" customHeight="1" thickBot="1" x14ac:dyDescent="0.3">
      <c r="A9" s="84">
        <v>11</v>
      </c>
      <c r="B9" s="75">
        <v>6010</v>
      </c>
      <c r="C9" s="80" t="s">
        <v>85</v>
      </c>
      <c r="D9" s="77" t="s">
        <v>68</v>
      </c>
      <c r="E9" s="78" t="s">
        <v>64</v>
      </c>
      <c r="F9" s="73">
        <v>948</v>
      </c>
      <c r="G9" s="80" t="s">
        <v>69</v>
      </c>
      <c r="H9" s="80" t="s">
        <v>86</v>
      </c>
      <c r="I9" s="80" t="s">
        <v>87</v>
      </c>
      <c r="J9" s="74"/>
      <c r="K9" s="74"/>
      <c r="L9" s="74"/>
      <c r="M9" s="83"/>
      <c r="N9" s="81">
        <v>879</v>
      </c>
    </row>
    <row r="10" spans="1:16" ht="13.5" customHeight="1" thickBot="1" x14ac:dyDescent="0.3">
      <c r="A10" s="89" t="s">
        <v>88</v>
      </c>
      <c r="B10" s="90"/>
      <c r="C10" s="90"/>
      <c r="D10" s="90"/>
      <c r="E10" s="91"/>
      <c r="F10" s="73"/>
      <c r="G10" s="74"/>
      <c r="H10" s="74"/>
      <c r="I10" s="80"/>
      <c r="J10" s="74"/>
      <c r="K10" s="74"/>
      <c r="L10" s="74"/>
      <c r="M10" s="83"/>
      <c r="N10" s="81"/>
    </row>
    <row r="11" spans="1:16" ht="25.5" customHeight="1" thickBot="1" x14ac:dyDescent="0.3">
      <c r="A11" s="85">
        <v>38</v>
      </c>
      <c r="B11" s="92">
        <v>6060</v>
      </c>
      <c r="C11" s="80" t="s">
        <v>89</v>
      </c>
      <c r="D11" s="76" t="s">
        <v>65</v>
      </c>
      <c r="E11" s="93" t="s">
        <v>64</v>
      </c>
      <c r="F11" s="73">
        <v>948</v>
      </c>
      <c r="G11" s="79" t="s">
        <v>90</v>
      </c>
      <c r="H11" s="80" t="s">
        <v>91</v>
      </c>
      <c r="I11" s="80" t="s">
        <v>92</v>
      </c>
      <c r="J11" s="74"/>
      <c r="K11" s="74"/>
      <c r="L11" s="74"/>
      <c r="M11" s="94"/>
      <c r="N11" s="81">
        <v>879</v>
      </c>
    </row>
    <row r="12" spans="1:16" ht="15" customHeight="1" thickBot="1" x14ac:dyDescent="0.3">
      <c r="A12" s="95"/>
      <c r="B12" s="96"/>
      <c r="C12" s="90" t="s">
        <v>93</v>
      </c>
      <c r="D12" s="90"/>
      <c r="E12" s="91"/>
      <c r="F12" s="97"/>
      <c r="G12" s="98"/>
      <c r="H12" s="99"/>
      <c r="I12" s="99"/>
      <c r="J12" s="100"/>
      <c r="K12" s="100"/>
      <c r="L12" s="100"/>
      <c r="M12" s="100"/>
      <c r="N12" s="101">
        <f>SUM(N4:N11)</f>
        <v>6153</v>
      </c>
    </row>
    <row r="13" spans="1:16" ht="15" hidden="1" customHeight="1" thickBot="1" x14ac:dyDescent="0.3">
      <c r="A13" s="95"/>
      <c r="B13" s="102"/>
      <c r="C13" s="90" t="s">
        <v>94</v>
      </c>
      <c r="D13" s="90"/>
      <c r="E13" s="91"/>
      <c r="F13" s="103">
        <f>F14*1.18</f>
        <v>7830.48</v>
      </c>
      <c r="G13" s="104"/>
      <c r="H13" s="104"/>
      <c r="I13" s="104"/>
      <c r="J13" s="104"/>
      <c r="K13" s="104"/>
      <c r="L13" s="104"/>
      <c r="M13" s="104"/>
      <c r="N13" s="101">
        <f>N14-N12</f>
        <v>1230.6000000000004</v>
      </c>
    </row>
    <row r="14" spans="1:16" ht="15.75" thickBot="1" x14ac:dyDescent="0.3">
      <c r="A14" s="95"/>
      <c r="B14" s="102"/>
      <c r="C14" s="90" t="s">
        <v>95</v>
      </c>
      <c r="D14" s="90"/>
      <c r="E14" s="91"/>
      <c r="F14" s="105">
        <f>SUM(F3:F11)</f>
        <v>6636</v>
      </c>
      <c r="G14" s="105"/>
      <c r="H14" s="105"/>
      <c r="I14" s="105"/>
      <c r="J14" s="105"/>
      <c r="K14" s="105"/>
      <c r="L14" s="105"/>
      <c r="M14" s="105"/>
      <c r="N14" s="106">
        <f>ROUND(N12*1.2,2)</f>
        <v>7383.6</v>
      </c>
      <c r="O14" s="107"/>
      <c r="P14" s="48"/>
    </row>
    <row r="15" spans="1:16" ht="9" customHeight="1" x14ac:dyDescent="0.25">
      <c r="C15" s="109"/>
      <c r="D15" s="109"/>
      <c r="E15" s="109"/>
      <c r="F15" s="105"/>
      <c r="G15" s="105"/>
      <c r="H15" s="105"/>
      <c r="I15" s="105"/>
      <c r="J15" s="105"/>
      <c r="K15" s="105"/>
      <c r="L15" s="105"/>
      <c r="M15" s="105"/>
      <c r="N15" s="110"/>
      <c r="O15" s="111"/>
    </row>
    <row r="16" spans="1:16" x14ac:dyDescent="0.25">
      <c r="N16" s="113"/>
      <c r="O16" s="114"/>
    </row>
    <row r="17" spans="6:13" x14ac:dyDescent="0.25">
      <c r="F17" s="115">
        <f>F13-F14</f>
        <v>1194.4799999999996</v>
      </c>
      <c r="G17" s="116"/>
      <c r="H17" s="116"/>
      <c r="I17" s="116"/>
      <c r="J17" s="116"/>
      <c r="K17" s="116"/>
      <c r="L17" s="116"/>
      <c r="M17" s="116"/>
    </row>
  </sheetData>
  <mergeCells count="15">
    <mergeCell ref="A10:E10"/>
    <mergeCell ref="M10:M11"/>
    <mergeCell ref="C12:E12"/>
    <mergeCell ref="C13:E13"/>
    <mergeCell ref="C14:E14"/>
    <mergeCell ref="M1:M2"/>
    <mergeCell ref="N1:N2"/>
    <mergeCell ref="M3:M9"/>
    <mergeCell ref="A3:E3"/>
    <mergeCell ref="A1:A2"/>
    <mergeCell ref="B1:B2"/>
    <mergeCell ref="C1:C2"/>
    <mergeCell ref="D1:D2"/>
    <mergeCell ref="G1:I1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2022</vt:lpstr>
      <vt:lpstr>Воздух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2022-03-03T12:52:59Z</dcterms:created>
  <dcterms:modified xsi:type="dcterms:W3CDTF">2022-03-03T12:56:52Z</dcterms:modified>
</cp:coreProperties>
</file>