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0" windowHeight="1185" activeTab="1"/>
  </bookViews>
  <sheets>
    <sheet name="Смета 12 гр. ТЕР МО" sheetId="5" r:id="rId1"/>
    <sheet name="Дефектная ведомость" sheetId="6" r:id="rId2"/>
    <sheet name="Source" sheetId="1" state="hidden" r:id="rId3"/>
    <sheet name="SourceObSm" sheetId="2" state="hidden" r:id="rId4"/>
    <sheet name="SmtRes" sheetId="3" state="hidden" r:id="rId5"/>
    <sheet name="EtalonRes" sheetId="4" state="hidden" r:id="rId6"/>
  </sheets>
  <definedNames>
    <definedName name="_xlnm.Print_Titles" localSheetId="1">'Дефектная ведомость'!$9:$9</definedName>
    <definedName name="_xlnm.Print_Titles" localSheetId="0">'Смета 12 гр. ТЕР МО'!$40:$40</definedName>
    <definedName name="_xlnm.Print_Area" localSheetId="1">'Дефектная ведомость'!$A$1:$E$72</definedName>
    <definedName name="_xlnm.Print_Area" localSheetId="0">'Смета 12 гр. ТЕР МО'!$A$1:$L$406</definedName>
  </definedNames>
  <calcPr calcId="125725"/>
</workbook>
</file>

<file path=xl/calcChain.xml><?xml version="1.0" encoding="utf-8"?>
<calcChain xmlns="http://schemas.openxmlformats.org/spreadsheetml/2006/main">
  <c r="D67" i="6"/>
  <c r="C67"/>
  <c r="B67"/>
  <c r="D66"/>
  <c r="C66"/>
  <c r="B66"/>
  <c r="D65"/>
  <c r="C65"/>
  <c r="B65"/>
  <c r="D64"/>
  <c r="C64"/>
  <c r="B64"/>
  <c r="D63"/>
  <c r="C63"/>
  <c r="B63"/>
  <c r="D62"/>
  <c r="C62"/>
  <c r="B62"/>
  <c r="D61"/>
  <c r="C61"/>
  <c r="B61"/>
  <c r="D60"/>
  <c r="C60"/>
  <c r="B60"/>
  <c r="D59"/>
  <c r="C59"/>
  <c r="B59"/>
  <c r="A58"/>
  <c r="D57"/>
  <c r="C57"/>
  <c r="B57"/>
  <c r="D56"/>
  <c r="C56"/>
  <c r="B56"/>
  <c r="D55"/>
  <c r="C55"/>
  <c r="B55"/>
  <c r="D54"/>
  <c r="C54"/>
  <c r="B54"/>
  <c r="D53"/>
  <c r="C53"/>
  <c r="B53"/>
  <c r="D52"/>
  <c r="C52"/>
  <c r="B52"/>
  <c r="D51"/>
  <c r="C51"/>
  <c r="B51"/>
  <c r="D50"/>
  <c r="C50"/>
  <c r="B50"/>
  <c r="D49"/>
  <c r="C49"/>
  <c r="B49"/>
  <c r="D48"/>
  <c r="C48"/>
  <c r="B48"/>
  <c r="D47"/>
  <c r="C47"/>
  <c r="B47"/>
  <c r="D46"/>
  <c r="C46"/>
  <c r="B46"/>
  <c r="D45"/>
  <c r="C45"/>
  <c r="B45"/>
  <c r="D44"/>
  <c r="C44"/>
  <c r="B44"/>
  <c r="D43"/>
  <c r="C43"/>
  <c r="B43"/>
  <c r="D42"/>
  <c r="C42"/>
  <c r="B42"/>
  <c r="A41"/>
  <c r="D40"/>
  <c r="C40"/>
  <c r="B40"/>
  <c r="D39"/>
  <c r="C39"/>
  <c r="B39"/>
  <c r="D38"/>
  <c r="C38"/>
  <c r="B38"/>
  <c r="A37"/>
  <c r="D36"/>
  <c r="C36"/>
  <c r="B36"/>
  <c r="D35"/>
  <c r="C35"/>
  <c r="B35"/>
  <c r="D34"/>
  <c r="C34"/>
  <c r="B34"/>
  <c r="D33"/>
  <c r="C33"/>
  <c r="B33"/>
  <c r="D32"/>
  <c r="C32"/>
  <c r="B32"/>
  <c r="D31"/>
  <c r="C31"/>
  <c r="B31"/>
  <c r="D30"/>
  <c r="C30"/>
  <c r="B30"/>
  <c r="D29"/>
  <c r="C29"/>
  <c r="B29"/>
  <c r="D28"/>
  <c r="C28"/>
  <c r="B28"/>
  <c r="D27"/>
  <c r="C27"/>
  <c r="B27"/>
  <c r="D26"/>
  <c r="C26"/>
  <c r="B26"/>
  <c r="D25"/>
  <c r="C25"/>
  <c r="B25"/>
  <c r="D24"/>
  <c r="C24"/>
  <c r="B24"/>
  <c r="D23"/>
  <c r="C23"/>
  <c r="B23"/>
  <c r="D22"/>
  <c r="C22"/>
  <c r="B22"/>
  <c r="D21"/>
  <c r="C21"/>
  <c r="B21"/>
  <c r="D20"/>
  <c r="C20"/>
  <c r="B20"/>
  <c r="A19"/>
  <c r="A18"/>
  <c r="D17"/>
  <c r="C17"/>
  <c r="B17"/>
  <c r="D16"/>
  <c r="C16"/>
  <c r="B16"/>
  <c r="D15"/>
  <c r="C15"/>
  <c r="B15"/>
  <c r="D14"/>
  <c r="C14"/>
  <c r="B14"/>
  <c r="D13"/>
  <c r="C13"/>
  <c r="B13"/>
  <c r="D12"/>
  <c r="C12"/>
  <c r="B12"/>
  <c r="A11"/>
  <c r="A10"/>
  <c r="A3"/>
  <c r="A2"/>
  <c r="AF392" i="5"/>
  <c r="I404"/>
  <c r="I401"/>
  <c r="I398"/>
  <c r="D404"/>
  <c r="D401"/>
  <c r="D398"/>
  <c r="C395"/>
  <c r="C394"/>
  <c r="A392"/>
  <c r="A388"/>
  <c r="A384"/>
  <c r="L382"/>
  <c r="Q382" s="1"/>
  <c r="Z382"/>
  <c r="Y382"/>
  <c r="X382"/>
  <c r="K381"/>
  <c r="J382" s="1"/>
  <c r="P382" s="1"/>
  <c r="J381"/>
  <c r="H381"/>
  <c r="G382" s="1"/>
  <c r="O382" s="1"/>
  <c r="G381"/>
  <c r="F381"/>
  <c r="V380"/>
  <c r="T380"/>
  <c r="U380"/>
  <c r="S380"/>
  <c r="F380"/>
  <c r="E380"/>
  <c r="D380"/>
  <c r="I380"/>
  <c r="C380"/>
  <c r="B380"/>
  <c r="A380"/>
  <c r="Q379"/>
  <c r="L379"/>
  <c r="Z379"/>
  <c r="Y379"/>
  <c r="W379"/>
  <c r="K378"/>
  <c r="J378"/>
  <c r="Z378"/>
  <c r="Y378"/>
  <c r="W378"/>
  <c r="H378"/>
  <c r="X378" s="1"/>
  <c r="F378"/>
  <c r="V378"/>
  <c r="T378"/>
  <c r="U378"/>
  <c r="S378"/>
  <c r="H375" s="1"/>
  <c r="E378"/>
  <c r="D378"/>
  <c r="C378"/>
  <c r="B378"/>
  <c r="A378"/>
  <c r="L377"/>
  <c r="G377"/>
  <c r="E377"/>
  <c r="J376"/>
  <c r="E376"/>
  <c r="J375"/>
  <c r="E375"/>
  <c r="K374"/>
  <c r="J374"/>
  <c r="H374"/>
  <c r="G374"/>
  <c r="F374"/>
  <c r="K373"/>
  <c r="J373"/>
  <c r="H373"/>
  <c r="R373" s="1"/>
  <c r="G373"/>
  <c r="F373"/>
  <c r="K372"/>
  <c r="J372"/>
  <c r="H372"/>
  <c r="G372"/>
  <c r="F372"/>
  <c r="K371"/>
  <c r="J371"/>
  <c r="H371"/>
  <c r="G371"/>
  <c r="F371"/>
  <c r="C370"/>
  <c r="V369"/>
  <c r="K376" s="1"/>
  <c r="T369"/>
  <c r="K375" s="1"/>
  <c r="U369"/>
  <c r="H376" s="1"/>
  <c r="S369"/>
  <c r="F369"/>
  <c r="E369"/>
  <c r="D369"/>
  <c r="I369"/>
  <c r="C369"/>
  <c r="B369"/>
  <c r="A369"/>
  <c r="L368"/>
  <c r="Q368" s="1"/>
  <c r="Z368"/>
  <c r="Y368"/>
  <c r="W368"/>
  <c r="K367"/>
  <c r="J367"/>
  <c r="Z367"/>
  <c r="Y367"/>
  <c r="W367"/>
  <c r="H367"/>
  <c r="X367" s="1"/>
  <c r="F367"/>
  <c r="V367"/>
  <c r="T367"/>
  <c r="U367"/>
  <c r="S367"/>
  <c r="E367"/>
  <c r="D367"/>
  <c r="C367"/>
  <c r="B367"/>
  <c r="A367"/>
  <c r="L366"/>
  <c r="G366"/>
  <c r="E366"/>
  <c r="J365"/>
  <c r="E365"/>
  <c r="J364"/>
  <c r="E364"/>
  <c r="K363"/>
  <c r="J363"/>
  <c r="H363"/>
  <c r="G363"/>
  <c r="F363"/>
  <c r="K362"/>
  <c r="J362"/>
  <c r="H362"/>
  <c r="G362"/>
  <c r="F362"/>
  <c r="K361"/>
  <c r="J361"/>
  <c r="H361"/>
  <c r="G361"/>
  <c r="F361"/>
  <c r="C360"/>
  <c r="V359"/>
  <c r="K365" s="1"/>
  <c r="T359"/>
  <c r="K364" s="1"/>
  <c r="U359"/>
  <c r="H365" s="1"/>
  <c r="S359"/>
  <c r="F359"/>
  <c r="E359"/>
  <c r="D359"/>
  <c r="I359"/>
  <c r="C359"/>
  <c r="B359"/>
  <c r="A359"/>
  <c r="L358"/>
  <c r="Q358" s="1"/>
  <c r="Z358"/>
  <c r="Y358"/>
  <c r="W358"/>
  <c r="K357"/>
  <c r="J357"/>
  <c r="Z357"/>
  <c r="Y357"/>
  <c r="X357"/>
  <c r="W357"/>
  <c r="H357"/>
  <c r="F357"/>
  <c r="V357"/>
  <c r="T357"/>
  <c r="U357"/>
  <c r="S357"/>
  <c r="E357"/>
  <c r="D357"/>
  <c r="C357"/>
  <c r="B357"/>
  <c r="A357"/>
  <c r="L356"/>
  <c r="G356"/>
  <c r="E356"/>
  <c r="J355"/>
  <c r="E355"/>
  <c r="J354"/>
  <c r="E354"/>
  <c r="K353"/>
  <c r="J353"/>
  <c r="H353"/>
  <c r="G353"/>
  <c r="F353"/>
  <c r="K352"/>
  <c r="J352"/>
  <c r="H352"/>
  <c r="R352" s="1"/>
  <c r="G352"/>
  <c r="F352"/>
  <c r="K351"/>
  <c r="J351"/>
  <c r="H351"/>
  <c r="G351"/>
  <c r="F351"/>
  <c r="K350"/>
  <c r="J350"/>
  <c r="H350"/>
  <c r="R350" s="1"/>
  <c r="G350"/>
  <c r="F350"/>
  <c r="C349"/>
  <c r="V348"/>
  <c r="T348"/>
  <c r="K354" s="1"/>
  <c r="U348"/>
  <c r="H355" s="1"/>
  <c r="S348"/>
  <c r="H354" s="1"/>
  <c r="F348"/>
  <c r="E348"/>
  <c r="D348"/>
  <c r="I348"/>
  <c r="C348"/>
  <c r="B348"/>
  <c r="A348"/>
  <c r="L347"/>
  <c r="Q347" s="1"/>
  <c r="L384" s="1"/>
  <c r="Z347"/>
  <c r="Y347"/>
  <c r="W347"/>
  <c r="K346"/>
  <c r="J346"/>
  <c r="Z346"/>
  <c r="Y346"/>
  <c r="W346"/>
  <c r="H346"/>
  <c r="X346" s="1"/>
  <c r="F346"/>
  <c r="V346"/>
  <c r="T346"/>
  <c r="K343" s="1"/>
  <c r="U346"/>
  <c r="S346"/>
  <c r="E346"/>
  <c r="D346"/>
  <c r="C346"/>
  <c r="B346"/>
  <c r="A346"/>
  <c r="L345"/>
  <c r="G345"/>
  <c r="E345"/>
  <c r="J344"/>
  <c r="E344"/>
  <c r="J343"/>
  <c r="E343"/>
  <c r="K342"/>
  <c r="J342"/>
  <c r="H342"/>
  <c r="G342"/>
  <c r="F342"/>
  <c r="K341"/>
  <c r="J341"/>
  <c r="H341"/>
  <c r="R341" s="1"/>
  <c r="G341"/>
  <c r="F341"/>
  <c r="K340"/>
  <c r="J340"/>
  <c r="H340"/>
  <c r="G340"/>
  <c r="F340"/>
  <c r="K339"/>
  <c r="J339"/>
  <c r="H339"/>
  <c r="R339" s="1"/>
  <c r="G339"/>
  <c r="F339"/>
  <c r="C338"/>
  <c r="V337"/>
  <c r="K344" s="1"/>
  <c r="T337"/>
  <c r="U337"/>
  <c r="H344" s="1"/>
  <c r="S337"/>
  <c r="H343" s="1"/>
  <c r="F337"/>
  <c r="E337"/>
  <c r="D337"/>
  <c r="I337"/>
  <c r="C337"/>
  <c r="B337"/>
  <c r="A337"/>
  <c r="A336"/>
  <c r="A332"/>
  <c r="L330"/>
  <c r="Q330" s="1"/>
  <c r="Z330"/>
  <c r="Y330"/>
  <c r="X330"/>
  <c r="K329"/>
  <c r="J329"/>
  <c r="Z329"/>
  <c r="Y329"/>
  <c r="X329"/>
  <c r="W329"/>
  <c r="H329"/>
  <c r="F329"/>
  <c r="V329"/>
  <c r="T329"/>
  <c r="U329"/>
  <c r="S329"/>
  <c r="E329"/>
  <c r="D329"/>
  <c r="C329"/>
  <c r="B329"/>
  <c r="A329"/>
  <c r="K328"/>
  <c r="J328"/>
  <c r="Z328"/>
  <c r="Y328"/>
  <c r="X328"/>
  <c r="H328"/>
  <c r="W328" s="1"/>
  <c r="F328"/>
  <c r="V328"/>
  <c r="T328"/>
  <c r="U328"/>
  <c r="S328"/>
  <c r="E328"/>
  <c r="D328"/>
  <c r="C328"/>
  <c r="B328"/>
  <c r="A328"/>
  <c r="L327"/>
  <c r="G327"/>
  <c r="E327"/>
  <c r="J326"/>
  <c r="E326"/>
  <c r="J325"/>
  <c r="E325"/>
  <c r="K324"/>
  <c r="J324"/>
  <c r="H324"/>
  <c r="G324"/>
  <c r="F324"/>
  <c r="K323"/>
  <c r="J323"/>
  <c r="H323"/>
  <c r="R323" s="1"/>
  <c r="G323"/>
  <c r="F323"/>
  <c r="K322"/>
  <c r="J322"/>
  <c r="H322"/>
  <c r="G322"/>
  <c r="F322"/>
  <c r="K321"/>
  <c r="J321"/>
  <c r="H321"/>
  <c r="G321"/>
  <c r="F321"/>
  <c r="C320"/>
  <c r="V319"/>
  <c r="T319"/>
  <c r="U319"/>
  <c r="H326" s="1"/>
  <c r="S319"/>
  <c r="F319"/>
  <c r="E319"/>
  <c r="D319"/>
  <c r="I319"/>
  <c r="C319"/>
  <c r="A319"/>
  <c r="L318"/>
  <c r="Q318" s="1"/>
  <c r="Z318"/>
  <c r="Y318"/>
  <c r="X318"/>
  <c r="K317"/>
  <c r="J317"/>
  <c r="Z317"/>
  <c r="Y317"/>
  <c r="X317"/>
  <c r="H317"/>
  <c r="W317" s="1"/>
  <c r="F317"/>
  <c r="V317"/>
  <c r="T317"/>
  <c r="U317"/>
  <c r="S317"/>
  <c r="E317"/>
  <c r="D317"/>
  <c r="C317"/>
  <c r="B317"/>
  <c r="A317"/>
  <c r="L316"/>
  <c r="G316"/>
  <c r="E316"/>
  <c r="J315"/>
  <c r="E315"/>
  <c r="J314"/>
  <c r="E314"/>
  <c r="K313"/>
  <c r="J313"/>
  <c r="H313"/>
  <c r="G313"/>
  <c r="F313"/>
  <c r="K312"/>
  <c r="J312"/>
  <c r="H312"/>
  <c r="R312" s="1"/>
  <c r="G312"/>
  <c r="F312"/>
  <c r="K311"/>
  <c r="J311"/>
  <c r="H311"/>
  <c r="G311"/>
  <c r="F311"/>
  <c r="K310"/>
  <c r="J310"/>
  <c r="H310"/>
  <c r="G310"/>
  <c r="F310"/>
  <c r="C309"/>
  <c r="V308"/>
  <c r="K315" s="1"/>
  <c r="T308"/>
  <c r="U308"/>
  <c r="H315" s="1"/>
  <c r="S308"/>
  <c r="H314" s="1"/>
  <c r="F308"/>
  <c r="E308"/>
  <c r="D308"/>
  <c r="I308"/>
  <c r="C308"/>
  <c r="A308"/>
  <c r="Q307"/>
  <c r="L307"/>
  <c r="Z307"/>
  <c r="Y307"/>
  <c r="X307"/>
  <c r="K306"/>
  <c r="J306"/>
  <c r="Z306"/>
  <c r="Y306"/>
  <c r="X306"/>
  <c r="H306"/>
  <c r="W306" s="1"/>
  <c r="F306"/>
  <c r="V306"/>
  <c r="T306"/>
  <c r="U306"/>
  <c r="S306"/>
  <c r="E306"/>
  <c r="D306"/>
  <c r="C306"/>
  <c r="B306"/>
  <c r="A306"/>
  <c r="L305"/>
  <c r="G305"/>
  <c r="E305"/>
  <c r="J304"/>
  <c r="E304"/>
  <c r="J303"/>
  <c r="E303"/>
  <c r="K302"/>
  <c r="J302"/>
  <c r="H302"/>
  <c r="G302"/>
  <c r="F302"/>
  <c r="K301"/>
  <c r="J301"/>
  <c r="H301"/>
  <c r="R301" s="1"/>
  <c r="G301"/>
  <c r="F301"/>
  <c r="K300"/>
  <c r="J300"/>
  <c r="H300"/>
  <c r="G300"/>
  <c r="F300"/>
  <c r="K299"/>
  <c r="J299"/>
  <c r="H299"/>
  <c r="R299" s="1"/>
  <c r="G299"/>
  <c r="F299"/>
  <c r="C298"/>
  <c r="V297"/>
  <c r="K304" s="1"/>
  <c r="T297"/>
  <c r="K303" s="1"/>
  <c r="U297"/>
  <c r="H304" s="1"/>
  <c r="S297"/>
  <c r="F297"/>
  <c r="E297"/>
  <c r="D297"/>
  <c r="I297"/>
  <c r="C297"/>
  <c r="B297"/>
  <c r="A297"/>
  <c r="L296"/>
  <c r="Q296" s="1"/>
  <c r="Z296"/>
  <c r="Y296"/>
  <c r="X296"/>
  <c r="L295"/>
  <c r="G295"/>
  <c r="E295"/>
  <c r="J294"/>
  <c r="E294"/>
  <c r="J293"/>
  <c r="E293"/>
  <c r="K292"/>
  <c r="J292"/>
  <c r="H292"/>
  <c r="G292"/>
  <c r="F292"/>
  <c r="K291"/>
  <c r="J291"/>
  <c r="H291"/>
  <c r="R291" s="1"/>
  <c r="G291"/>
  <c r="F291"/>
  <c r="K290"/>
  <c r="J290"/>
  <c r="H290"/>
  <c r="G290"/>
  <c r="F290"/>
  <c r="K289"/>
  <c r="J289"/>
  <c r="H289"/>
  <c r="G289"/>
  <c r="F289"/>
  <c r="C288"/>
  <c r="V287"/>
  <c r="K294" s="1"/>
  <c r="T287"/>
  <c r="K293" s="1"/>
  <c r="U287"/>
  <c r="H294" s="1"/>
  <c r="S287"/>
  <c r="H293" s="1"/>
  <c r="F287"/>
  <c r="E287"/>
  <c r="D287"/>
  <c r="I287"/>
  <c r="C287"/>
  <c r="A287"/>
  <c r="L286"/>
  <c r="Q286" s="1"/>
  <c r="Z286"/>
  <c r="Y286"/>
  <c r="X286"/>
  <c r="K285"/>
  <c r="J285"/>
  <c r="Z285"/>
  <c r="Y285"/>
  <c r="X285"/>
  <c r="H285"/>
  <c r="W285" s="1"/>
  <c r="F285"/>
  <c r="V285"/>
  <c r="K283" s="1"/>
  <c r="T285"/>
  <c r="U285"/>
  <c r="S285"/>
  <c r="E285"/>
  <c r="D285"/>
  <c r="C285"/>
  <c r="B285"/>
  <c r="A285"/>
  <c r="L284"/>
  <c r="G284"/>
  <c r="E284"/>
  <c r="J283"/>
  <c r="E283"/>
  <c r="J282"/>
  <c r="E282"/>
  <c r="K281"/>
  <c r="J281"/>
  <c r="H281"/>
  <c r="G281"/>
  <c r="F281"/>
  <c r="K280"/>
  <c r="J280"/>
  <c r="H280"/>
  <c r="R280" s="1"/>
  <c r="G280"/>
  <c r="F280"/>
  <c r="K279"/>
  <c r="J279"/>
  <c r="H279"/>
  <c r="G279"/>
  <c r="F279"/>
  <c r="K278"/>
  <c r="J278"/>
  <c r="H278"/>
  <c r="R278" s="1"/>
  <c r="G278"/>
  <c r="F278"/>
  <c r="C277"/>
  <c r="V276"/>
  <c r="T276"/>
  <c r="K282" s="1"/>
  <c r="U276"/>
  <c r="H283" s="1"/>
  <c r="S276"/>
  <c r="H282" s="1"/>
  <c r="F276"/>
  <c r="E276"/>
  <c r="D276"/>
  <c r="I276"/>
  <c r="C276"/>
  <c r="A276"/>
  <c r="L275"/>
  <c r="Q275" s="1"/>
  <c r="Z275"/>
  <c r="Y275"/>
  <c r="X275"/>
  <c r="K274"/>
  <c r="J274"/>
  <c r="Z274"/>
  <c r="Y274"/>
  <c r="X274"/>
  <c r="H274"/>
  <c r="W274" s="1"/>
  <c r="F274"/>
  <c r="V274"/>
  <c r="T274"/>
  <c r="U274"/>
  <c r="S274"/>
  <c r="E274"/>
  <c r="D274"/>
  <c r="C274"/>
  <c r="B274"/>
  <c r="A274"/>
  <c r="L273"/>
  <c r="G273"/>
  <c r="E273"/>
  <c r="J272"/>
  <c r="E272"/>
  <c r="J271"/>
  <c r="E271"/>
  <c r="K270"/>
  <c r="J270"/>
  <c r="H270"/>
  <c r="G270"/>
  <c r="F270"/>
  <c r="K269"/>
  <c r="J269"/>
  <c r="H269"/>
  <c r="R269" s="1"/>
  <c r="G269"/>
  <c r="F269"/>
  <c r="K268"/>
  <c r="J268"/>
  <c r="H268"/>
  <c r="G268"/>
  <c r="F268"/>
  <c r="K267"/>
  <c r="J267"/>
  <c r="H267"/>
  <c r="G267"/>
  <c r="F267"/>
  <c r="C266"/>
  <c r="V265"/>
  <c r="K272" s="1"/>
  <c r="T265"/>
  <c r="U265"/>
  <c r="H272" s="1"/>
  <c r="S265"/>
  <c r="H271" s="1"/>
  <c r="F265"/>
  <c r="E265"/>
  <c r="D265"/>
  <c r="I265"/>
  <c r="C265"/>
  <c r="A265"/>
  <c r="L264"/>
  <c r="Q264" s="1"/>
  <c r="Z264"/>
  <c r="Y264"/>
  <c r="X264"/>
  <c r="K263"/>
  <c r="J263"/>
  <c r="Z263"/>
  <c r="Y263"/>
  <c r="X263"/>
  <c r="H263"/>
  <c r="W263" s="1"/>
  <c r="F263"/>
  <c r="V263"/>
  <c r="T263"/>
  <c r="U263"/>
  <c r="S263"/>
  <c r="E263"/>
  <c r="D263"/>
  <c r="C263"/>
  <c r="B263"/>
  <c r="A263"/>
  <c r="K262"/>
  <c r="J262"/>
  <c r="Z262"/>
  <c r="Y262"/>
  <c r="X262"/>
  <c r="H262"/>
  <c r="W262" s="1"/>
  <c r="F262"/>
  <c r="V262"/>
  <c r="T262"/>
  <c r="K259" s="1"/>
  <c r="U262"/>
  <c r="S262"/>
  <c r="E262"/>
  <c r="D262"/>
  <c r="C262"/>
  <c r="B262"/>
  <c r="A262"/>
  <c r="L261"/>
  <c r="G261"/>
  <c r="E261"/>
  <c r="J260"/>
  <c r="E260"/>
  <c r="J259"/>
  <c r="E259"/>
  <c r="K258"/>
  <c r="J258"/>
  <c r="H258"/>
  <c r="G258"/>
  <c r="F258"/>
  <c r="K257"/>
  <c r="J257"/>
  <c r="R257"/>
  <c r="H257"/>
  <c r="G257"/>
  <c r="F257"/>
  <c r="K256"/>
  <c r="J256"/>
  <c r="H256"/>
  <c r="G256"/>
  <c r="F256"/>
  <c r="K255"/>
  <c r="J255"/>
  <c r="H255"/>
  <c r="R255" s="1"/>
  <c r="G255"/>
  <c r="F255"/>
  <c r="C254"/>
  <c r="V253"/>
  <c r="K260" s="1"/>
  <c r="T253"/>
  <c r="U253"/>
  <c r="H260" s="1"/>
  <c r="S253"/>
  <c r="H259" s="1"/>
  <c r="F253"/>
  <c r="E253"/>
  <c r="D253"/>
  <c r="I253"/>
  <c r="C253"/>
  <c r="A253"/>
  <c r="Q252"/>
  <c r="L252"/>
  <c r="Z252"/>
  <c r="Y252"/>
  <c r="X252"/>
  <c r="L251"/>
  <c r="G251"/>
  <c r="E251"/>
  <c r="J250"/>
  <c r="E250"/>
  <c r="J249"/>
  <c r="E249"/>
  <c r="K248"/>
  <c r="J248"/>
  <c r="H248"/>
  <c r="R248" s="1"/>
  <c r="G248"/>
  <c r="F248"/>
  <c r="K247"/>
  <c r="J247"/>
  <c r="H247"/>
  <c r="G247"/>
  <c r="F247"/>
  <c r="K246"/>
  <c r="J246"/>
  <c r="H246"/>
  <c r="R246" s="1"/>
  <c r="G246"/>
  <c r="F246"/>
  <c r="V245"/>
  <c r="K250" s="1"/>
  <c r="T245"/>
  <c r="K249" s="1"/>
  <c r="U245"/>
  <c r="H250" s="1"/>
  <c r="S245"/>
  <c r="H249" s="1"/>
  <c r="F245"/>
  <c r="E245"/>
  <c r="D245"/>
  <c r="I245"/>
  <c r="C245"/>
  <c r="A245"/>
  <c r="A244"/>
  <c r="A240"/>
  <c r="L238"/>
  <c r="Q238" s="1"/>
  <c r="Z238"/>
  <c r="Y238"/>
  <c r="X238"/>
  <c r="L237"/>
  <c r="G237"/>
  <c r="E237"/>
  <c r="J236"/>
  <c r="E236"/>
  <c r="J235"/>
  <c r="E235"/>
  <c r="K234"/>
  <c r="J234"/>
  <c r="H234"/>
  <c r="G234"/>
  <c r="F234"/>
  <c r="K233"/>
  <c r="J233"/>
  <c r="H233"/>
  <c r="R233" s="1"/>
  <c r="G233"/>
  <c r="F233"/>
  <c r="K232"/>
  <c r="J232"/>
  <c r="H232"/>
  <c r="G232"/>
  <c r="F232"/>
  <c r="K231"/>
  <c r="J231"/>
  <c r="R231"/>
  <c r="H231"/>
  <c r="G231"/>
  <c r="F231"/>
  <c r="C230"/>
  <c r="V229"/>
  <c r="K236" s="1"/>
  <c r="T229"/>
  <c r="K235" s="1"/>
  <c r="U229"/>
  <c r="H236" s="1"/>
  <c r="S229"/>
  <c r="H235" s="1"/>
  <c r="F229"/>
  <c r="E229"/>
  <c r="D229"/>
  <c r="I229"/>
  <c r="C229"/>
  <c r="A229"/>
  <c r="L228"/>
  <c r="Q228" s="1"/>
  <c r="Z228"/>
  <c r="Y228"/>
  <c r="X228"/>
  <c r="L227"/>
  <c r="G227"/>
  <c r="E227"/>
  <c r="J226"/>
  <c r="E226"/>
  <c r="J225"/>
  <c r="E225"/>
  <c r="K224"/>
  <c r="J224"/>
  <c r="H224"/>
  <c r="G224"/>
  <c r="F224"/>
  <c r="K223"/>
  <c r="J223"/>
  <c r="H223"/>
  <c r="R223" s="1"/>
  <c r="G223"/>
  <c r="F223"/>
  <c r="K222"/>
  <c r="J222"/>
  <c r="H222"/>
  <c r="G222"/>
  <c r="F222"/>
  <c r="K221"/>
  <c r="J221"/>
  <c r="H221"/>
  <c r="R221" s="1"/>
  <c r="G221"/>
  <c r="F221"/>
  <c r="C220"/>
  <c r="V219"/>
  <c r="K226" s="1"/>
  <c r="T219"/>
  <c r="K225" s="1"/>
  <c r="U219"/>
  <c r="H226" s="1"/>
  <c r="S219"/>
  <c r="H225" s="1"/>
  <c r="F219"/>
  <c r="E219"/>
  <c r="D219"/>
  <c r="I219"/>
  <c r="C219"/>
  <c r="A219"/>
  <c r="L218"/>
  <c r="Q218" s="1"/>
  <c r="Z218"/>
  <c r="Y218"/>
  <c r="X218"/>
  <c r="H216"/>
  <c r="L217"/>
  <c r="G217"/>
  <c r="E217"/>
  <c r="J216"/>
  <c r="E216"/>
  <c r="J215"/>
  <c r="E215"/>
  <c r="K214"/>
  <c r="J214"/>
  <c r="H214"/>
  <c r="R214" s="1"/>
  <c r="G214"/>
  <c r="F214"/>
  <c r="C213"/>
  <c r="V212"/>
  <c r="K216" s="1"/>
  <c r="T212"/>
  <c r="K215" s="1"/>
  <c r="J218" s="1"/>
  <c r="P218" s="1"/>
  <c r="U212"/>
  <c r="S212"/>
  <c r="H215" s="1"/>
  <c r="F212"/>
  <c r="E212"/>
  <c r="D212"/>
  <c r="I212"/>
  <c r="C212"/>
  <c r="B212"/>
  <c r="A212"/>
  <c r="A211"/>
  <c r="A207"/>
  <c r="A203"/>
  <c r="L201"/>
  <c r="Q201" s="1"/>
  <c r="Z201"/>
  <c r="Y201"/>
  <c r="X201"/>
  <c r="K200"/>
  <c r="J201" s="1"/>
  <c r="P201" s="1"/>
  <c r="J200"/>
  <c r="H200"/>
  <c r="G201" s="1"/>
  <c r="O201" s="1"/>
  <c r="G200"/>
  <c r="F200"/>
  <c r="V200"/>
  <c r="T200"/>
  <c r="U200"/>
  <c r="S200"/>
  <c r="E200"/>
  <c r="D200"/>
  <c r="I200"/>
  <c r="C200"/>
  <c r="A200"/>
  <c r="L199"/>
  <c r="Q199" s="1"/>
  <c r="Z199"/>
  <c r="Y199"/>
  <c r="X199"/>
  <c r="K198"/>
  <c r="J199" s="1"/>
  <c r="P199" s="1"/>
  <c r="J198"/>
  <c r="H198"/>
  <c r="G199" s="1"/>
  <c r="O199" s="1"/>
  <c r="G198"/>
  <c r="F198"/>
  <c r="V198"/>
  <c r="T198"/>
  <c r="U198"/>
  <c r="S198"/>
  <c r="E198"/>
  <c r="D198"/>
  <c r="I198"/>
  <c r="C198"/>
  <c r="B198"/>
  <c r="A198"/>
  <c r="L197"/>
  <c r="Q197" s="1"/>
  <c r="Z197"/>
  <c r="Y197"/>
  <c r="X197"/>
  <c r="K196"/>
  <c r="J196"/>
  <c r="Z196"/>
  <c r="Y196"/>
  <c r="X196"/>
  <c r="H196"/>
  <c r="W196" s="1"/>
  <c r="F196"/>
  <c r="V196"/>
  <c r="T196"/>
  <c r="U196"/>
  <c r="S196"/>
  <c r="E196"/>
  <c r="D196"/>
  <c r="C196"/>
  <c r="B196"/>
  <c r="A196"/>
  <c r="K195"/>
  <c r="J195"/>
  <c r="Z195"/>
  <c r="Y195"/>
  <c r="X195"/>
  <c r="W195"/>
  <c r="H195"/>
  <c r="F195"/>
  <c r="V195"/>
  <c r="T195"/>
  <c r="U195"/>
  <c r="S195"/>
  <c r="E195"/>
  <c r="D195"/>
  <c r="C195"/>
  <c r="B195"/>
  <c r="A195"/>
  <c r="L194"/>
  <c r="G194"/>
  <c r="E194"/>
  <c r="J193"/>
  <c r="E193"/>
  <c r="J192"/>
  <c r="E192"/>
  <c r="K191"/>
  <c r="J191"/>
  <c r="H191"/>
  <c r="G191"/>
  <c r="F191"/>
  <c r="K190"/>
  <c r="J190"/>
  <c r="R190"/>
  <c r="H190"/>
  <c r="G190"/>
  <c r="F190"/>
  <c r="K189"/>
  <c r="J189"/>
  <c r="H189"/>
  <c r="G189"/>
  <c r="F189"/>
  <c r="K188"/>
  <c r="J188"/>
  <c r="H188"/>
  <c r="G188"/>
  <c r="F188"/>
  <c r="C187"/>
  <c r="V186"/>
  <c r="T186"/>
  <c r="K192" s="1"/>
  <c r="U186"/>
  <c r="H193" s="1"/>
  <c r="S186"/>
  <c r="H192" s="1"/>
  <c r="F186"/>
  <c r="E186"/>
  <c r="D186"/>
  <c r="I186"/>
  <c r="C186"/>
  <c r="A186"/>
  <c r="L185"/>
  <c r="Q185" s="1"/>
  <c r="Z185"/>
  <c r="Y185"/>
  <c r="X185"/>
  <c r="K183"/>
  <c r="L184"/>
  <c r="G184"/>
  <c r="E184"/>
  <c r="J183"/>
  <c r="E183"/>
  <c r="J182"/>
  <c r="E182"/>
  <c r="K181"/>
  <c r="J181"/>
  <c r="H181"/>
  <c r="G181"/>
  <c r="F181"/>
  <c r="K180"/>
  <c r="J180"/>
  <c r="H180"/>
  <c r="R180" s="1"/>
  <c r="G180"/>
  <c r="F180"/>
  <c r="K179"/>
  <c r="J179"/>
  <c r="H179"/>
  <c r="G179"/>
  <c r="F179"/>
  <c r="K178"/>
  <c r="J178"/>
  <c r="H178"/>
  <c r="R178" s="1"/>
  <c r="G178"/>
  <c r="F178"/>
  <c r="C177"/>
  <c r="V176"/>
  <c r="T176"/>
  <c r="K182" s="1"/>
  <c r="U176"/>
  <c r="H183" s="1"/>
  <c r="S176"/>
  <c r="H182" s="1"/>
  <c r="F176"/>
  <c r="E176"/>
  <c r="D176"/>
  <c r="I176"/>
  <c r="C176"/>
  <c r="A176"/>
  <c r="Q175"/>
  <c r="L175"/>
  <c r="Z175"/>
  <c r="Y175"/>
  <c r="X175"/>
  <c r="K174"/>
  <c r="J174"/>
  <c r="Z174"/>
  <c r="Y174"/>
  <c r="X174"/>
  <c r="H174"/>
  <c r="W174" s="1"/>
  <c r="F174"/>
  <c r="V174"/>
  <c r="T174"/>
  <c r="U174"/>
  <c r="S174"/>
  <c r="E174"/>
  <c r="D174"/>
  <c r="C174"/>
  <c r="B174"/>
  <c r="A174"/>
  <c r="L173"/>
  <c r="G173"/>
  <c r="E173"/>
  <c r="J172"/>
  <c r="E172"/>
  <c r="J171"/>
  <c r="E171"/>
  <c r="K170"/>
  <c r="J170"/>
  <c r="H170"/>
  <c r="G170"/>
  <c r="F170"/>
  <c r="K169"/>
  <c r="J169"/>
  <c r="H169"/>
  <c r="R169" s="1"/>
  <c r="G169"/>
  <c r="F169"/>
  <c r="K168"/>
  <c r="J168"/>
  <c r="H168"/>
  <c r="G168"/>
  <c r="F168"/>
  <c r="K167"/>
  <c r="J167"/>
  <c r="H167"/>
  <c r="R167" s="1"/>
  <c r="G167"/>
  <c r="F167"/>
  <c r="C166"/>
  <c r="V165"/>
  <c r="K172" s="1"/>
  <c r="T165"/>
  <c r="K171" s="1"/>
  <c r="U165"/>
  <c r="H172" s="1"/>
  <c r="S165"/>
  <c r="F165"/>
  <c r="E165"/>
  <c r="D165"/>
  <c r="I165"/>
  <c r="C165"/>
  <c r="B165"/>
  <c r="A165"/>
  <c r="L164"/>
  <c r="Q164" s="1"/>
  <c r="Z164"/>
  <c r="Y164"/>
  <c r="X164"/>
  <c r="L163"/>
  <c r="G163"/>
  <c r="E163"/>
  <c r="J162"/>
  <c r="E162"/>
  <c r="J161"/>
  <c r="E161"/>
  <c r="K160"/>
  <c r="J160"/>
  <c r="H160"/>
  <c r="G160"/>
  <c r="F160"/>
  <c r="K159"/>
  <c r="J159"/>
  <c r="R159"/>
  <c r="H159"/>
  <c r="G159"/>
  <c r="F159"/>
  <c r="K158"/>
  <c r="J158"/>
  <c r="H158"/>
  <c r="G158"/>
  <c r="F158"/>
  <c r="K157"/>
  <c r="J157"/>
  <c r="H157"/>
  <c r="G157"/>
  <c r="F157"/>
  <c r="C156"/>
  <c r="V155"/>
  <c r="K162" s="1"/>
  <c r="T155"/>
  <c r="K161" s="1"/>
  <c r="U155"/>
  <c r="H162" s="1"/>
  <c r="S155"/>
  <c r="H161" s="1"/>
  <c r="F155"/>
  <c r="E155"/>
  <c r="D155"/>
  <c r="I155"/>
  <c r="C155"/>
  <c r="A155"/>
  <c r="L154"/>
  <c r="Q154" s="1"/>
  <c r="Z154"/>
  <c r="Y154"/>
  <c r="X154"/>
  <c r="K152"/>
  <c r="L153"/>
  <c r="G153"/>
  <c r="E153"/>
  <c r="J152"/>
  <c r="E152"/>
  <c r="J151"/>
  <c r="E151"/>
  <c r="K150"/>
  <c r="J150"/>
  <c r="H150"/>
  <c r="G150"/>
  <c r="F150"/>
  <c r="K149"/>
  <c r="J149"/>
  <c r="H149"/>
  <c r="R149" s="1"/>
  <c r="G149"/>
  <c r="F149"/>
  <c r="K148"/>
  <c r="J148"/>
  <c r="H148"/>
  <c r="G148"/>
  <c r="F148"/>
  <c r="K147"/>
  <c r="J147"/>
  <c r="H147"/>
  <c r="R147" s="1"/>
  <c r="G147"/>
  <c r="F147"/>
  <c r="C146"/>
  <c r="V145"/>
  <c r="T145"/>
  <c r="K151" s="1"/>
  <c r="U145"/>
  <c r="H152" s="1"/>
  <c r="S145"/>
  <c r="H151" s="1"/>
  <c r="F145"/>
  <c r="E145"/>
  <c r="D145"/>
  <c r="I145"/>
  <c r="C145"/>
  <c r="A145"/>
  <c r="L144"/>
  <c r="Q144" s="1"/>
  <c r="Z144"/>
  <c r="Y144"/>
  <c r="X144"/>
  <c r="K143"/>
  <c r="J143"/>
  <c r="Z143"/>
  <c r="Y143"/>
  <c r="X143"/>
  <c r="H143"/>
  <c r="W143" s="1"/>
  <c r="F143"/>
  <c r="V143"/>
  <c r="T143"/>
  <c r="U143"/>
  <c r="S143"/>
  <c r="E143"/>
  <c r="D143"/>
  <c r="C143"/>
  <c r="B143"/>
  <c r="A143"/>
  <c r="L142"/>
  <c r="G142"/>
  <c r="E142"/>
  <c r="J141"/>
  <c r="E141"/>
  <c r="J140"/>
  <c r="E140"/>
  <c r="K139"/>
  <c r="J139"/>
  <c r="H139"/>
  <c r="G139"/>
  <c r="F139"/>
  <c r="K138"/>
  <c r="J138"/>
  <c r="H138"/>
  <c r="R138" s="1"/>
  <c r="G138"/>
  <c r="F138"/>
  <c r="K137"/>
  <c r="J137"/>
  <c r="H137"/>
  <c r="G137"/>
  <c r="F137"/>
  <c r="K136"/>
  <c r="J136"/>
  <c r="H136"/>
  <c r="G144" s="1"/>
  <c r="O144" s="1"/>
  <c r="G136"/>
  <c r="F136"/>
  <c r="C135"/>
  <c r="V134"/>
  <c r="T134"/>
  <c r="K140" s="1"/>
  <c r="U134"/>
  <c r="H141" s="1"/>
  <c r="S134"/>
  <c r="H140" s="1"/>
  <c r="F134"/>
  <c r="E134"/>
  <c r="D134"/>
  <c r="I134"/>
  <c r="C134"/>
  <c r="A134"/>
  <c r="L133"/>
  <c r="Q133" s="1"/>
  <c r="Z133"/>
  <c r="Y133"/>
  <c r="X133"/>
  <c r="L132"/>
  <c r="G132"/>
  <c r="E132"/>
  <c r="J131"/>
  <c r="E131"/>
  <c r="J130"/>
  <c r="E130"/>
  <c r="K129"/>
  <c r="J129"/>
  <c r="H129"/>
  <c r="G129"/>
  <c r="F129"/>
  <c r="K128"/>
  <c r="J128"/>
  <c r="H128"/>
  <c r="R128" s="1"/>
  <c r="G128"/>
  <c r="F128"/>
  <c r="K127"/>
  <c r="J127"/>
  <c r="H127"/>
  <c r="G127"/>
  <c r="F127"/>
  <c r="K126"/>
  <c r="J126"/>
  <c r="H126"/>
  <c r="R126" s="1"/>
  <c r="G126"/>
  <c r="F126"/>
  <c r="C125"/>
  <c r="V124"/>
  <c r="K131" s="1"/>
  <c r="T124"/>
  <c r="K130" s="1"/>
  <c r="U124"/>
  <c r="H131" s="1"/>
  <c r="S124"/>
  <c r="H130" s="1"/>
  <c r="F124"/>
  <c r="E124"/>
  <c r="D124"/>
  <c r="I124"/>
  <c r="C124"/>
  <c r="A124"/>
  <c r="L123"/>
  <c r="Q123" s="1"/>
  <c r="G123"/>
  <c r="O123" s="1"/>
  <c r="Z123"/>
  <c r="Y123"/>
  <c r="X123"/>
  <c r="W123"/>
  <c r="K122"/>
  <c r="J123" s="1"/>
  <c r="P123" s="1"/>
  <c r="J122"/>
  <c r="H122"/>
  <c r="G122"/>
  <c r="F122"/>
  <c r="V122"/>
  <c r="T122"/>
  <c r="U122"/>
  <c r="S122"/>
  <c r="E122"/>
  <c r="D122"/>
  <c r="I122"/>
  <c r="C122"/>
  <c r="B122"/>
  <c r="A122"/>
  <c r="L121"/>
  <c r="Q121" s="1"/>
  <c r="Z121"/>
  <c r="Y121"/>
  <c r="X121"/>
  <c r="L120"/>
  <c r="G120"/>
  <c r="E120"/>
  <c r="J119"/>
  <c r="E119"/>
  <c r="J118"/>
  <c r="E118"/>
  <c r="K117"/>
  <c r="J117"/>
  <c r="H117"/>
  <c r="G117"/>
  <c r="F117"/>
  <c r="K116"/>
  <c r="J116"/>
  <c r="R116"/>
  <c r="H116"/>
  <c r="G116"/>
  <c r="F116"/>
  <c r="K115"/>
  <c r="J115"/>
  <c r="H115"/>
  <c r="G115"/>
  <c r="F115"/>
  <c r="K114"/>
  <c r="J114"/>
  <c r="H114"/>
  <c r="R114" s="1"/>
  <c r="G114"/>
  <c r="F114"/>
  <c r="C113"/>
  <c r="V112"/>
  <c r="K119" s="1"/>
  <c r="T112"/>
  <c r="K118" s="1"/>
  <c r="U112"/>
  <c r="H119" s="1"/>
  <c r="S112"/>
  <c r="H118" s="1"/>
  <c r="F112"/>
  <c r="E112"/>
  <c r="D112"/>
  <c r="I112"/>
  <c r="C112"/>
  <c r="A112"/>
  <c r="L111"/>
  <c r="Q111" s="1"/>
  <c r="Z111"/>
  <c r="Y111"/>
  <c r="X111"/>
  <c r="K108"/>
  <c r="L110"/>
  <c r="G110"/>
  <c r="E110"/>
  <c r="J109"/>
  <c r="E109"/>
  <c r="J108"/>
  <c r="E108"/>
  <c r="K107"/>
  <c r="J107"/>
  <c r="H107"/>
  <c r="G107"/>
  <c r="F107"/>
  <c r="K106"/>
  <c r="J106"/>
  <c r="H106"/>
  <c r="G106"/>
  <c r="F106"/>
  <c r="K105"/>
  <c r="J105"/>
  <c r="H105"/>
  <c r="G105"/>
  <c r="F105"/>
  <c r="C104"/>
  <c r="V103"/>
  <c r="K109" s="1"/>
  <c r="T103"/>
  <c r="U103"/>
  <c r="H109" s="1"/>
  <c r="S103"/>
  <c r="H108" s="1"/>
  <c r="F103"/>
  <c r="E103"/>
  <c r="D103"/>
  <c r="I103"/>
  <c r="C103"/>
  <c r="A103"/>
  <c r="Q102"/>
  <c r="L102"/>
  <c r="Z102"/>
  <c r="Y102"/>
  <c r="X102"/>
  <c r="K99"/>
  <c r="L101"/>
  <c r="G101"/>
  <c r="E101"/>
  <c r="J100"/>
  <c r="E100"/>
  <c r="J99"/>
  <c r="E99"/>
  <c r="K98"/>
  <c r="J98"/>
  <c r="H98"/>
  <c r="G98"/>
  <c r="F98"/>
  <c r="K97"/>
  <c r="J97"/>
  <c r="H97"/>
  <c r="R97" s="1"/>
  <c r="G97"/>
  <c r="F97"/>
  <c r="K96"/>
  <c r="J102" s="1"/>
  <c r="P102" s="1"/>
  <c r="J96"/>
  <c r="H96"/>
  <c r="G96"/>
  <c r="F96"/>
  <c r="K95"/>
  <c r="J95"/>
  <c r="H95"/>
  <c r="G95"/>
  <c r="F95"/>
  <c r="C94"/>
  <c r="V93"/>
  <c r="K100" s="1"/>
  <c r="T93"/>
  <c r="U93"/>
  <c r="H100" s="1"/>
  <c r="S93"/>
  <c r="H99" s="1"/>
  <c r="F93"/>
  <c r="E93"/>
  <c r="D93"/>
  <c r="I93"/>
  <c r="C93"/>
  <c r="A93"/>
  <c r="A92"/>
  <c r="A90"/>
  <c r="A86"/>
  <c r="Q84"/>
  <c r="L84"/>
  <c r="Z84"/>
  <c r="Y84"/>
  <c r="X84"/>
  <c r="L83"/>
  <c r="G83"/>
  <c r="E83"/>
  <c r="J82"/>
  <c r="E82"/>
  <c r="J81"/>
  <c r="E81"/>
  <c r="K80"/>
  <c r="J80"/>
  <c r="H80"/>
  <c r="R80" s="1"/>
  <c r="G80"/>
  <c r="F80"/>
  <c r="K79"/>
  <c r="J79"/>
  <c r="H79"/>
  <c r="G79"/>
  <c r="F79"/>
  <c r="K78"/>
  <c r="J78"/>
  <c r="H78"/>
  <c r="R78" s="1"/>
  <c r="G78"/>
  <c r="F78"/>
  <c r="C77"/>
  <c r="V76"/>
  <c r="K82" s="1"/>
  <c r="T76"/>
  <c r="K81" s="1"/>
  <c r="U76"/>
  <c r="H82" s="1"/>
  <c r="S76"/>
  <c r="H81" s="1"/>
  <c r="F76"/>
  <c r="E76"/>
  <c r="D76"/>
  <c r="I76"/>
  <c r="C76"/>
  <c r="B76"/>
  <c r="A76"/>
  <c r="L75"/>
  <c r="Q75" s="1"/>
  <c r="Z75"/>
  <c r="Y75"/>
  <c r="X75"/>
  <c r="K72"/>
  <c r="L74"/>
  <c r="G74"/>
  <c r="E74"/>
  <c r="J73"/>
  <c r="E73"/>
  <c r="J72"/>
  <c r="E72"/>
  <c r="K71"/>
  <c r="J71"/>
  <c r="H71"/>
  <c r="R71" s="1"/>
  <c r="G71"/>
  <c r="F71"/>
  <c r="C70"/>
  <c r="V69"/>
  <c r="K73" s="1"/>
  <c r="T69"/>
  <c r="U69"/>
  <c r="H73" s="1"/>
  <c r="S69"/>
  <c r="H72" s="1"/>
  <c r="F69"/>
  <c r="E69"/>
  <c r="D69"/>
  <c r="I69"/>
  <c r="C69"/>
  <c r="B69"/>
  <c r="A69"/>
  <c r="L68"/>
  <c r="Q68" s="1"/>
  <c r="Z68"/>
  <c r="Y68"/>
  <c r="X68"/>
  <c r="K67"/>
  <c r="J67"/>
  <c r="Z67"/>
  <c r="Y67"/>
  <c r="X67"/>
  <c r="W67"/>
  <c r="H67"/>
  <c r="F67"/>
  <c r="V67"/>
  <c r="T67"/>
  <c r="U67"/>
  <c r="S67"/>
  <c r="E67"/>
  <c r="D67"/>
  <c r="C67"/>
  <c r="B67"/>
  <c r="A67"/>
  <c r="L66"/>
  <c r="G66"/>
  <c r="E66"/>
  <c r="J65"/>
  <c r="E65"/>
  <c r="J64"/>
  <c r="E64"/>
  <c r="K63"/>
  <c r="J63"/>
  <c r="H63"/>
  <c r="G63"/>
  <c r="F63"/>
  <c r="C62"/>
  <c r="V61"/>
  <c r="K65" s="1"/>
  <c r="T61"/>
  <c r="K64" s="1"/>
  <c r="U61"/>
  <c r="S61"/>
  <c r="F61"/>
  <c r="E61"/>
  <c r="D61"/>
  <c r="I61"/>
  <c r="C61"/>
  <c r="B61"/>
  <c r="A61"/>
  <c r="L60"/>
  <c r="Q60" s="1"/>
  <c r="Z60"/>
  <c r="Y60"/>
  <c r="X60"/>
  <c r="L59"/>
  <c r="G59"/>
  <c r="E59"/>
  <c r="J58"/>
  <c r="E58"/>
  <c r="J57"/>
  <c r="E57"/>
  <c r="K56"/>
  <c r="J56"/>
  <c r="H56"/>
  <c r="G56"/>
  <c r="F56"/>
  <c r="C55"/>
  <c r="V54"/>
  <c r="K58" s="1"/>
  <c r="T54"/>
  <c r="K57" s="1"/>
  <c r="U54"/>
  <c r="H58" s="1"/>
  <c r="S54"/>
  <c r="H57" s="1"/>
  <c r="F54"/>
  <c r="E54"/>
  <c r="D54"/>
  <c r="I54"/>
  <c r="C54"/>
  <c r="B54"/>
  <c r="A54"/>
  <c r="Q53"/>
  <c r="L53"/>
  <c r="Z53"/>
  <c r="Y53"/>
  <c r="X53"/>
  <c r="L52"/>
  <c r="G52"/>
  <c r="E52"/>
  <c r="J51"/>
  <c r="E51"/>
  <c r="J50"/>
  <c r="E50"/>
  <c r="K49"/>
  <c r="J49"/>
  <c r="H49"/>
  <c r="R49" s="1"/>
  <c r="G49"/>
  <c r="F49"/>
  <c r="K48"/>
  <c r="J48"/>
  <c r="H48"/>
  <c r="G48"/>
  <c r="F48"/>
  <c r="K47"/>
  <c r="J47"/>
  <c r="R47"/>
  <c r="H47"/>
  <c r="G47"/>
  <c r="F47"/>
  <c r="C46"/>
  <c r="V45"/>
  <c r="K51" s="1"/>
  <c r="T45"/>
  <c r="K50" s="1"/>
  <c r="U45"/>
  <c r="H51" s="1"/>
  <c r="S45"/>
  <c r="H50" s="1"/>
  <c r="F45"/>
  <c r="E45"/>
  <c r="D45"/>
  <c r="I45"/>
  <c r="C45"/>
  <c r="B45"/>
  <c r="A45"/>
  <c r="A44"/>
  <c r="A42"/>
  <c r="A22"/>
  <c r="B19"/>
  <c r="B15"/>
  <c r="H13"/>
  <c r="H6"/>
  <c r="B6"/>
  <c r="A1"/>
  <c r="A1" i="4"/>
  <c r="A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1" i="3"/>
  <c r="CY1"/>
  <c r="CZ1"/>
  <c r="DA1"/>
  <c r="DB1"/>
  <c r="DC1"/>
  <c r="A2"/>
  <c r="CY2"/>
  <c r="CZ2"/>
  <c r="DA2"/>
  <c r="DB2"/>
  <c r="DC2"/>
  <c r="A3"/>
  <c r="CY3"/>
  <c r="CZ3"/>
  <c r="DA3"/>
  <c r="DB3"/>
  <c r="DC3"/>
  <c r="A4"/>
  <c r="CY4"/>
  <c r="CZ4"/>
  <c r="DB4" s="1"/>
  <c r="DA4"/>
  <c r="DC4"/>
  <c r="A5"/>
  <c r="CY5"/>
  <c r="CZ5"/>
  <c r="DB5" s="1"/>
  <c r="DA5"/>
  <c r="DC5"/>
  <c r="A6"/>
  <c r="CY6"/>
  <c r="CZ6"/>
  <c r="DA6"/>
  <c r="DB6"/>
  <c r="DC6"/>
  <c r="A7"/>
  <c r="CY7"/>
  <c r="CZ7"/>
  <c r="DA7"/>
  <c r="DB7"/>
  <c r="DC7"/>
  <c r="A8"/>
  <c r="CY8"/>
  <c r="CZ8"/>
  <c r="DB8" s="1"/>
  <c r="DA8"/>
  <c r="DC8"/>
  <c r="A9"/>
  <c r="CY9"/>
  <c r="CZ9"/>
  <c r="DB9" s="1"/>
  <c r="DA9"/>
  <c r="DC9"/>
  <c r="A10"/>
  <c r="CY10"/>
  <c r="CZ10"/>
  <c r="DA10"/>
  <c r="DB10"/>
  <c r="DC10"/>
  <c r="A11"/>
  <c r="CY11"/>
  <c r="CZ11"/>
  <c r="DA11"/>
  <c r="DB11"/>
  <c r="DC11"/>
  <c r="A12"/>
  <c r="CY12"/>
  <c r="CZ12"/>
  <c r="DB12" s="1"/>
  <c r="DA12"/>
  <c r="DC12"/>
  <c r="A13"/>
  <c r="CY13"/>
  <c r="CZ13"/>
  <c r="DB13" s="1"/>
  <c r="DA13"/>
  <c r="DC13"/>
  <c r="A14"/>
  <c r="CY14"/>
  <c r="CZ14"/>
  <c r="DA14"/>
  <c r="DB14"/>
  <c r="DC14"/>
  <c r="A15"/>
  <c r="CY15"/>
  <c r="CZ15"/>
  <c r="DA15"/>
  <c r="DB15"/>
  <c r="DC15"/>
  <c r="A16"/>
  <c r="CY16"/>
  <c r="CZ16"/>
  <c r="DB16" s="1"/>
  <c r="DA16"/>
  <c r="DC16"/>
  <c r="A17"/>
  <c r="CY17"/>
  <c r="CZ17"/>
  <c r="DB17" s="1"/>
  <c r="DA17"/>
  <c r="DC17"/>
  <c r="A18"/>
  <c r="CY18"/>
  <c r="CZ18"/>
  <c r="DA18"/>
  <c r="DB18"/>
  <c r="DC18"/>
  <c r="A19"/>
  <c r="CY19"/>
  <c r="CZ19"/>
  <c r="DA19"/>
  <c r="DB19"/>
  <c r="DC19"/>
  <c r="A20"/>
  <c r="CY20"/>
  <c r="CZ20"/>
  <c r="DB20" s="1"/>
  <c r="DA20"/>
  <c r="DC20"/>
  <c r="A21"/>
  <c r="CY21"/>
  <c r="CZ21"/>
  <c r="DB21" s="1"/>
  <c r="DA21"/>
  <c r="DC21"/>
  <c r="A22"/>
  <c r="CY22"/>
  <c r="CZ22"/>
  <c r="DA22"/>
  <c r="DB22"/>
  <c r="DC22"/>
  <c r="A23"/>
  <c r="CY23"/>
  <c r="CZ23"/>
  <c r="DA23"/>
  <c r="DB23"/>
  <c r="DC23"/>
  <c r="A24"/>
  <c r="CY24"/>
  <c r="CZ24"/>
  <c r="DB24" s="1"/>
  <c r="DA24"/>
  <c r="DC24"/>
  <c r="A25"/>
  <c r="CY25"/>
  <c r="CZ25"/>
  <c r="DB25" s="1"/>
  <c r="DA25"/>
  <c r="DC25"/>
  <c r="A26"/>
  <c r="CY26"/>
  <c r="CZ26"/>
  <c r="DA26"/>
  <c r="DB26"/>
  <c r="DC26"/>
  <c r="A27"/>
  <c r="CY27"/>
  <c r="CZ27"/>
  <c r="DA27"/>
  <c r="DB27"/>
  <c r="DC27"/>
  <c r="A28"/>
  <c r="CY28"/>
  <c r="CZ28"/>
  <c r="DB28" s="1"/>
  <c r="DA28"/>
  <c r="DC28"/>
  <c r="A29"/>
  <c r="CY29"/>
  <c r="CZ29"/>
  <c r="DB29" s="1"/>
  <c r="DA29"/>
  <c r="DC29"/>
  <c r="A30"/>
  <c r="CY30"/>
  <c r="CZ30"/>
  <c r="DA30"/>
  <c r="DB30"/>
  <c r="DC30"/>
  <c r="A31"/>
  <c r="CY31"/>
  <c r="CZ31"/>
  <c r="DA31"/>
  <c r="DB31"/>
  <c r="DC31"/>
  <c r="A32"/>
  <c r="CY32"/>
  <c r="CZ32"/>
  <c r="DB32" s="1"/>
  <c r="DA32"/>
  <c r="DC32"/>
  <c r="A33"/>
  <c r="CY33"/>
  <c r="CZ33"/>
  <c r="DB33" s="1"/>
  <c r="DA33"/>
  <c r="DC33"/>
  <c r="A34"/>
  <c r="CY34"/>
  <c r="CZ34"/>
  <c r="DA34"/>
  <c r="DB34"/>
  <c r="DC34"/>
  <c r="A35"/>
  <c r="CY35"/>
  <c r="CZ35"/>
  <c r="DA35"/>
  <c r="DB35"/>
  <c r="DC35"/>
  <c r="A36"/>
  <c r="CY36"/>
  <c r="CZ36"/>
  <c r="DB36" s="1"/>
  <c r="DA36"/>
  <c r="DC36"/>
  <c r="A37"/>
  <c r="CY37"/>
  <c r="CZ37"/>
  <c r="DB37" s="1"/>
  <c r="DA37"/>
  <c r="DC37"/>
  <c r="A38"/>
  <c r="CY38"/>
  <c r="CZ38"/>
  <c r="DA38"/>
  <c r="DB38"/>
  <c r="DC38"/>
  <c r="A39"/>
  <c r="CY39"/>
  <c r="CZ39"/>
  <c r="DA39"/>
  <c r="DB39"/>
  <c r="DC39"/>
  <c r="A40"/>
  <c r="CY40"/>
  <c r="CZ40"/>
  <c r="DB40" s="1"/>
  <c r="DA40"/>
  <c r="DC40"/>
  <c r="A41"/>
  <c r="CY41"/>
  <c r="CZ41"/>
  <c r="DB41" s="1"/>
  <c r="DA41"/>
  <c r="DC41"/>
  <c r="A42"/>
  <c r="CY42"/>
  <c r="CZ42"/>
  <c r="DA42"/>
  <c r="DB42"/>
  <c r="DC42"/>
  <c r="A43"/>
  <c r="CY43"/>
  <c r="CZ43"/>
  <c r="DA43"/>
  <c r="DB43"/>
  <c r="DC43"/>
  <c r="A44"/>
  <c r="CY44"/>
  <c r="CZ44"/>
  <c r="DB44" s="1"/>
  <c r="DA44"/>
  <c r="DC44"/>
  <c r="A45"/>
  <c r="CY45"/>
  <c r="CZ45"/>
  <c r="DB45" s="1"/>
  <c r="DA45"/>
  <c r="DC45"/>
  <c r="A46"/>
  <c r="CY46"/>
  <c r="CZ46"/>
  <c r="DA46"/>
  <c r="DB46"/>
  <c r="DC46"/>
  <c r="A47"/>
  <c r="CY47"/>
  <c r="CZ47"/>
  <c r="DA47"/>
  <c r="DB47"/>
  <c r="DC47"/>
  <c r="A48"/>
  <c r="CY48"/>
  <c r="CZ48"/>
  <c r="DB48" s="1"/>
  <c r="DA48"/>
  <c r="DC48"/>
  <c r="A49"/>
  <c r="CY49"/>
  <c r="CZ49"/>
  <c r="DB49" s="1"/>
  <c r="DA49"/>
  <c r="DC49"/>
  <c r="A50"/>
  <c r="CY50"/>
  <c r="CZ50"/>
  <c r="DA50"/>
  <c r="DB50"/>
  <c r="DC50"/>
  <c r="A51"/>
  <c r="CY51"/>
  <c r="CZ51"/>
  <c r="DA51"/>
  <c r="DB51"/>
  <c r="DC51"/>
  <c r="A52"/>
  <c r="CY52"/>
  <c r="CZ52"/>
  <c r="DB52" s="1"/>
  <c r="DA52"/>
  <c r="DC52"/>
  <c r="A53"/>
  <c r="CY53"/>
  <c r="CZ53"/>
  <c r="DB53" s="1"/>
  <c r="DA53"/>
  <c r="DC53"/>
  <c r="A54"/>
  <c r="CY54"/>
  <c r="CZ54"/>
  <c r="DA54"/>
  <c r="DB54"/>
  <c r="DC54"/>
  <c r="A55"/>
  <c r="CY55"/>
  <c r="CZ55"/>
  <c r="DA55"/>
  <c r="DB55"/>
  <c r="DC55"/>
  <c r="A56"/>
  <c r="CY56"/>
  <c r="CZ56"/>
  <c r="DB56" s="1"/>
  <c r="DA56"/>
  <c r="DC56"/>
  <c r="A57"/>
  <c r="CY57"/>
  <c r="CZ57"/>
  <c r="DB57" s="1"/>
  <c r="DA57"/>
  <c r="DC57"/>
  <c r="A58"/>
  <c r="CY58"/>
  <c r="CZ58"/>
  <c r="DA58"/>
  <c r="DB58"/>
  <c r="DC58"/>
  <c r="A59"/>
  <c r="CY59"/>
  <c r="CZ59"/>
  <c r="DA59"/>
  <c r="DB59"/>
  <c r="DC59"/>
  <c r="A60"/>
  <c r="CY60"/>
  <c r="CZ60"/>
  <c r="DB60" s="1"/>
  <c r="DA60"/>
  <c r="DC60"/>
  <c r="A61"/>
  <c r="CY61"/>
  <c r="CZ61"/>
  <c r="DB61" s="1"/>
  <c r="DA61"/>
  <c r="DC61"/>
  <c r="A62"/>
  <c r="CY62"/>
  <c r="CZ62"/>
  <c r="DA62"/>
  <c r="DB62"/>
  <c r="DC62"/>
  <c r="A63"/>
  <c r="CY63"/>
  <c r="CZ63"/>
  <c r="DA63"/>
  <c r="DB63"/>
  <c r="DC63"/>
  <c r="A64"/>
  <c r="CY64"/>
  <c r="CZ64"/>
  <c r="DB64" s="1"/>
  <c r="DA64"/>
  <c r="DC64"/>
  <c r="A65"/>
  <c r="CY65"/>
  <c r="CZ65"/>
  <c r="DB65" s="1"/>
  <c r="DA65"/>
  <c r="DC65"/>
  <c r="A66"/>
  <c r="CY66"/>
  <c r="CZ66"/>
  <c r="DA66"/>
  <c r="DB66"/>
  <c r="DC66"/>
  <c r="A67"/>
  <c r="CY67"/>
  <c r="CZ67"/>
  <c r="DA67"/>
  <c r="DB67"/>
  <c r="DC67"/>
  <c r="A68"/>
  <c r="CY68"/>
  <c r="CZ68"/>
  <c r="DB68" s="1"/>
  <c r="DA68"/>
  <c r="DC68"/>
  <c r="A69"/>
  <c r="CY69"/>
  <c r="CZ69"/>
  <c r="DB69" s="1"/>
  <c r="DA69"/>
  <c r="DC69"/>
  <c r="A70"/>
  <c r="CY70"/>
  <c r="CZ70"/>
  <c r="DA70"/>
  <c r="DB70"/>
  <c r="DC70"/>
  <c r="A71"/>
  <c r="CY71"/>
  <c r="CZ71"/>
  <c r="DA71"/>
  <c r="DB71"/>
  <c r="DC71"/>
  <c r="A72"/>
  <c r="CY72"/>
  <c r="CZ72"/>
  <c r="DB72" s="1"/>
  <c r="DA72"/>
  <c r="DC72"/>
  <c r="A73"/>
  <c r="CY73"/>
  <c r="CZ73"/>
  <c r="DB73" s="1"/>
  <c r="DA73"/>
  <c r="DC73"/>
  <c r="A74"/>
  <c r="CY74"/>
  <c r="CZ74"/>
  <c r="DA74"/>
  <c r="DB74"/>
  <c r="DC74"/>
  <c r="A75"/>
  <c r="CY75"/>
  <c r="CZ75"/>
  <c r="DA75"/>
  <c r="DB75"/>
  <c r="DC75"/>
  <c r="A76"/>
  <c r="CY76"/>
  <c r="CZ76"/>
  <c r="DB76" s="1"/>
  <c r="DA76"/>
  <c r="DC76"/>
  <c r="A77"/>
  <c r="CY77"/>
  <c r="CZ77"/>
  <c r="DB77" s="1"/>
  <c r="DA77"/>
  <c r="DC77"/>
  <c r="A78"/>
  <c r="CY78"/>
  <c r="CZ78"/>
  <c r="DA78"/>
  <c r="DB78"/>
  <c r="DC78"/>
  <c r="A79"/>
  <c r="CY79"/>
  <c r="CZ79"/>
  <c r="DA79"/>
  <c r="DB79"/>
  <c r="DC79"/>
  <c r="A80"/>
  <c r="CY80"/>
  <c r="CZ80"/>
  <c r="DB80" s="1"/>
  <c r="DA80"/>
  <c r="DC80"/>
  <c r="A81"/>
  <c r="CY81"/>
  <c r="CZ81"/>
  <c r="DB81" s="1"/>
  <c r="DA81"/>
  <c r="DC81"/>
  <c r="A82"/>
  <c r="CY82"/>
  <c r="CZ82"/>
  <c r="DA82"/>
  <c r="DB82"/>
  <c r="DC82"/>
  <c r="A83"/>
  <c r="CY83"/>
  <c r="CZ83"/>
  <c r="DA83"/>
  <c r="DB83"/>
  <c r="DC83"/>
  <c r="A84"/>
  <c r="CY84"/>
  <c r="CZ84"/>
  <c r="DB84" s="1"/>
  <c r="DA84"/>
  <c r="DC84"/>
  <c r="A85"/>
  <c r="CY85"/>
  <c r="CZ85"/>
  <c r="DB85" s="1"/>
  <c r="DA85"/>
  <c r="DC85"/>
  <c r="A86"/>
  <c r="CY86"/>
  <c r="CZ86"/>
  <c r="DA86"/>
  <c r="DB86"/>
  <c r="DC86"/>
  <c r="A87"/>
  <c r="CY87"/>
  <c r="CZ87"/>
  <c r="DA87"/>
  <c r="DB87"/>
  <c r="DC87"/>
  <c r="A88"/>
  <c r="CY88"/>
  <c r="CZ88"/>
  <c r="DB88" s="1"/>
  <c r="DA88"/>
  <c r="DC88"/>
  <c r="A89"/>
  <c r="CY89"/>
  <c r="CZ89"/>
  <c r="DB89" s="1"/>
  <c r="DA89"/>
  <c r="DC89"/>
  <c r="A90"/>
  <c r="CY90"/>
  <c r="CZ90"/>
  <c r="DA90"/>
  <c r="DB90"/>
  <c r="DC90"/>
  <c r="A91"/>
  <c r="CY91"/>
  <c r="CZ91"/>
  <c r="DA91"/>
  <c r="DB91"/>
  <c r="DC91"/>
  <c r="A92"/>
  <c r="CY92"/>
  <c r="CZ92"/>
  <c r="DB92" s="1"/>
  <c r="DA92"/>
  <c r="DC92"/>
  <c r="A93"/>
  <c r="CY93"/>
  <c r="CZ93"/>
  <c r="DB93" s="1"/>
  <c r="DA93"/>
  <c r="DC93"/>
  <c r="A94"/>
  <c r="CY94"/>
  <c r="CZ94"/>
  <c r="DA94"/>
  <c r="DB94"/>
  <c r="DC94"/>
  <c r="A95"/>
  <c r="CY95"/>
  <c r="CZ95"/>
  <c r="DA95"/>
  <c r="DB95"/>
  <c r="DC95"/>
  <c r="A96"/>
  <c r="CY96"/>
  <c r="CZ96"/>
  <c r="DB96" s="1"/>
  <c r="DA96"/>
  <c r="DC96"/>
  <c r="A97"/>
  <c r="CY97"/>
  <c r="CZ97"/>
  <c r="DB97" s="1"/>
  <c r="DA97"/>
  <c r="DC97"/>
  <c r="A98"/>
  <c r="CY98"/>
  <c r="CZ98"/>
  <c r="DA98"/>
  <c r="DB98"/>
  <c r="DC98"/>
  <c r="A99"/>
  <c r="CY99"/>
  <c r="CZ99"/>
  <c r="DA99"/>
  <c r="DB99"/>
  <c r="DC99"/>
  <c r="A100"/>
  <c r="CY100"/>
  <c r="CZ100"/>
  <c r="DB100" s="1"/>
  <c r="DA100"/>
  <c r="DC100"/>
  <c r="A101"/>
  <c r="CY101"/>
  <c r="CZ101"/>
  <c r="DB101" s="1"/>
  <c r="DA101"/>
  <c r="DC101"/>
  <c r="A102"/>
  <c r="CY102"/>
  <c r="CZ102"/>
  <c r="DA102"/>
  <c r="DB102"/>
  <c r="DC102"/>
  <c r="A103"/>
  <c r="CY103"/>
  <c r="CZ103"/>
  <c r="DA103"/>
  <c r="DB103"/>
  <c r="DC103"/>
  <c r="A104"/>
  <c r="CY104"/>
  <c r="CZ104"/>
  <c r="DB104" s="1"/>
  <c r="DA104"/>
  <c r="DC104"/>
  <c r="A105"/>
  <c r="CY105"/>
  <c r="CZ105"/>
  <c r="DB105" s="1"/>
  <c r="DA105"/>
  <c r="DC105"/>
  <c r="A106"/>
  <c r="CY106"/>
  <c r="CZ106"/>
  <c r="DA106"/>
  <c r="DB106"/>
  <c r="DC106"/>
  <c r="A107"/>
  <c r="CY107"/>
  <c r="CZ107"/>
  <c r="DA107"/>
  <c r="DB107"/>
  <c r="DC107"/>
  <c r="A108"/>
  <c r="CY108"/>
  <c r="CZ108"/>
  <c r="DB108" s="1"/>
  <c r="DA108"/>
  <c r="DC108"/>
  <c r="A109"/>
  <c r="CY109"/>
  <c r="CZ109"/>
  <c r="DB109" s="1"/>
  <c r="DA109"/>
  <c r="DC109"/>
  <c r="A110"/>
  <c r="CY110"/>
  <c r="CZ110"/>
  <c r="DA110"/>
  <c r="DB110"/>
  <c r="DC110"/>
  <c r="A111"/>
  <c r="CY111"/>
  <c r="CZ111"/>
  <c r="DA111"/>
  <c r="DB111"/>
  <c r="DC111"/>
  <c r="A112"/>
  <c r="CX112"/>
  <c r="CY112"/>
  <c r="CZ112"/>
  <c r="DB112" s="1"/>
  <c r="DA112"/>
  <c r="DC112"/>
  <c r="A113"/>
  <c r="CX113"/>
  <c r="CY113"/>
  <c r="CZ113"/>
  <c r="DB113" s="1"/>
  <c r="DA113"/>
  <c r="DC113"/>
  <c r="A114"/>
  <c r="CX114"/>
  <c r="CY114"/>
  <c r="CZ114"/>
  <c r="DA114"/>
  <c r="DB114"/>
  <c r="DC114"/>
  <c r="A115"/>
  <c r="CX115"/>
  <c r="CY115"/>
  <c r="CZ115"/>
  <c r="DA115"/>
  <c r="DB115"/>
  <c r="DC115"/>
  <c r="A116"/>
  <c r="CY116"/>
  <c r="CZ116"/>
  <c r="DB116" s="1"/>
  <c r="DA116"/>
  <c r="DC116"/>
  <c r="A117"/>
  <c r="CY117"/>
  <c r="CZ117"/>
  <c r="DB117" s="1"/>
  <c r="DA117"/>
  <c r="DC117"/>
  <c r="A118"/>
  <c r="CY118"/>
  <c r="CZ118"/>
  <c r="DA118"/>
  <c r="DB118"/>
  <c r="DC118"/>
  <c r="A119"/>
  <c r="CY119"/>
  <c r="CZ119"/>
  <c r="DA119"/>
  <c r="DB119"/>
  <c r="DC119"/>
  <c r="A120"/>
  <c r="CY120"/>
  <c r="CZ120"/>
  <c r="DB120" s="1"/>
  <c r="DA120"/>
  <c r="DC120"/>
  <c r="A121"/>
  <c r="CY121"/>
  <c r="CZ121"/>
  <c r="DB121" s="1"/>
  <c r="DA121"/>
  <c r="DC121"/>
  <c r="A122"/>
  <c r="CY122"/>
  <c r="CZ122"/>
  <c r="DA122"/>
  <c r="DB122"/>
  <c r="DC122"/>
  <c r="A123"/>
  <c r="CY123"/>
  <c r="CZ123"/>
  <c r="DA123"/>
  <c r="DB123"/>
  <c r="DC123"/>
  <c r="A124"/>
  <c r="CY124"/>
  <c r="CZ124"/>
  <c r="DB124" s="1"/>
  <c r="DA124"/>
  <c r="DC124"/>
  <c r="A125"/>
  <c r="CY125"/>
  <c r="CZ125"/>
  <c r="DB125" s="1"/>
  <c r="DA125"/>
  <c r="DC125"/>
  <c r="A126"/>
  <c r="CY126"/>
  <c r="CZ126"/>
  <c r="DA126"/>
  <c r="DB126"/>
  <c r="DC126"/>
  <c r="A127"/>
  <c r="CY127"/>
  <c r="CZ127"/>
  <c r="DA127"/>
  <c r="DB127"/>
  <c r="DC127"/>
  <c r="A128"/>
  <c r="CY128"/>
  <c r="CZ128"/>
  <c r="DB128" s="1"/>
  <c r="DA128"/>
  <c r="DC128"/>
  <c r="A129"/>
  <c r="CY129"/>
  <c r="CZ129"/>
  <c r="DB129" s="1"/>
  <c r="DA129"/>
  <c r="DC129"/>
  <c r="A130"/>
  <c r="CY130"/>
  <c r="CZ130"/>
  <c r="DA130"/>
  <c r="DB130"/>
  <c r="DC130"/>
  <c r="A131"/>
  <c r="CY131"/>
  <c r="CZ131"/>
  <c r="DA131"/>
  <c r="DB131"/>
  <c r="DC131"/>
  <c r="A132"/>
  <c r="CY132"/>
  <c r="CZ132"/>
  <c r="DB132" s="1"/>
  <c r="DA132"/>
  <c r="DC132"/>
  <c r="A133"/>
  <c r="CY133"/>
  <c r="CZ133"/>
  <c r="DB133" s="1"/>
  <c r="DA133"/>
  <c r="DC133"/>
  <c r="A134"/>
  <c r="CY134"/>
  <c r="CZ134"/>
  <c r="DA134"/>
  <c r="DB134"/>
  <c r="DC134"/>
  <c r="A135"/>
  <c r="CY135"/>
  <c r="CZ135"/>
  <c r="DA135"/>
  <c r="DB135"/>
  <c r="DC135"/>
  <c r="A136"/>
  <c r="CY136"/>
  <c r="CZ136"/>
  <c r="DB136" s="1"/>
  <c r="DA136"/>
  <c r="DC136"/>
  <c r="A137"/>
  <c r="CY137"/>
  <c r="CZ137"/>
  <c r="DB137" s="1"/>
  <c r="DA137"/>
  <c r="DC137"/>
  <c r="A138"/>
  <c r="CY138"/>
  <c r="CZ138"/>
  <c r="DA138"/>
  <c r="DB138"/>
  <c r="DC138"/>
  <c r="A139"/>
  <c r="CY139"/>
  <c r="CZ139"/>
  <c r="DA139"/>
  <c r="DB139"/>
  <c r="DC139"/>
  <c r="A140"/>
  <c r="CY140"/>
  <c r="CZ140"/>
  <c r="DB140" s="1"/>
  <c r="DA140"/>
  <c r="DC140"/>
  <c r="A141"/>
  <c r="CY141"/>
  <c r="CZ141"/>
  <c r="DB141" s="1"/>
  <c r="DA141"/>
  <c r="DC141"/>
  <c r="A142"/>
  <c r="CY142"/>
  <c r="CZ142"/>
  <c r="DA142"/>
  <c r="DB142"/>
  <c r="DC142"/>
  <c r="A143"/>
  <c r="CY143"/>
  <c r="CZ143"/>
  <c r="DA143"/>
  <c r="DB143"/>
  <c r="DC143"/>
  <c r="A144"/>
  <c r="CY144"/>
  <c r="CZ144"/>
  <c r="DB144" s="1"/>
  <c r="DA144"/>
  <c r="DC144"/>
  <c r="A145"/>
  <c r="CY145"/>
  <c r="CZ145"/>
  <c r="DB145" s="1"/>
  <c r="DA145"/>
  <c r="DC145"/>
  <c r="A146"/>
  <c r="CY146"/>
  <c r="CZ146"/>
  <c r="DA146"/>
  <c r="DB146"/>
  <c r="DC146"/>
  <c r="A147"/>
  <c r="CY147"/>
  <c r="CZ147"/>
  <c r="DA147"/>
  <c r="DB147"/>
  <c r="DC147"/>
  <c r="A148"/>
  <c r="CY148"/>
  <c r="CZ148"/>
  <c r="DB148" s="1"/>
  <c r="DA148"/>
  <c r="DC148"/>
  <c r="A149"/>
  <c r="CY149"/>
  <c r="CZ149"/>
  <c r="DB149" s="1"/>
  <c r="DA149"/>
  <c r="DC149"/>
  <c r="A150"/>
  <c r="CY150"/>
  <c r="CZ150"/>
  <c r="DA150"/>
  <c r="DB150"/>
  <c r="DC150"/>
  <c r="A151"/>
  <c r="CY151"/>
  <c r="CZ151"/>
  <c r="DA151"/>
  <c r="DB151"/>
  <c r="DC151"/>
  <c r="A152"/>
  <c r="CY152"/>
  <c r="CZ152"/>
  <c r="DB152" s="1"/>
  <c r="DA152"/>
  <c r="DC152"/>
  <c r="A153"/>
  <c r="CY153"/>
  <c r="CZ153"/>
  <c r="DB153" s="1"/>
  <c r="DA153"/>
  <c r="DC153"/>
  <c r="A154"/>
  <c r="CY154"/>
  <c r="CZ154"/>
  <c r="DA154"/>
  <c r="DB154"/>
  <c r="DC154"/>
  <c r="A155"/>
  <c r="CY155"/>
  <c r="CZ155"/>
  <c r="DA155"/>
  <c r="DB155"/>
  <c r="DC155"/>
  <c r="A156"/>
  <c r="CY156"/>
  <c r="CZ156"/>
  <c r="DB156" s="1"/>
  <c r="DA156"/>
  <c r="DC156"/>
  <c r="A157"/>
  <c r="CY157"/>
  <c r="CZ157"/>
  <c r="DB157" s="1"/>
  <c r="DA157"/>
  <c r="DC157"/>
  <c r="A158"/>
  <c r="CY158"/>
  <c r="CZ158"/>
  <c r="DA158"/>
  <c r="DB158"/>
  <c r="DC158"/>
  <c r="A159"/>
  <c r="CY159"/>
  <c r="CZ159"/>
  <c r="DA159"/>
  <c r="DB159"/>
  <c r="DC159"/>
  <c r="A160"/>
  <c r="CY160"/>
  <c r="CZ160"/>
  <c r="DB160" s="1"/>
  <c r="DA160"/>
  <c r="DC160"/>
  <c r="A161"/>
  <c r="CY161"/>
  <c r="CZ161"/>
  <c r="DB161" s="1"/>
  <c r="DA161"/>
  <c r="DC161"/>
  <c r="A162"/>
  <c r="CY162"/>
  <c r="CZ162"/>
  <c r="DA162"/>
  <c r="DB162"/>
  <c r="DC162"/>
  <c r="A163"/>
  <c r="CY163"/>
  <c r="CZ163"/>
  <c r="DA163"/>
  <c r="DB163"/>
  <c r="DC163"/>
  <c r="A164"/>
  <c r="CY164"/>
  <c r="CZ164"/>
  <c r="DB164" s="1"/>
  <c r="DA164"/>
  <c r="DC164"/>
  <c r="A165"/>
  <c r="CY165"/>
  <c r="CZ165"/>
  <c r="DB165" s="1"/>
  <c r="DA165"/>
  <c r="DC165"/>
  <c r="A166"/>
  <c r="CY166"/>
  <c r="CZ166"/>
  <c r="DA166"/>
  <c r="DB166"/>
  <c r="DC166"/>
  <c r="A167"/>
  <c r="CY167"/>
  <c r="CZ167"/>
  <c r="DA167"/>
  <c r="DB167"/>
  <c r="DC167"/>
  <c r="A168"/>
  <c r="CY168"/>
  <c r="CZ168"/>
  <c r="DB168" s="1"/>
  <c r="DA168"/>
  <c r="DC168"/>
  <c r="A169"/>
  <c r="CY169"/>
  <c r="CZ169"/>
  <c r="DB169" s="1"/>
  <c r="DA169"/>
  <c r="DC169"/>
  <c r="A170"/>
  <c r="CY170"/>
  <c r="CZ170"/>
  <c r="DA170"/>
  <c r="DB170"/>
  <c r="DC170"/>
  <c r="A171"/>
  <c r="CY171"/>
  <c r="CZ171"/>
  <c r="DA171"/>
  <c r="DB171"/>
  <c r="DC171"/>
  <c r="A172"/>
  <c r="CY172"/>
  <c r="CZ172"/>
  <c r="DB172" s="1"/>
  <c r="DA172"/>
  <c r="DC172"/>
  <c r="A173"/>
  <c r="CY173"/>
  <c r="CZ173"/>
  <c r="DB173" s="1"/>
  <c r="DA173"/>
  <c r="DC173"/>
  <c r="A174"/>
  <c r="CY174"/>
  <c r="CZ174"/>
  <c r="DA174"/>
  <c r="DB174"/>
  <c r="DC174"/>
  <c r="A175"/>
  <c r="CY175"/>
  <c r="CZ175"/>
  <c r="DA175"/>
  <c r="DB175"/>
  <c r="DC175"/>
  <c r="A176"/>
  <c r="CY176"/>
  <c r="CZ176"/>
  <c r="DB176" s="1"/>
  <c r="DA176"/>
  <c r="DC176"/>
  <c r="A177"/>
  <c r="CY177"/>
  <c r="CZ177"/>
  <c r="DB177" s="1"/>
  <c r="DA177"/>
  <c r="DC177"/>
  <c r="A178"/>
  <c r="CY178"/>
  <c r="CZ178"/>
  <c r="DA178"/>
  <c r="DB178"/>
  <c r="DC178"/>
  <c r="A179"/>
  <c r="CY179"/>
  <c r="CZ179"/>
  <c r="DA179"/>
  <c r="DB179"/>
  <c r="DC179"/>
  <c r="A180"/>
  <c r="CY180"/>
  <c r="CZ180"/>
  <c r="DB180" s="1"/>
  <c r="DA180"/>
  <c r="DC180"/>
  <c r="A181"/>
  <c r="CY181"/>
  <c r="CZ181"/>
  <c r="DB181" s="1"/>
  <c r="DA181"/>
  <c r="DC181"/>
  <c r="A182"/>
  <c r="CY182"/>
  <c r="CZ182"/>
  <c r="DA182"/>
  <c r="DB182"/>
  <c r="DC182"/>
  <c r="A183"/>
  <c r="CY183"/>
  <c r="CZ183"/>
  <c r="DA183"/>
  <c r="DB183"/>
  <c r="DC183"/>
  <c r="A184"/>
  <c r="CY184"/>
  <c r="CZ184"/>
  <c r="DB184" s="1"/>
  <c r="DA184"/>
  <c r="DC184"/>
  <c r="A185"/>
  <c r="CY185"/>
  <c r="CZ185"/>
  <c r="DB185" s="1"/>
  <c r="DA185"/>
  <c r="DC185"/>
  <c r="A186"/>
  <c r="CY186"/>
  <c r="CZ186"/>
  <c r="DA186"/>
  <c r="DB186"/>
  <c r="DC186"/>
  <c r="A187"/>
  <c r="CY187"/>
  <c r="CZ187"/>
  <c r="DA187"/>
  <c r="DB187"/>
  <c r="DC187"/>
  <c r="A188"/>
  <c r="CY188"/>
  <c r="CZ188"/>
  <c r="DB188" s="1"/>
  <c r="DA188"/>
  <c r="DC188"/>
  <c r="A189"/>
  <c r="CY189"/>
  <c r="CZ189"/>
  <c r="DB189" s="1"/>
  <c r="DA189"/>
  <c r="DC189"/>
  <c r="A190"/>
  <c r="CY190"/>
  <c r="CZ190"/>
  <c r="DA190"/>
  <c r="DB190"/>
  <c r="DC190"/>
  <c r="A191"/>
  <c r="CY191"/>
  <c r="CZ191"/>
  <c r="DA191"/>
  <c r="DB191"/>
  <c r="DC191"/>
  <c r="A192"/>
  <c r="CY192"/>
  <c r="CZ192"/>
  <c r="DB192" s="1"/>
  <c r="DA192"/>
  <c r="DC192"/>
  <c r="A193"/>
  <c r="CY193"/>
  <c r="CZ193"/>
  <c r="DB193" s="1"/>
  <c r="DA193"/>
  <c r="DC193"/>
  <c r="A194"/>
  <c r="CY194"/>
  <c r="CZ194"/>
  <c r="DA194"/>
  <c r="DB194"/>
  <c r="DC194"/>
  <c r="A195"/>
  <c r="CY195"/>
  <c r="CZ195"/>
  <c r="DA195"/>
  <c r="DB195"/>
  <c r="DC195"/>
  <c r="A196"/>
  <c r="CY196"/>
  <c r="CZ196"/>
  <c r="DB196" s="1"/>
  <c r="DA196"/>
  <c r="DC196"/>
  <c r="A197"/>
  <c r="CY197"/>
  <c r="CZ197"/>
  <c r="DB197" s="1"/>
  <c r="DA197"/>
  <c r="DC197"/>
  <c r="A198"/>
  <c r="CY198"/>
  <c r="CZ198"/>
  <c r="DA198"/>
  <c r="DB198"/>
  <c r="DC198"/>
  <c r="A199"/>
  <c r="CY199"/>
  <c r="CZ199"/>
  <c r="DA199"/>
  <c r="DB199"/>
  <c r="DC199"/>
  <c r="A200"/>
  <c r="CY200"/>
  <c r="CZ200"/>
  <c r="DB200" s="1"/>
  <c r="DA200"/>
  <c r="DC200"/>
  <c r="A201"/>
  <c r="CY201"/>
  <c r="CZ201"/>
  <c r="DB201" s="1"/>
  <c r="DA201"/>
  <c r="DC201"/>
  <c r="A202"/>
  <c r="CY202"/>
  <c r="CZ202"/>
  <c r="DA202"/>
  <c r="DB202"/>
  <c r="DC202"/>
  <c r="A203"/>
  <c r="CY203"/>
  <c r="CZ203"/>
  <c r="DA203"/>
  <c r="DB203"/>
  <c r="DC203"/>
  <c r="A204"/>
  <c r="CY204"/>
  <c r="CZ204"/>
  <c r="DB204" s="1"/>
  <c r="DA204"/>
  <c r="DC204"/>
  <c r="A205"/>
  <c r="CY205"/>
  <c r="CZ205"/>
  <c r="DB205" s="1"/>
  <c r="DA205"/>
  <c r="DC205"/>
  <c r="A206"/>
  <c r="CY206"/>
  <c r="CZ206"/>
  <c r="DA206"/>
  <c r="DB206"/>
  <c r="DC206"/>
  <c r="A207"/>
  <c r="CY207"/>
  <c r="CZ207"/>
  <c r="DA207"/>
  <c r="DB207"/>
  <c r="DC207"/>
  <c r="A208"/>
  <c r="CY208"/>
  <c r="CZ208"/>
  <c r="DB208" s="1"/>
  <c r="DA208"/>
  <c r="DC208"/>
  <c r="A209"/>
  <c r="CY209"/>
  <c r="CZ209"/>
  <c r="DB209" s="1"/>
  <c r="DA209"/>
  <c r="DC209"/>
  <c r="A210"/>
  <c r="CY210"/>
  <c r="CZ210"/>
  <c r="DA210"/>
  <c r="DB210"/>
  <c r="DC210"/>
  <c r="A211"/>
  <c r="CY211"/>
  <c r="CZ211"/>
  <c r="DA211"/>
  <c r="DB211"/>
  <c r="DC211"/>
  <c r="A212"/>
  <c r="CY212"/>
  <c r="CZ212"/>
  <c r="DB212" s="1"/>
  <c r="DA212"/>
  <c r="DC212"/>
  <c r="A213"/>
  <c r="CY213"/>
  <c r="CZ213"/>
  <c r="DB213" s="1"/>
  <c r="DA213"/>
  <c r="DC213"/>
  <c r="A214"/>
  <c r="CY214"/>
  <c r="CZ214"/>
  <c r="DA214"/>
  <c r="DB214"/>
  <c r="DC214"/>
  <c r="A215"/>
  <c r="CY215"/>
  <c r="CZ215"/>
  <c r="DA215"/>
  <c r="DB215"/>
  <c r="DC215"/>
  <c r="A216"/>
  <c r="CY216"/>
  <c r="CZ216"/>
  <c r="DB216" s="1"/>
  <c r="DA216"/>
  <c r="DC216"/>
  <c r="A217"/>
  <c r="CY217"/>
  <c r="CZ217"/>
  <c r="DB217" s="1"/>
  <c r="DA217"/>
  <c r="DC217"/>
  <c r="A218"/>
  <c r="CY218"/>
  <c r="CZ218"/>
  <c r="DA218"/>
  <c r="DB218"/>
  <c r="DC218"/>
  <c r="A219"/>
  <c r="CY219"/>
  <c r="CZ219"/>
  <c r="DA219"/>
  <c r="DB219"/>
  <c r="DC219"/>
  <c r="A220"/>
  <c r="CY220"/>
  <c r="CZ220"/>
  <c r="DB220" s="1"/>
  <c r="DA220"/>
  <c r="DC220"/>
  <c r="D12" i="1"/>
  <c r="E18"/>
  <c r="Z18"/>
  <c r="AA18"/>
  <c r="AB18"/>
  <c r="AC18"/>
  <c r="AD18"/>
  <c r="AE18"/>
  <c r="AF18"/>
  <c r="AG18"/>
  <c r="AH18"/>
  <c r="AI18"/>
  <c r="AJ18"/>
  <c r="AK18"/>
  <c r="AL18"/>
  <c r="AM18"/>
  <c r="AN18"/>
  <c r="BE18"/>
  <c r="BF18"/>
  <c r="BG18"/>
  <c r="BH18"/>
  <c r="BI18"/>
  <c r="BJ18"/>
  <c r="BK18"/>
  <c r="BL18"/>
  <c r="BM18"/>
  <c r="BN18"/>
  <c r="BO18"/>
  <c r="BP18"/>
  <c r="BQ18"/>
  <c r="BR18"/>
  <c r="BS18"/>
  <c r="BT18"/>
  <c r="BU18"/>
  <c r="BV18"/>
  <c r="BW18"/>
  <c r="BX18"/>
  <c r="BY18"/>
  <c r="BZ18"/>
  <c r="CA18"/>
  <c r="CB18"/>
  <c r="CC18"/>
  <c r="CD18"/>
  <c r="CE18"/>
  <c r="CF18"/>
  <c r="CG18"/>
  <c r="CH18"/>
  <c r="CI18"/>
  <c r="CJ18"/>
  <c r="CK18"/>
  <c r="CL18"/>
  <c r="CM18"/>
  <c r="CN18"/>
  <c r="CO18"/>
  <c r="CP18"/>
  <c r="CQ18"/>
  <c r="CR18"/>
  <c r="CS18"/>
  <c r="CT18"/>
  <c r="CU18"/>
  <c r="CV18"/>
  <c r="CW18"/>
  <c r="CX18"/>
  <c r="CY18"/>
  <c r="CZ18"/>
  <c r="DA18"/>
  <c r="DB18"/>
  <c r="DC18"/>
  <c r="DD18"/>
  <c r="DE18"/>
  <c r="DF18"/>
  <c r="DG18"/>
  <c r="DH18"/>
  <c r="DI18"/>
  <c r="DJ18"/>
  <c r="DK18"/>
  <c r="DL18"/>
  <c r="DM18"/>
  <c r="DN18"/>
  <c r="DO18"/>
  <c r="DP18"/>
  <c r="DQ18"/>
  <c r="DR18"/>
  <c r="DS18"/>
  <c r="DT18"/>
  <c r="DU18"/>
  <c r="DV18"/>
  <c r="DW18"/>
  <c r="DX18"/>
  <c r="DY18"/>
  <c r="DZ18"/>
  <c r="EA18"/>
  <c r="EB18"/>
  <c r="EC18"/>
  <c r="ED18"/>
  <c r="EE18"/>
  <c r="EF18"/>
  <c r="EG18"/>
  <c r="EH18"/>
  <c r="EI18"/>
  <c r="EJ18"/>
  <c r="EK18"/>
  <c r="EL18"/>
  <c r="EM18"/>
  <c r="EN18"/>
  <c r="EO18"/>
  <c r="EP18"/>
  <c r="EQ18"/>
  <c r="ER18"/>
  <c r="ES18"/>
  <c r="ET18"/>
  <c r="EU18"/>
  <c r="EV18"/>
  <c r="EW18"/>
  <c r="EX18"/>
  <c r="EY18"/>
  <c r="EZ18"/>
  <c r="FA18"/>
  <c r="FB18"/>
  <c r="FC18"/>
  <c r="FD18"/>
  <c r="FE18"/>
  <c r="FF18"/>
  <c r="FG18"/>
  <c r="FH18"/>
  <c r="FI18"/>
  <c r="FJ18"/>
  <c r="FK18"/>
  <c r="FL18"/>
  <c r="FM18"/>
  <c r="FN18"/>
  <c r="FO18"/>
  <c r="FP18"/>
  <c r="FQ18"/>
  <c r="FR18"/>
  <c r="FS18"/>
  <c r="FT18"/>
  <c r="FU18"/>
  <c r="FV18"/>
  <c r="FW18"/>
  <c r="FX18"/>
  <c r="FY18"/>
  <c r="FZ18"/>
  <c r="GA18"/>
  <c r="GB18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D20"/>
  <c r="E22"/>
  <c r="Z22"/>
  <c r="AA22"/>
  <c r="AB22"/>
  <c r="AC22"/>
  <c r="AD22"/>
  <c r="AE22"/>
  <c r="AF22"/>
  <c r="AG22"/>
  <c r="AH22"/>
  <c r="AI22"/>
  <c r="AJ22"/>
  <c r="AK22"/>
  <c r="AL22"/>
  <c r="AM22"/>
  <c r="AN22"/>
  <c r="BE22"/>
  <c r="BF22"/>
  <c r="BG22"/>
  <c r="BH22"/>
  <c r="BI22"/>
  <c r="BJ22"/>
  <c r="BK22"/>
  <c r="BL22"/>
  <c r="BM22"/>
  <c r="BN22"/>
  <c r="BO22"/>
  <c r="BP22"/>
  <c r="BQ22"/>
  <c r="BR22"/>
  <c r="BS22"/>
  <c r="BT22"/>
  <c r="BU22"/>
  <c r="BV22"/>
  <c r="BW22"/>
  <c r="BX22"/>
  <c r="BY22"/>
  <c r="BZ22"/>
  <c r="CA22"/>
  <c r="CB22"/>
  <c r="CC22"/>
  <c r="CD22"/>
  <c r="CE22"/>
  <c r="CF22"/>
  <c r="CG22"/>
  <c r="CH22"/>
  <c r="CI22"/>
  <c r="CJ22"/>
  <c r="CK22"/>
  <c r="CL22"/>
  <c r="CM22"/>
  <c r="CN22"/>
  <c r="CO22"/>
  <c r="CP22"/>
  <c r="CQ22"/>
  <c r="CR22"/>
  <c r="CS22"/>
  <c r="CT22"/>
  <c r="CU22"/>
  <c r="CV22"/>
  <c r="CW22"/>
  <c r="CX22"/>
  <c r="CY22"/>
  <c r="CZ22"/>
  <c r="DA22"/>
  <c r="DB22"/>
  <c r="DC22"/>
  <c r="DD22"/>
  <c r="DE22"/>
  <c r="DF22"/>
  <c r="DG22"/>
  <c r="DH22"/>
  <c r="DI22"/>
  <c r="DJ22"/>
  <c r="DK22"/>
  <c r="DL22"/>
  <c r="DM22"/>
  <c r="DN22"/>
  <c r="DO22"/>
  <c r="DP22"/>
  <c r="DQ22"/>
  <c r="DR22"/>
  <c r="DS22"/>
  <c r="DT22"/>
  <c r="DU22"/>
  <c r="DV22"/>
  <c r="DW22"/>
  <c r="DX22"/>
  <c r="DY22"/>
  <c r="DZ22"/>
  <c r="EA22"/>
  <c r="EB22"/>
  <c r="EC22"/>
  <c r="ED22"/>
  <c r="EE22"/>
  <c r="EF22"/>
  <c r="EG22"/>
  <c r="EH22"/>
  <c r="EI22"/>
  <c r="EJ22"/>
  <c r="EK22"/>
  <c r="EL22"/>
  <c r="EM22"/>
  <c r="EN22"/>
  <c r="EO22"/>
  <c r="EP22"/>
  <c r="EQ22"/>
  <c r="ER22"/>
  <c r="ES22"/>
  <c r="ET22"/>
  <c r="EU22"/>
  <c r="EV22"/>
  <c r="EW22"/>
  <c r="EX22"/>
  <c r="EY22"/>
  <c r="EZ22"/>
  <c r="FA22"/>
  <c r="FB22"/>
  <c r="FC22"/>
  <c r="FD22"/>
  <c r="FE22"/>
  <c r="FF22"/>
  <c r="FG22"/>
  <c r="FH22"/>
  <c r="FI22"/>
  <c r="FJ22"/>
  <c r="FK22"/>
  <c r="FL22"/>
  <c r="FM22"/>
  <c r="FN22"/>
  <c r="FO22"/>
  <c r="FP22"/>
  <c r="FQ22"/>
  <c r="FR22"/>
  <c r="FS22"/>
  <c r="FT22"/>
  <c r="FU22"/>
  <c r="FV22"/>
  <c r="FW22"/>
  <c r="FX22"/>
  <c r="FY22"/>
  <c r="FZ22"/>
  <c r="GA22"/>
  <c r="GB22"/>
  <c r="GC22"/>
  <c r="GD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D24"/>
  <c r="E26"/>
  <c r="Z26"/>
  <c r="AA26"/>
  <c r="AM26"/>
  <c r="AN26"/>
  <c r="BE26"/>
  <c r="BF26"/>
  <c r="BG26"/>
  <c r="BH26"/>
  <c r="BI26"/>
  <c r="BJ26"/>
  <c r="BK26"/>
  <c r="BL26"/>
  <c r="BM26"/>
  <c r="BN26"/>
  <c r="BO26"/>
  <c r="BP26"/>
  <c r="BQ26"/>
  <c r="BR26"/>
  <c r="BS26"/>
  <c r="BT26"/>
  <c r="BU26"/>
  <c r="BV26"/>
  <c r="BW26"/>
  <c r="CN26"/>
  <c r="CO26"/>
  <c r="CP26"/>
  <c r="CQ26"/>
  <c r="CR26"/>
  <c r="CS26"/>
  <c r="CT26"/>
  <c r="CU26"/>
  <c r="CV26"/>
  <c r="CW26"/>
  <c r="CX26"/>
  <c r="CY26"/>
  <c r="CZ26"/>
  <c r="DA26"/>
  <c r="DB26"/>
  <c r="DC26"/>
  <c r="DD26"/>
  <c r="DE26"/>
  <c r="DF26"/>
  <c r="DG26"/>
  <c r="DH26"/>
  <c r="DI26"/>
  <c r="DJ26"/>
  <c r="DK26"/>
  <c r="DL26"/>
  <c r="DM26"/>
  <c r="DN26"/>
  <c r="DO26"/>
  <c r="DP26"/>
  <c r="DQ26"/>
  <c r="DR26"/>
  <c r="DS26"/>
  <c r="DT26"/>
  <c r="DU26"/>
  <c r="DV26"/>
  <c r="DW26"/>
  <c r="DX26"/>
  <c r="DY26"/>
  <c r="DZ26"/>
  <c r="EA26"/>
  <c r="EB26"/>
  <c r="EC26"/>
  <c r="ED26"/>
  <c r="EE26"/>
  <c r="EF26"/>
  <c r="EG26"/>
  <c r="EH26"/>
  <c r="EI26"/>
  <c r="EJ26"/>
  <c r="EK26"/>
  <c r="EL26"/>
  <c r="EM26"/>
  <c r="EN26"/>
  <c r="EO26"/>
  <c r="EP26"/>
  <c r="EQ26"/>
  <c r="ER26"/>
  <c r="ES26"/>
  <c r="ET26"/>
  <c r="EU26"/>
  <c r="EV26"/>
  <c r="EW26"/>
  <c r="EX26"/>
  <c r="EY26"/>
  <c r="EZ26"/>
  <c r="FA26"/>
  <c r="FB26"/>
  <c r="FC26"/>
  <c r="FD26"/>
  <c r="FE26"/>
  <c r="FF26"/>
  <c r="FG26"/>
  <c r="FH26"/>
  <c r="FI26"/>
  <c r="FJ26"/>
  <c r="FK26"/>
  <c r="FL26"/>
  <c r="FM26"/>
  <c r="FN26"/>
  <c r="FO26"/>
  <c r="FP26"/>
  <c r="FQ26"/>
  <c r="FR26"/>
  <c r="FS26"/>
  <c r="FT26"/>
  <c r="FU26"/>
  <c r="FV26"/>
  <c r="FW26"/>
  <c r="FX26"/>
  <c r="FY26"/>
  <c r="FZ26"/>
  <c r="GA26"/>
  <c r="GB26"/>
  <c r="GC26"/>
  <c r="GD26"/>
  <c r="GE26"/>
  <c r="GF26"/>
  <c r="GG26"/>
  <c r="GH26"/>
  <c r="GI26"/>
  <c r="GJ26"/>
  <c r="GK26"/>
  <c r="GL26"/>
  <c r="GM26"/>
  <c r="GN26"/>
  <c r="GO26"/>
  <c r="GP26"/>
  <c r="GQ26"/>
  <c r="GR26"/>
  <c r="GS26"/>
  <c r="GT26"/>
  <c r="GU26"/>
  <c r="GV26"/>
  <c r="GW26"/>
  <c r="GX26"/>
  <c r="C28"/>
  <c r="D28"/>
  <c r="I28"/>
  <c r="CX1" i="3" s="1"/>
  <c r="K28" i="1"/>
  <c r="AC28"/>
  <c r="AE28"/>
  <c r="AD28" s="1"/>
  <c r="AF28"/>
  <c r="CT28" s="1"/>
  <c r="S28" s="1"/>
  <c r="AG28"/>
  <c r="AH28"/>
  <c r="AI28"/>
  <c r="AJ28"/>
  <c r="CX28" s="1"/>
  <c r="W28" s="1"/>
  <c r="CQ28"/>
  <c r="P28" s="1"/>
  <c r="CS28"/>
  <c r="R28" s="1"/>
  <c r="CU28"/>
  <c r="T28" s="1"/>
  <c r="CV28"/>
  <c r="U28" s="1"/>
  <c r="CW28"/>
  <c r="V28" s="1"/>
  <c r="FR28"/>
  <c r="GL28"/>
  <c r="GO28"/>
  <c r="GP28"/>
  <c r="GV28"/>
  <c r="HC28"/>
  <c r="GX28" s="1"/>
  <c r="C29"/>
  <c r="D29"/>
  <c r="I29"/>
  <c r="CX4" i="3" s="1"/>
  <c r="K29" i="1"/>
  <c r="AC29"/>
  <c r="CQ29" s="1"/>
  <c r="P29" s="1"/>
  <c r="AE29"/>
  <c r="AD29" s="1"/>
  <c r="AF29"/>
  <c r="CT29" s="1"/>
  <c r="S29" s="1"/>
  <c r="AG29"/>
  <c r="CU29" s="1"/>
  <c r="T29" s="1"/>
  <c r="AH29"/>
  <c r="AI29"/>
  <c r="AJ29"/>
  <c r="CX29" s="1"/>
  <c r="W29" s="1"/>
  <c r="CS29"/>
  <c r="R29" s="1"/>
  <c r="CV29"/>
  <c r="U29" s="1"/>
  <c r="CW29"/>
  <c r="V29" s="1"/>
  <c r="FR29"/>
  <c r="GL29"/>
  <c r="GO29"/>
  <c r="GP29"/>
  <c r="GV29"/>
  <c r="HC29"/>
  <c r="GX29" s="1"/>
  <c r="C30"/>
  <c r="D30"/>
  <c r="I30"/>
  <c r="CX5" i="3" s="1"/>
  <c r="K30" i="1"/>
  <c r="AC30"/>
  <c r="CQ30" s="1"/>
  <c r="P30" s="1"/>
  <c r="AE30"/>
  <c r="AD30" s="1"/>
  <c r="AF30"/>
  <c r="CT30" s="1"/>
  <c r="S30" s="1"/>
  <c r="AG30"/>
  <c r="CU30" s="1"/>
  <c r="T30" s="1"/>
  <c r="AH30"/>
  <c r="AI30"/>
  <c r="AJ30"/>
  <c r="CX30" s="1"/>
  <c r="W30" s="1"/>
  <c r="CS30"/>
  <c r="R30" s="1"/>
  <c r="CV30"/>
  <c r="U30" s="1"/>
  <c r="CW30"/>
  <c r="V30" s="1"/>
  <c r="FR30"/>
  <c r="GL30"/>
  <c r="GO30"/>
  <c r="GP30"/>
  <c r="GV30"/>
  <c r="HC30"/>
  <c r="GX30" s="1"/>
  <c r="AC31"/>
  <c r="AE31"/>
  <c r="CS31" s="1"/>
  <c r="AF31"/>
  <c r="CT31" s="1"/>
  <c r="AG31"/>
  <c r="AH31"/>
  <c r="AI31"/>
  <c r="CW31" s="1"/>
  <c r="AJ31"/>
  <c r="CX31" s="1"/>
  <c r="CQ31"/>
  <c r="CU31"/>
  <c r="CV31"/>
  <c r="FR31"/>
  <c r="GL31"/>
  <c r="GO31"/>
  <c r="GP31"/>
  <c r="GV31"/>
  <c r="HC31" s="1"/>
  <c r="C32"/>
  <c r="D32"/>
  <c r="I32"/>
  <c r="CX7" i="3" s="1"/>
  <c r="K32" i="1"/>
  <c r="AC32"/>
  <c r="AD32"/>
  <c r="AB32" s="1"/>
  <c r="AE32"/>
  <c r="CS32" s="1"/>
  <c r="R32" s="1"/>
  <c r="AF32"/>
  <c r="CT32" s="1"/>
  <c r="S32" s="1"/>
  <c r="AG32"/>
  <c r="AH32"/>
  <c r="CV32" s="1"/>
  <c r="U32" s="1"/>
  <c r="AI32"/>
  <c r="CW32" s="1"/>
  <c r="V32" s="1"/>
  <c r="AJ32"/>
  <c r="CX32" s="1"/>
  <c r="W32" s="1"/>
  <c r="CQ32"/>
  <c r="P32" s="1"/>
  <c r="CU32"/>
  <c r="T32" s="1"/>
  <c r="FR32"/>
  <c r="GL32"/>
  <c r="GO32"/>
  <c r="GP32"/>
  <c r="GV32"/>
  <c r="HC32" s="1"/>
  <c r="GX32" s="1"/>
  <c r="C33"/>
  <c r="D33"/>
  <c r="I33"/>
  <c r="CX8" i="3" s="1"/>
  <c r="K33" i="1"/>
  <c r="AC33"/>
  <c r="AE33"/>
  <c r="CS33" s="1"/>
  <c r="R33" s="1"/>
  <c r="AF33"/>
  <c r="CT33" s="1"/>
  <c r="S33" s="1"/>
  <c r="AG33"/>
  <c r="AH33"/>
  <c r="AI33"/>
  <c r="CW33" s="1"/>
  <c r="V33" s="1"/>
  <c r="AJ33"/>
  <c r="CX33" s="1"/>
  <c r="W33" s="1"/>
  <c r="CQ33"/>
  <c r="P33" s="1"/>
  <c r="CU33"/>
  <c r="T33" s="1"/>
  <c r="CV33"/>
  <c r="U33" s="1"/>
  <c r="FR33"/>
  <c r="GL33"/>
  <c r="GO33"/>
  <c r="GP33"/>
  <c r="GV33"/>
  <c r="HC33" s="1"/>
  <c r="GX33" s="1"/>
  <c r="B35"/>
  <c r="B26" s="1"/>
  <c r="C35"/>
  <c r="C26" s="1"/>
  <c r="D35"/>
  <c r="D26" s="1"/>
  <c r="F35"/>
  <c r="F26" s="1"/>
  <c r="G35"/>
  <c r="G26" s="1"/>
  <c r="AT35"/>
  <c r="AT26" s="1"/>
  <c r="BB35"/>
  <c r="BX35"/>
  <c r="BX26" s="1"/>
  <c r="BY35"/>
  <c r="BZ35"/>
  <c r="BZ26" s="1"/>
  <c r="CC35"/>
  <c r="CC26" s="1"/>
  <c r="CD35"/>
  <c r="CD26" s="1"/>
  <c r="CG35"/>
  <c r="CG26" s="1"/>
  <c r="CK35"/>
  <c r="CK26" s="1"/>
  <c r="CL35"/>
  <c r="CL26" s="1"/>
  <c r="CM35"/>
  <c r="CM26" s="1"/>
  <c r="D65"/>
  <c r="E67"/>
  <c r="Z67"/>
  <c r="AA67"/>
  <c r="AB67"/>
  <c r="AC67"/>
  <c r="AD67"/>
  <c r="AE67"/>
  <c r="AF67"/>
  <c r="AG67"/>
  <c r="AH67"/>
  <c r="AI67"/>
  <c r="AJ67"/>
  <c r="AK67"/>
  <c r="AL67"/>
  <c r="AM67"/>
  <c r="AN67"/>
  <c r="BE67"/>
  <c r="BF67"/>
  <c r="BG67"/>
  <c r="BH67"/>
  <c r="BI67"/>
  <c r="BJ67"/>
  <c r="BK67"/>
  <c r="BL67"/>
  <c r="BM67"/>
  <c r="BN67"/>
  <c r="BO67"/>
  <c r="BP67"/>
  <c r="BQ67"/>
  <c r="BR67"/>
  <c r="BS67"/>
  <c r="BT67"/>
  <c r="BU67"/>
  <c r="BV67"/>
  <c r="BW67"/>
  <c r="BX67"/>
  <c r="BY67"/>
  <c r="BZ67"/>
  <c r="CA67"/>
  <c r="CB67"/>
  <c r="CC67"/>
  <c r="CD67"/>
  <c r="CE67"/>
  <c r="CF67"/>
  <c r="CG67"/>
  <c r="CH67"/>
  <c r="CI67"/>
  <c r="CJ67"/>
  <c r="CK67"/>
  <c r="CL67"/>
  <c r="CM67"/>
  <c r="CN67"/>
  <c r="CO67"/>
  <c r="CP67"/>
  <c r="CQ67"/>
  <c r="CR67"/>
  <c r="CS67"/>
  <c r="CT67"/>
  <c r="CU67"/>
  <c r="CV67"/>
  <c r="CW67"/>
  <c r="CX67"/>
  <c r="CY67"/>
  <c r="CZ67"/>
  <c r="DA67"/>
  <c r="DB67"/>
  <c r="DC67"/>
  <c r="DD67"/>
  <c r="DE67"/>
  <c r="DF67"/>
  <c r="DG67"/>
  <c r="DH67"/>
  <c r="DI67"/>
  <c r="DJ67"/>
  <c r="DK67"/>
  <c r="DL67"/>
  <c r="DM67"/>
  <c r="DN67"/>
  <c r="DO67"/>
  <c r="DP67"/>
  <c r="DQ67"/>
  <c r="DR67"/>
  <c r="DS67"/>
  <c r="DT67"/>
  <c r="DU67"/>
  <c r="DV67"/>
  <c r="DW67"/>
  <c r="DX67"/>
  <c r="DY67"/>
  <c r="DZ67"/>
  <c r="EA67"/>
  <c r="EB67"/>
  <c r="EC67"/>
  <c r="ED67"/>
  <c r="EE67"/>
  <c r="EF67"/>
  <c r="EG67"/>
  <c r="EH67"/>
  <c r="EI67"/>
  <c r="EJ67"/>
  <c r="EK67"/>
  <c r="EL67"/>
  <c r="EM67"/>
  <c r="EN67"/>
  <c r="EO67"/>
  <c r="EP67"/>
  <c r="EQ67"/>
  <c r="ER67"/>
  <c r="ES67"/>
  <c r="ET67"/>
  <c r="EU67"/>
  <c r="EV67"/>
  <c r="EW67"/>
  <c r="EX67"/>
  <c r="EY67"/>
  <c r="EZ67"/>
  <c r="FA67"/>
  <c r="FB67"/>
  <c r="FC67"/>
  <c r="FD67"/>
  <c r="FE67"/>
  <c r="FF67"/>
  <c r="FG67"/>
  <c r="FH67"/>
  <c r="FI67"/>
  <c r="FJ67"/>
  <c r="FK67"/>
  <c r="FL67"/>
  <c r="FM67"/>
  <c r="FN67"/>
  <c r="FO67"/>
  <c r="FP67"/>
  <c r="FQ67"/>
  <c r="FR67"/>
  <c r="FS67"/>
  <c r="FT67"/>
  <c r="FU67"/>
  <c r="FV67"/>
  <c r="FW67"/>
  <c r="FX67"/>
  <c r="FY67"/>
  <c r="FZ67"/>
  <c r="GA67"/>
  <c r="GB67"/>
  <c r="GC67"/>
  <c r="GD67"/>
  <c r="GE67"/>
  <c r="GF67"/>
  <c r="GG67"/>
  <c r="GH67"/>
  <c r="GI67"/>
  <c r="GJ67"/>
  <c r="GK67"/>
  <c r="GL67"/>
  <c r="GM67"/>
  <c r="GN67"/>
  <c r="GO67"/>
  <c r="GP67"/>
  <c r="GQ67"/>
  <c r="GR67"/>
  <c r="GS67"/>
  <c r="GT67"/>
  <c r="GU67"/>
  <c r="GV67"/>
  <c r="GW67"/>
  <c r="GX67"/>
  <c r="D69"/>
  <c r="E71"/>
  <c r="Z71"/>
  <c r="AA71"/>
  <c r="AM71"/>
  <c r="AN71"/>
  <c r="BE71"/>
  <c r="BF71"/>
  <c r="BG71"/>
  <c r="BH71"/>
  <c r="BI71"/>
  <c r="BJ71"/>
  <c r="BK71"/>
  <c r="BL71"/>
  <c r="BM71"/>
  <c r="BN71"/>
  <c r="BO71"/>
  <c r="BP71"/>
  <c r="BQ71"/>
  <c r="BR71"/>
  <c r="BS71"/>
  <c r="BT71"/>
  <c r="BU71"/>
  <c r="BV71"/>
  <c r="BW71"/>
  <c r="CN71"/>
  <c r="CO71"/>
  <c r="CP71"/>
  <c r="CQ71"/>
  <c r="CR71"/>
  <c r="CS71"/>
  <c r="CT71"/>
  <c r="CU71"/>
  <c r="CV71"/>
  <c r="CW71"/>
  <c r="CX71"/>
  <c r="CY71"/>
  <c r="CZ71"/>
  <c r="DA71"/>
  <c r="DB71"/>
  <c r="DC71"/>
  <c r="DD71"/>
  <c r="DE71"/>
  <c r="DF71"/>
  <c r="DG71"/>
  <c r="DH71"/>
  <c r="DI71"/>
  <c r="DJ71"/>
  <c r="DK71"/>
  <c r="DL71"/>
  <c r="DM71"/>
  <c r="DN71"/>
  <c r="DO71"/>
  <c r="DP71"/>
  <c r="DQ71"/>
  <c r="DR71"/>
  <c r="DS71"/>
  <c r="DT71"/>
  <c r="DU71"/>
  <c r="DV71"/>
  <c r="DW71"/>
  <c r="DX71"/>
  <c r="DY71"/>
  <c r="DZ71"/>
  <c r="EA71"/>
  <c r="EB71"/>
  <c r="EC71"/>
  <c r="ED71"/>
  <c r="EE71"/>
  <c r="EF71"/>
  <c r="EG71"/>
  <c r="EH71"/>
  <c r="EI71"/>
  <c r="EJ71"/>
  <c r="EK71"/>
  <c r="EL71"/>
  <c r="EM71"/>
  <c r="EN71"/>
  <c r="EO71"/>
  <c r="EP71"/>
  <c r="EQ71"/>
  <c r="ER71"/>
  <c r="ES71"/>
  <c r="ET71"/>
  <c r="EU71"/>
  <c r="EV71"/>
  <c r="EW71"/>
  <c r="EX71"/>
  <c r="EY71"/>
  <c r="EZ71"/>
  <c r="FA71"/>
  <c r="FB71"/>
  <c r="FC71"/>
  <c r="FD71"/>
  <c r="FE71"/>
  <c r="FF71"/>
  <c r="FG71"/>
  <c r="FH71"/>
  <c r="FI71"/>
  <c r="FJ71"/>
  <c r="FK71"/>
  <c r="FL71"/>
  <c r="FM71"/>
  <c r="FN71"/>
  <c r="FO71"/>
  <c r="FP71"/>
  <c r="FQ71"/>
  <c r="FR71"/>
  <c r="FS71"/>
  <c r="FT71"/>
  <c r="FU71"/>
  <c r="FV71"/>
  <c r="FW71"/>
  <c r="FX71"/>
  <c r="FY71"/>
  <c r="FZ71"/>
  <c r="GA71"/>
  <c r="GB71"/>
  <c r="GC71"/>
  <c r="GD71"/>
  <c r="GE71"/>
  <c r="GF71"/>
  <c r="GG71"/>
  <c r="GH71"/>
  <c r="GI71"/>
  <c r="GJ71"/>
  <c r="GK71"/>
  <c r="GL71"/>
  <c r="GM71"/>
  <c r="GN71"/>
  <c r="GO71"/>
  <c r="GP71"/>
  <c r="GQ71"/>
  <c r="GR71"/>
  <c r="GS71"/>
  <c r="GT71"/>
  <c r="GU71"/>
  <c r="GV71"/>
  <c r="GW71"/>
  <c r="GX71"/>
  <c r="C73"/>
  <c r="D73"/>
  <c r="I73"/>
  <c r="CX12" i="3" s="1"/>
  <c r="K73" i="1"/>
  <c r="AC73"/>
  <c r="CQ73" s="1"/>
  <c r="P73" s="1"/>
  <c r="CP73" s="1"/>
  <c r="O73" s="1"/>
  <c r="AE73"/>
  <c r="AD73" s="1"/>
  <c r="CR73" s="1"/>
  <c r="Q73" s="1"/>
  <c r="AF73"/>
  <c r="CT73" s="1"/>
  <c r="S73" s="1"/>
  <c r="AG73"/>
  <c r="CU73" s="1"/>
  <c r="T73" s="1"/>
  <c r="AH73"/>
  <c r="AI73"/>
  <c r="AJ73"/>
  <c r="CX73" s="1"/>
  <c r="W73" s="1"/>
  <c r="CS73"/>
  <c r="R73" s="1"/>
  <c r="CV73"/>
  <c r="U73" s="1"/>
  <c r="CW73"/>
  <c r="V73" s="1"/>
  <c r="FR73"/>
  <c r="GL73"/>
  <c r="GO73"/>
  <c r="GP73"/>
  <c r="GV73"/>
  <c r="HC73"/>
  <c r="GX73" s="1"/>
  <c r="C74"/>
  <c r="D74"/>
  <c r="I74"/>
  <c r="CX20" i="3" s="1"/>
  <c r="K74" i="1"/>
  <c r="R74"/>
  <c r="V74"/>
  <c r="AC74"/>
  <c r="CQ74" s="1"/>
  <c r="P74" s="1"/>
  <c r="AE74"/>
  <c r="AD74" s="1"/>
  <c r="CR74" s="1"/>
  <c r="Q74" s="1"/>
  <c r="AF74"/>
  <c r="AG74"/>
  <c r="CU74" s="1"/>
  <c r="T74" s="1"/>
  <c r="AH74"/>
  <c r="AI74"/>
  <c r="AJ74"/>
  <c r="CX74" s="1"/>
  <c r="W74" s="1"/>
  <c r="CS74"/>
  <c r="CT74"/>
  <c r="S74" s="1"/>
  <c r="CV74"/>
  <c r="U74" s="1"/>
  <c r="CW74"/>
  <c r="FR74"/>
  <c r="GL74"/>
  <c r="GO74"/>
  <c r="GP74"/>
  <c r="GV74"/>
  <c r="HC74"/>
  <c r="GX74" s="1"/>
  <c r="C75"/>
  <c r="D75"/>
  <c r="I75"/>
  <c r="CX40" i="3" s="1"/>
  <c r="K75" i="1"/>
  <c r="S75"/>
  <c r="V75"/>
  <c r="AC75"/>
  <c r="CQ75" s="1"/>
  <c r="P75" s="1"/>
  <c r="CP75" s="1"/>
  <c r="O75" s="1"/>
  <c r="AE75"/>
  <c r="AD75" s="1"/>
  <c r="CR75" s="1"/>
  <c r="Q75" s="1"/>
  <c r="AF75"/>
  <c r="AG75"/>
  <c r="CU75" s="1"/>
  <c r="T75" s="1"/>
  <c r="AH75"/>
  <c r="AI75"/>
  <c r="AJ75"/>
  <c r="CS75"/>
  <c r="R75" s="1"/>
  <c r="CT75"/>
  <c r="CV75"/>
  <c r="U75" s="1"/>
  <c r="CW75"/>
  <c r="CX75"/>
  <c r="W75" s="1"/>
  <c r="FR75"/>
  <c r="GL75"/>
  <c r="GO75"/>
  <c r="GP75"/>
  <c r="GV75"/>
  <c r="HC75"/>
  <c r="GX75" s="1"/>
  <c r="R76"/>
  <c r="AB76"/>
  <c r="AC76"/>
  <c r="CQ76" s="1"/>
  <c r="P76" s="1"/>
  <c r="AE76"/>
  <c r="AD76" s="1"/>
  <c r="CR76" s="1"/>
  <c r="Q76" s="1"/>
  <c r="AF76"/>
  <c r="AG76"/>
  <c r="CU76" s="1"/>
  <c r="T76" s="1"/>
  <c r="AH76"/>
  <c r="AI76"/>
  <c r="AJ76"/>
  <c r="CS76"/>
  <c r="CT76"/>
  <c r="S76" s="1"/>
  <c r="CV76"/>
  <c r="U76" s="1"/>
  <c r="CW76"/>
  <c r="V76" s="1"/>
  <c r="CX76"/>
  <c r="W76" s="1"/>
  <c r="FR76"/>
  <c r="GL76"/>
  <c r="GO76"/>
  <c r="GP76"/>
  <c r="GV76"/>
  <c r="HC76"/>
  <c r="GX76" s="1"/>
  <c r="C77"/>
  <c r="D77"/>
  <c r="I77"/>
  <c r="CX44" i="3" s="1"/>
  <c r="K77" i="1"/>
  <c r="AC77"/>
  <c r="CQ77" s="1"/>
  <c r="P77" s="1"/>
  <c r="AE77"/>
  <c r="AD77" s="1"/>
  <c r="CR77" s="1"/>
  <c r="Q77" s="1"/>
  <c r="AF77"/>
  <c r="CT77" s="1"/>
  <c r="S77" s="1"/>
  <c r="AG77"/>
  <c r="CU77" s="1"/>
  <c r="T77" s="1"/>
  <c r="AH77"/>
  <c r="AI77"/>
  <c r="AJ77"/>
  <c r="CX77" s="1"/>
  <c r="W77" s="1"/>
  <c r="CS77"/>
  <c r="R77" s="1"/>
  <c r="CV77"/>
  <c r="U77" s="1"/>
  <c r="CW77"/>
  <c r="V77" s="1"/>
  <c r="FR77"/>
  <c r="GL77"/>
  <c r="GO77"/>
  <c r="GP77"/>
  <c r="GV77"/>
  <c r="HC77"/>
  <c r="GX77" s="1"/>
  <c r="C78"/>
  <c r="D78"/>
  <c r="I78"/>
  <c r="CX52" i="3" s="1"/>
  <c r="K78" i="1"/>
  <c r="R78"/>
  <c r="V78"/>
  <c r="AC78"/>
  <c r="CQ78" s="1"/>
  <c r="P78" s="1"/>
  <c r="AE78"/>
  <c r="AD78" s="1"/>
  <c r="CR78" s="1"/>
  <c r="Q78" s="1"/>
  <c r="CP78" s="1"/>
  <c r="O78" s="1"/>
  <c r="AF78"/>
  <c r="AG78"/>
  <c r="CU78" s="1"/>
  <c r="T78" s="1"/>
  <c r="AH78"/>
  <c r="AI78"/>
  <c r="AJ78"/>
  <c r="CX78" s="1"/>
  <c r="W78" s="1"/>
  <c r="CS78"/>
  <c r="CT78"/>
  <c r="S78" s="1"/>
  <c r="CV78"/>
  <c r="U78" s="1"/>
  <c r="CW78"/>
  <c r="FR78"/>
  <c r="GL78"/>
  <c r="GO78"/>
  <c r="GP78"/>
  <c r="GV78"/>
  <c r="HC78"/>
  <c r="GX78" s="1"/>
  <c r="I79"/>
  <c r="R79"/>
  <c r="AB79"/>
  <c r="AC79"/>
  <c r="AE79"/>
  <c r="AD79" s="1"/>
  <c r="CR79" s="1"/>
  <c r="Q79" s="1"/>
  <c r="AF79"/>
  <c r="CT79" s="1"/>
  <c r="AG79"/>
  <c r="AH79"/>
  <c r="AI79"/>
  <c r="CW79" s="1"/>
  <c r="V79" s="1"/>
  <c r="AJ79"/>
  <c r="CX79" s="1"/>
  <c r="CQ79"/>
  <c r="P79" s="1"/>
  <c r="CS79"/>
  <c r="CU79"/>
  <c r="CV79"/>
  <c r="U79" s="1"/>
  <c r="FR79"/>
  <c r="GL79"/>
  <c r="GO79"/>
  <c r="GP79"/>
  <c r="GV79"/>
  <c r="HC79"/>
  <c r="GX79" s="1"/>
  <c r="C80"/>
  <c r="D80"/>
  <c r="I80"/>
  <c r="K80"/>
  <c r="AB80"/>
  <c r="AC80"/>
  <c r="CQ80" s="1"/>
  <c r="P80" s="1"/>
  <c r="AE80"/>
  <c r="AD80" s="1"/>
  <c r="AF80"/>
  <c r="CT80" s="1"/>
  <c r="AG80"/>
  <c r="CU80" s="1"/>
  <c r="T80" s="1"/>
  <c r="AH80"/>
  <c r="AI80"/>
  <c r="CW80" s="1"/>
  <c r="V80" s="1"/>
  <c r="AJ80"/>
  <c r="CX80" s="1"/>
  <c r="CR80"/>
  <c r="Q80" s="1"/>
  <c r="CV80"/>
  <c r="U80" s="1"/>
  <c r="FR80"/>
  <c r="GL80"/>
  <c r="GO80"/>
  <c r="GP80"/>
  <c r="GV80"/>
  <c r="HC80"/>
  <c r="GX80" s="1"/>
  <c r="C81"/>
  <c r="D81"/>
  <c r="I81"/>
  <c r="K81"/>
  <c r="AC81"/>
  <c r="CQ81" s="1"/>
  <c r="P81" s="1"/>
  <c r="AE81"/>
  <c r="AD81" s="1"/>
  <c r="AB81" s="1"/>
  <c r="AF81"/>
  <c r="CT81" s="1"/>
  <c r="S81" s="1"/>
  <c r="AG81"/>
  <c r="CU81" s="1"/>
  <c r="T81" s="1"/>
  <c r="AH81"/>
  <c r="AI81"/>
  <c r="CW81" s="1"/>
  <c r="V81" s="1"/>
  <c r="AJ81"/>
  <c r="CX81" s="1"/>
  <c r="W81" s="1"/>
  <c r="CV81"/>
  <c r="U81" s="1"/>
  <c r="FR81"/>
  <c r="GL81"/>
  <c r="GO81"/>
  <c r="GP81"/>
  <c r="GV81"/>
  <c r="HC81"/>
  <c r="GX81" s="1"/>
  <c r="C82"/>
  <c r="D82"/>
  <c r="I82"/>
  <c r="K82"/>
  <c r="AB82"/>
  <c r="AC82"/>
  <c r="CQ82" s="1"/>
  <c r="P82" s="1"/>
  <c r="AE82"/>
  <c r="AD82" s="1"/>
  <c r="AF82"/>
  <c r="CT82" s="1"/>
  <c r="AG82"/>
  <c r="CU82" s="1"/>
  <c r="T82" s="1"/>
  <c r="AH82"/>
  <c r="AI82"/>
  <c r="CW82" s="1"/>
  <c r="V82" s="1"/>
  <c r="AJ82"/>
  <c r="CX82" s="1"/>
  <c r="CR82"/>
  <c r="Q82" s="1"/>
  <c r="CV82"/>
  <c r="U82" s="1"/>
  <c r="FR82"/>
  <c r="GL82"/>
  <c r="GO82"/>
  <c r="GP82"/>
  <c r="GV82"/>
  <c r="HC82"/>
  <c r="GX82" s="1"/>
  <c r="AC83"/>
  <c r="AD83"/>
  <c r="AB83" s="1"/>
  <c r="AE83"/>
  <c r="CS83" s="1"/>
  <c r="AF83"/>
  <c r="CT83" s="1"/>
  <c r="AG83"/>
  <c r="AH83"/>
  <c r="CV83" s="1"/>
  <c r="AI83"/>
  <c r="CW83" s="1"/>
  <c r="AJ83"/>
  <c r="CX83" s="1"/>
  <c r="CQ83"/>
  <c r="CR83"/>
  <c r="CU83"/>
  <c r="FR83"/>
  <c r="GL83"/>
  <c r="GO83"/>
  <c r="GP83"/>
  <c r="GV83"/>
  <c r="HC83" s="1"/>
  <c r="C84"/>
  <c r="D84"/>
  <c r="I84"/>
  <c r="K84"/>
  <c r="P84"/>
  <c r="AC84"/>
  <c r="AD84"/>
  <c r="AB84" s="1"/>
  <c r="AE84"/>
  <c r="CS84" s="1"/>
  <c r="R84" s="1"/>
  <c r="AF84"/>
  <c r="CT84" s="1"/>
  <c r="S84" s="1"/>
  <c r="CY84" s="1"/>
  <c r="X84" s="1"/>
  <c r="AG84"/>
  <c r="AH84"/>
  <c r="CV84" s="1"/>
  <c r="U84" s="1"/>
  <c r="AI84"/>
  <c r="CW84" s="1"/>
  <c r="V84" s="1"/>
  <c r="AJ84"/>
  <c r="CX84" s="1"/>
  <c r="W84" s="1"/>
  <c r="CQ84"/>
  <c r="CR84"/>
  <c r="Q84" s="1"/>
  <c r="CU84"/>
  <c r="T84" s="1"/>
  <c r="CZ84"/>
  <c r="Y84" s="1"/>
  <c r="FR84"/>
  <c r="GL84"/>
  <c r="GO84"/>
  <c r="GP84"/>
  <c r="GV84"/>
  <c r="HC84" s="1"/>
  <c r="GX84"/>
  <c r="C85"/>
  <c r="D85"/>
  <c r="I85"/>
  <c r="K85"/>
  <c r="P85"/>
  <c r="AC85"/>
  <c r="AD85"/>
  <c r="AB85" s="1"/>
  <c r="AE85"/>
  <c r="CS85" s="1"/>
  <c r="R85" s="1"/>
  <c r="AF85"/>
  <c r="CT85" s="1"/>
  <c r="S85" s="1"/>
  <c r="CY85" s="1"/>
  <c r="X85" s="1"/>
  <c r="AG85"/>
  <c r="AH85"/>
  <c r="CV85" s="1"/>
  <c r="U85" s="1"/>
  <c r="AI85"/>
  <c r="CW85" s="1"/>
  <c r="V85" s="1"/>
  <c r="AJ85"/>
  <c r="CX85" s="1"/>
  <c r="W85" s="1"/>
  <c r="CQ85"/>
  <c r="CR85"/>
  <c r="Q85" s="1"/>
  <c r="CU85"/>
  <c r="T85" s="1"/>
  <c r="CZ85"/>
  <c r="Y85" s="1"/>
  <c r="FR85"/>
  <c r="GL85"/>
  <c r="GO85"/>
  <c r="GP85"/>
  <c r="GV85"/>
  <c r="HC85" s="1"/>
  <c r="GX85"/>
  <c r="AC86"/>
  <c r="CQ86" s="1"/>
  <c r="AE86"/>
  <c r="CS86" s="1"/>
  <c r="AF86"/>
  <c r="AG86"/>
  <c r="CU86" s="1"/>
  <c r="AH86"/>
  <c r="AI86"/>
  <c r="CW86" s="1"/>
  <c r="AJ86"/>
  <c r="CT86"/>
  <c r="CV86"/>
  <c r="CX86"/>
  <c r="FR86"/>
  <c r="GL86"/>
  <c r="GO86"/>
  <c r="GP86"/>
  <c r="GV86"/>
  <c r="HC86" s="1"/>
  <c r="I87"/>
  <c r="AC87"/>
  <c r="AD87"/>
  <c r="CR87" s="1"/>
  <c r="Q87" s="1"/>
  <c r="AE87"/>
  <c r="AF87"/>
  <c r="AB87" s="1"/>
  <c r="AG87"/>
  <c r="AH87"/>
  <c r="CV87" s="1"/>
  <c r="U87" s="1"/>
  <c r="AI87"/>
  <c r="AJ87"/>
  <c r="CX87" s="1"/>
  <c r="W87" s="1"/>
  <c r="CQ87"/>
  <c r="P87" s="1"/>
  <c r="CS87"/>
  <c r="R87" s="1"/>
  <c r="CU87"/>
  <c r="T87" s="1"/>
  <c r="CW87"/>
  <c r="V87" s="1"/>
  <c r="FR87"/>
  <c r="BY91" s="1"/>
  <c r="GL87"/>
  <c r="GO87"/>
  <c r="GP87"/>
  <c r="GV87"/>
  <c r="HC87"/>
  <c r="GX87" s="1"/>
  <c r="AC88"/>
  <c r="AD88"/>
  <c r="CR88" s="1"/>
  <c r="Q88" s="1"/>
  <c r="AE88"/>
  <c r="AF88"/>
  <c r="AB88" s="1"/>
  <c r="AG88"/>
  <c r="AH88"/>
  <c r="CV88" s="1"/>
  <c r="U88" s="1"/>
  <c r="AI88"/>
  <c r="AJ88"/>
  <c r="CX88" s="1"/>
  <c r="W88" s="1"/>
  <c r="CQ88"/>
  <c r="P88" s="1"/>
  <c r="CS88"/>
  <c r="R88" s="1"/>
  <c r="CU88"/>
  <c r="T88" s="1"/>
  <c r="CW88"/>
  <c r="V88" s="1"/>
  <c r="FR88"/>
  <c r="GL88"/>
  <c r="GO88"/>
  <c r="CC91" s="1"/>
  <c r="GP88"/>
  <c r="GV88"/>
  <c r="HC88"/>
  <c r="GX88" s="1"/>
  <c r="AC89"/>
  <c r="AD89"/>
  <c r="CR89" s="1"/>
  <c r="Q89" s="1"/>
  <c r="AE89"/>
  <c r="AF89"/>
  <c r="AB89" s="1"/>
  <c r="AG89"/>
  <c r="AH89"/>
  <c r="CV89" s="1"/>
  <c r="U89" s="1"/>
  <c r="AI89"/>
  <c r="AJ89"/>
  <c r="CX89" s="1"/>
  <c r="W89" s="1"/>
  <c r="CQ89"/>
  <c r="P89" s="1"/>
  <c r="CS89"/>
  <c r="R89" s="1"/>
  <c r="CU89"/>
  <c r="T89" s="1"/>
  <c r="CW89"/>
  <c r="V89" s="1"/>
  <c r="FR89"/>
  <c r="GL89"/>
  <c r="GO89"/>
  <c r="GP89"/>
  <c r="GV89"/>
  <c r="HC89"/>
  <c r="GX89" s="1"/>
  <c r="B91"/>
  <c r="B71" s="1"/>
  <c r="C91"/>
  <c r="C71" s="1"/>
  <c r="D91"/>
  <c r="D71" s="1"/>
  <c r="F91"/>
  <c r="F71" s="1"/>
  <c r="G91"/>
  <c r="G71" s="1"/>
  <c r="BX91"/>
  <c r="BX71" s="1"/>
  <c r="BZ91"/>
  <c r="AQ91" s="1"/>
  <c r="CD91"/>
  <c r="CD71" s="1"/>
  <c r="CK91"/>
  <c r="CK71" s="1"/>
  <c r="CL91"/>
  <c r="CL71" s="1"/>
  <c r="CM91"/>
  <c r="CM71" s="1"/>
  <c r="B121"/>
  <c r="B67" s="1"/>
  <c r="C121"/>
  <c r="C67" s="1"/>
  <c r="D121"/>
  <c r="D67" s="1"/>
  <c r="F121"/>
  <c r="F67" s="1"/>
  <c r="G121"/>
  <c r="G67" s="1"/>
  <c r="D151"/>
  <c r="E153"/>
  <c r="Z153"/>
  <c r="AA153"/>
  <c r="AM153"/>
  <c r="AN153"/>
  <c r="BE153"/>
  <c r="BF153"/>
  <c r="BG153"/>
  <c r="BH153"/>
  <c r="BI153"/>
  <c r="BJ153"/>
  <c r="BK153"/>
  <c r="BL153"/>
  <c r="BM153"/>
  <c r="BN153"/>
  <c r="BO153"/>
  <c r="BP153"/>
  <c r="BQ153"/>
  <c r="BR153"/>
  <c r="BS153"/>
  <c r="BT153"/>
  <c r="BU153"/>
  <c r="BV153"/>
  <c r="BW153"/>
  <c r="CN153"/>
  <c r="CO153"/>
  <c r="CP153"/>
  <c r="CQ153"/>
  <c r="CR153"/>
  <c r="CS153"/>
  <c r="CT153"/>
  <c r="CU153"/>
  <c r="CV153"/>
  <c r="CW153"/>
  <c r="CX153"/>
  <c r="CY153"/>
  <c r="CZ153"/>
  <c r="DA153"/>
  <c r="DB153"/>
  <c r="DC153"/>
  <c r="DD153"/>
  <c r="DE153"/>
  <c r="DF153"/>
  <c r="DG153"/>
  <c r="DH153"/>
  <c r="DI153"/>
  <c r="DJ153"/>
  <c r="DK153"/>
  <c r="DL153"/>
  <c r="DM153"/>
  <c r="DN153"/>
  <c r="DO153"/>
  <c r="DP153"/>
  <c r="DQ153"/>
  <c r="DR153"/>
  <c r="DS153"/>
  <c r="DT153"/>
  <c r="DU153"/>
  <c r="DV153"/>
  <c r="DW153"/>
  <c r="DX153"/>
  <c r="DY153"/>
  <c r="DZ153"/>
  <c r="EA153"/>
  <c r="EB153"/>
  <c r="EC153"/>
  <c r="ED153"/>
  <c r="EE153"/>
  <c r="EF153"/>
  <c r="EG153"/>
  <c r="EH153"/>
  <c r="EI153"/>
  <c r="EJ153"/>
  <c r="EK153"/>
  <c r="EL153"/>
  <c r="EM153"/>
  <c r="EN153"/>
  <c r="EO153"/>
  <c r="EP153"/>
  <c r="EQ153"/>
  <c r="ER153"/>
  <c r="ES153"/>
  <c r="ET153"/>
  <c r="EU153"/>
  <c r="EV153"/>
  <c r="EW153"/>
  <c r="EX153"/>
  <c r="EY153"/>
  <c r="EZ153"/>
  <c r="FA153"/>
  <c r="FB153"/>
  <c r="FC153"/>
  <c r="FD153"/>
  <c r="FE153"/>
  <c r="FF153"/>
  <c r="FG153"/>
  <c r="FH153"/>
  <c r="FI153"/>
  <c r="FJ153"/>
  <c r="FK153"/>
  <c r="FL153"/>
  <c r="FM153"/>
  <c r="FN153"/>
  <c r="FO153"/>
  <c r="FP153"/>
  <c r="FQ153"/>
  <c r="FR153"/>
  <c r="FS153"/>
  <c r="FT153"/>
  <c r="FU153"/>
  <c r="FV153"/>
  <c r="FW153"/>
  <c r="FX153"/>
  <c r="FY153"/>
  <c r="FZ153"/>
  <c r="GA153"/>
  <c r="GB153"/>
  <c r="GC153"/>
  <c r="GD153"/>
  <c r="GE153"/>
  <c r="GF153"/>
  <c r="GG153"/>
  <c r="GH153"/>
  <c r="GI153"/>
  <c r="GJ153"/>
  <c r="GK153"/>
  <c r="GL153"/>
  <c r="GM153"/>
  <c r="GN153"/>
  <c r="GO153"/>
  <c r="GP153"/>
  <c r="GQ153"/>
  <c r="GR153"/>
  <c r="GS153"/>
  <c r="GT153"/>
  <c r="GU153"/>
  <c r="GV153"/>
  <c r="GW153"/>
  <c r="GX153"/>
  <c r="C155"/>
  <c r="D155"/>
  <c r="I155"/>
  <c r="CX95" i="3" s="1"/>
  <c r="K155" i="1"/>
  <c r="AC155"/>
  <c r="AD155"/>
  <c r="CR155" s="1"/>
  <c r="Q155" s="1"/>
  <c r="AE155"/>
  <c r="AF155"/>
  <c r="AB155" s="1"/>
  <c r="AG155"/>
  <c r="AH155"/>
  <c r="CV155" s="1"/>
  <c r="U155" s="1"/>
  <c r="AI155"/>
  <c r="AJ155"/>
  <c r="CX155" s="1"/>
  <c r="W155" s="1"/>
  <c r="CQ155"/>
  <c r="P155" s="1"/>
  <c r="CS155"/>
  <c r="R155" s="1"/>
  <c r="CU155"/>
  <c r="T155" s="1"/>
  <c r="CW155"/>
  <c r="V155" s="1"/>
  <c r="FR155"/>
  <c r="BY159" s="1"/>
  <c r="GL155"/>
  <c r="GO155"/>
  <c r="CC159" s="1"/>
  <c r="GP155"/>
  <c r="GV155"/>
  <c r="HC155"/>
  <c r="GX155" s="1"/>
  <c r="C156"/>
  <c r="D156"/>
  <c r="I156"/>
  <c r="K156"/>
  <c r="AC156"/>
  <c r="AD156"/>
  <c r="CR156" s="1"/>
  <c r="Q156" s="1"/>
  <c r="AE156"/>
  <c r="AF156"/>
  <c r="AB156" s="1"/>
  <c r="AG156"/>
  <c r="AH156"/>
  <c r="CV156" s="1"/>
  <c r="U156" s="1"/>
  <c r="AI156"/>
  <c r="AJ156"/>
  <c r="CX156" s="1"/>
  <c r="W156" s="1"/>
  <c r="CQ156"/>
  <c r="P156" s="1"/>
  <c r="CS156"/>
  <c r="R156" s="1"/>
  <c r="CU156"/>
  <c r="T156" s="1"/>
  <c r="CW156"/>
  <c r="V156" s="1"/>
  <c r="FR156"/>
  <c r="GL156"/>
  <c r="GO156"/>
  <c r="GP156"/>
  <c r="GV156"/>
  <c r="HC156"/>
  <c r="GX156" s="1"/>
  <c r="C157"/>
  <c r="D157"/>
  <c r="I157"/>
  <c r="K157"/>
  <c r="AC157"/>
  <c r="AD157"/>
  <c r="CR157" s="1"/>
  <c r="Q157" s="1"/>
  <c r="AE157"/>
  <c r="AF157"/>
  <c r="AB157" s="1"/>
  <c r="AG157"/>
  <c r="AH157"/>
  <c r="CV157" s="1"/>
  <c r="U157" s="1"/>
  <c r="AI157"/>
  <c r="AJ157"/>
  <c r="CX157" s="1"/>
  <c r="W157" s="1"/>
  <c r="CQ157"/>
  <c r="P157" s="1"/>
  <c r="CS157"/>
  <c r="R157" s="1"/>
  <c r="CU157"/>
  <c r="T157" s="1"/>
  <c r="CW157"/>
  <c r="V157" s="1"/>
  <c r="FR157"/>
  <c r="GL157"/>
  <c r="GO157"/>
  <c r="GP157"/>
  <c r="GV157"/>
  <c r="HC157"/>
  <c r="GX157" s="1"/>
  <c r="B159"/>
  <c r="B153" s="1"/>
  <c r="C159"/>
  <c r="C153" s="1"/>
  <c r="D159"/>
  <c r="D153" s="1"/>
  <c r="F159"/>
  <c r="F153" s="1"/>
  <c r="G159"/>
  <c r="G153" s="1"/>
  <c r="BX159"/>
  <c r="AO159" s="1"/>
  <c r="BZ159"/>
  <c r="BZ153" s="1"/>
  <c r="CD159"/>
  <c r="CD153" s="1"/>
  <c r="CK159"/>
  <c r="CK153" s="1"/>
  <c r="CL159"/>
  <c r="CL153" s="1"/>
  <c r="CM159"/>
  <c r="BD159" s="1"/>
  <c r="D189"/>
  <c r="E191"/>
  <c r="Z191"/>
  <c r="AA191"/>
  <c r="AM191"/>
  <c r="AN191"/>
  <c r="BE191"/>
  <c r="BF191"/>
  <c r="BG191"/>
  <c r="BH191"/>
  <c r="BI191"/>
  <c r="BJ191"/>
  <c r="BK191"/>
  <c r="BL191"/>
  <c r="BM191"/>
  <c r="BN191"/>
  <c r="BO191"/>
  <c r="BP191"/>
  <c r="BQ191"/>
  <c r="BR191"/>
  <c r="BS191"/>
  <c r="BT191"/>
  <c r="BU191"/>
  <c r="BV191"/>
  <c r="BW191"/>
  <c r="CN191"/>
  <c r="CO191"/>
  <c r="CP191"/>
  <c r="CQ191"/>
  <c r="CR191"/>
  <c r="CS191"/>
  <c r="CT191"/>
  <c r="CU191"/>
  <c r="CV191"/>
  <c r="CW191"/>
  <c r="CX191"/>
  <c r="CY191"/>
  <c r="CZ191"/>
  <c r="DA191"/>
  <c r="DB191"/>
  <c r="DC191"/>
  <c r="DD191"/>
  <c r="DE191"/>
  <c r="DF191"/>
  <c r="DG191"/>
  <c r="DH191"/>
  <c r="DI191"/>
  <c r="DJ191"/>
  <c r="DK191"/>
  <c r="DL191"/>
  <c r="DM191"/>
  <c r="DN191"/>
  <c r="DO191"/>
  <c r="DP191"/>
  <c r="DQ191"/>
  <c r="DR191"/>
  <c r="DS191"/>
  <c r="DT191"/>
  <c r="DU191"/>
  <c r="DV191"/>
  <c r="DW191"/>
  <c r="DX191"/>
  <c r="DY191"/>
  <c r="DZ191"/>
  <c r="EA191"/>
  <c r="EB191"/>
  <c r="EC191"/>
  <c r="ED191"/>
  <c r="EE191"/>
  <c r="EF191"/>
  <c r="EG191"/>
  <c r="EH191"/>
  <c r="EI191"/>
  <c r="EJ191"/>
  <c r="EK191"/>
  <c r="EL191"/>
  <c r="EM191"/>
  <c r="EN191"/>
  <c r="EO191"/>
  <c r="EP191"/>
  <c r="EQ191"/>
  <c r="ER191"/>
  <c r="ES191"/>
  <c r="ET191"/>
  <c r="EU191"/>
  <c r="EV191"/>
  <c r="EW191"/>
  <c r="EX191"/>
  <c r="EY191"/>
  <c r="EZ191"/>
  <c r="FA191"/>
  <c r="FB191"/>
  <c r="FC191"/>
  <c r="FD191"/>
  <c r="FE191"/>
  <c r="FF191"/>
  <c r="FG191"/>
  <c r="FH191"/>
  <c r="FI191"/>
  <c r="FJ191"/>
  <c r="FK191"/>
  <c r="FL191"/>
  <c r="FM191"/>
  <c r="FN191"/>
  <c r="FO191"/>
  <c r="FP191"/>
  <c r="FQ191"/>
  <c r="FR191"/>
  <c r="FS191"/>
  <c r="FT191"/>
  <c r="FU191"/>
  <c r="FV191"/>
  <c r="FW191"/>
  <c r="FX191"/>
  <c r="FY191"/>
  <c r="FZ191"/>
  <c r="GA191"/>
  <c r="GB191"/>
  <c r="GC191"/>
  <c r="GD191"/>
  <c r="GE191"/>
  <c r="GF191"/>
  <c r="GG191"/>
  <c r="GH191"/>
  <c r="GI191"/>
  <c r="GJ191"/>
  <c r="GK191"/>
  <c r="GL191"/>
  <c r="GM191"/>
  <c r="GN191"/>
  <c r="GO191"/>
  <c r="GP191"/>
  <c r="GQ191"/>
  <c r="GR191"/>
  <c r="GS191"/>
  <c r="GT191"/>
  <c r="GU191"/>
  <c r="GV191"/>
  <c r="GW191"/>
  <c r="GX191"/>
  <c r="C193"/>
  <c r="D193"/>
  <c r="AC193"/>
  <c r="AE193"/>
  <c r="CS193" s="1"/>
  <c r="R193" s="1"/>
  <c r="AF193"/>
  <c r="AG193"/>
  <c r="CU193" s="1"/>
  <c r="T193" s="1"/>
  <c r="AH193"/>
  <c r="AI193"/>
  <c r="CW193" s="1"/>
  <c r="V193" s="1"/>
  <c r="AJ193"/>
  <c r="CT193"/>
  <c r="S193" s="1"/>
  <c r="CV193"/>
  <c r="U193" s="1"/>
  <c r="CX193"/>
  <c r="W193" s="1"/>
  <c r="FR193"/>
  <c r="GL193"/>
  <c r="GO193"/>
  <c r="GP193"/>
  <c r="GV193"/>
  <c r="HC193" s="1"/>
  <c r="GX193" s="1"/>
  <c r="C194"/>
  <c r="D194"/>
  <c r="I194"/>
  <c r="I196" s="1"/>
  <c r="K194"/>
  <c r="AC194"/>
  <c r="AE194"/>
  <c r="CS194" s="1"/>
  <c r="R194" s="1"/>
  <c r="AF194"/>
  <c r="AG194"/>
  <c r="CU194" s="1"/>
  <c r="T194" s="1"/>
  <c r="AH194"/>
  <c r="AI194"/>
  <c r="CW194" s="1"/>
  <c r="V194" s="1"/>
  <c r="AJ194"/>
  <c r="CT194"/>
  <c r="S194" s="1"/>
  <c r="CV194"/>
  <c r="U194" s="1"/>
  <c r="CX194"/>
  <c r="W194" s="1"/>
  <c r="FR194"/>
  <c r="GL194"/>
  <c r="GO194"/>
  <c r="GP194"/>
  <c r="GV194"/>
  <c r="HC194" s="1"/>
  <c r="GX194" s="1"/>
  <c r="I195"/>
  <c r="AC195"/>
  <c r="AD195"/>
  <c r="CR195" s="1"/>
  <c r="Q195" s="1"/>
  <c r="AE195"/>
  <c r="AF195"/>
  <c r="AB195" s="1"/>
  <c r="AG195"/>
  <c r="AH195"/>
  <c r="CV195" s="1"/>
  <c r="U195" s="1"/>
  <c r="AI195"/>
  <c r="AJ195"/>
  <c r="CX195" s="1"/>
  <c r="W195" s="1"/>
  <c r="CQ195"/>
  <c r="P195" s="1"/>
  <c r="CS195"/>
  <c r="R195" s="1"/>
  <c r="CU195"/>
  <c r="T195" s="1"/>
  <c r="CW195"/>
  <c r="V195" s="1"/>
  <c r="FR195"/>
  <c r="GL195"/>
  <c r="GO195"/>
  <c r="GP195"/>
  <c r="GV195"/>
  <c r="HC195"/>
  <c r="GX195" s="1"/>
  <c r="U196"/>
  <c r="AC196"/>
  <c r="CQ196" s="1"/>
  <c r="P196" s="1"/>
  <c r="AE196"/>
  <c r="AF196"/>
  <c r="AG196"/>
  <c r="CU196" s="1"/>
  <c r="T196" s="1"/>
  <c r="AH196"/>
  <c r="AI196"/>
  <c r="CW196" s="1"/>
  <c r="V196" s="1"/>
  <c r="AJ196"/>
  <c r="CT196"/>
  <c r="S196" s="1"/>
  <c r="CV196"/>
  <c r="CX196"/>
  <c r="W196" s="1"/>
  <c r="FR196"/>
  <c r="GL196"/>
  <c r="GO196"/>
  <c r="GP196"/>
  <c r="GV196"/>
  <c r="GX196"/>
  <c r="HC196"/>
  <c r="C197"/>
  <c r="D197"/>
  <c r="I197"/>
  <c r="GX197" s="1"/>
  <c r="K197"/>
  <c r="W197"/>
  <c r="AC197"/>
  <c r="AE197"/>
  <c r="AF197"/>
  <c r="AG197"/>
  <c r="CU197" s="1"/>
  <c r="AH197"/>
  <c r="AI197"/>
  <c r="CW197" s="1"/>
  <c r="V197" s="1"/>
  <c r="AJ197"/>
  <c r="CT197"/>
  <c r="S197" s="1"/>
  <c r="CV197"/>
  <c r="U197" s="1"/>
  <c r="CX197"/>
  <c r="FR197"/>
  <c r="GL197"/>
  <c r="GO197"/>
  <c r="GP197"/>
  <c r="GV197"/>
  <c r="HC197"/>
  <c r="I198"/>
  <c r="P198"/>
  <c r="V198"/>
  <c r="AC198"/>
  <c r="AD198"/>
  <c r="CR198" s="1"/>
  <c r="Q198" s="1"/>
  <c r="AE198"/>
  <c r="AF198"/>
  <c r="CT198" s="1"/>
  <c r="AG198"/>
  <c r="AH198"/>
  <c r="CV198" s="1"/>
  <c r="U198" s="1"/>
  <c r="AI198"/>
  <c r="AJ198"/>
  <c r="CX198" s="1"/>
  <c r="CQ198"/>
  <c r="CS198"/>
  <c r="R198" s="1"/>
  <c r="CU198"/>
  <c r="T198" s="1"/>
  <c r="CW198"/>
  <c r="FR198"/>
  <c r="GL198"/>
  <c r="GO198"/>
  <c r="GP198"/>
  <c r="GV198"/>
  <c r="HC198" s="1"/>
  <c r="GX198" s="1"/>
  <c r="C199"/>
  <c r="D199"/>
  <c r="I199"/>
  <c r="K199"/>
  <c r="R199"/>
  <c r="T199"/>
  <c r="AC199"/>
  <c r="AD199"/>
  <c r="CR199" s="1"/>
  <c r="Q199" s="1"/>
  <c r="AE199"/>
  <c r="AF199"/>
  <c r="CT199" s="1"/>
  <c r="S199" s="1"/>
  <c r="CZ199" s="1"/>
  <c r="Y199" s="1"/>
  <c r="AG199"/>
  <c r="AH199"/>
  <c r="CV199" s="1"/>
  <c r="U199" s="1"/>
  <c r="AI199"/>
  <c r="AJ199"/>
  <c r="CX199" s="1"/>
  <c r="W199" s="1"/>
  <c r="CQ199"/>
  <c r="P199" s="1"/>
  <c r="CP199" s="1"/>
  <c r="O199" s="1"/>
  <c r="CS199"/>
  <c r="CU199"/>
  <c r="CW199"/>
  <c r="V199" s="1"/>
  <c r="FR199"/>
  <c r="GL199"/>
  <c r="GO199"/>
  <c r="GP199"/>
  <c r="GV199"/>
  <c r="HC199"/>
  <c r="GX199" s="1"/>
  <c r="I200"/>
  <c r="S200"/>
  <c r="U200"/>
  <c r="AC200"/>
  <c r="AE200"/>
  <c r="AF200"/>
  <c r="AG200"/>
  <c r="CU200" s="1"/>
  <c r="T200" s="1"/>
  <c r="AH200"/>
  <c r="AI200"/>
  <c r="CW200" s="1"/>
  <c r="V200" s="1"/>
  <c r="AJ200"/>
  <c r="CT200"/>
  <c r="CV200"/>
  <c r="CX200"/>
  <c r="W200" s="1"/>
  <c r="FR200"/>
  <c r="GL200"/>
  <c r="GO200"/>
  <c r="GP200"/>
  <c r="GV200"/>
  <c r="GX200"/>
  <c r="HC200"/>
  <c r="C201"/>
  <c r="D201"/>
  <c r="I201"/>
  <c r="K201"/>
  <c r="U201"/>
  <c r="V201"/>
  <c r="AB201"/>
  <c r="AC201"/>
  <c r="AE201"/>
  <c r="AD201" s="1"/>
  <c r="AF201"/>
  <c r="AG201"/>
  <c r="CU201" s="1"/>
  <c r="T201" s="1"/>
  <c r="AH201"/>
  <c r="AI201"/>
  <c r="AJ201"/>
  <c r="CQ201"/>
  <c r="P201" s="1"/>
  <c r="CR201"/>
  <c r="Q201" s="1"/>
  <c r="CS201"/>
  <c r="R201" s="1"/>
  <c r="CT201"/>
  <c r="S201" s="1"/>
  <c r="CV201"/>
  <c r="CW201"/>
  <c r="CX201"/>
  <c r="W201" s="1"/>
  <c r="FR201"/>
  <c r="GL201"/>
  <c r="GO201"/>
  <c r="GP201"/>
  <c r="GV201"/>
  <c r="HC201" s="1"/>
  <c r="GX201" s="1"/>
  <c r="C202"/>
  <c r="D202"/>
  <c r="I202"/>
  <c r="K202"/>
  <c r="AC202"/>
  <c r="CQ202" s="1"/>
  <c r="P202" s="1"/>
  <c r="AD202"/>
  <c r="CR202" s="1"/>
  <c r="Q202" s="1"/>
  <c r="AE202"/>
  <c r="AF202"/>
  <c r="AG202"/>
  <c r="CU202" s="1"/>
  <c r="T202" s="1"/>
  <c r="AH202"/>
  <c r="CV202" s="1"/>
  <c r="U202" s="1"/>
  <c r="AI202"/>
  <c r="AJ202"/>
  <c r="CS202"/>
  <c r="R202" s="1"/>
  <c r="CT202"/>
  <c r="S202" s="1"/>
  <c r="CW202"/>
  <c r="V202" s="1"/>
  <c r="CX202"/>
  <c r="W202" s="1"/>
  <c r="FR202"/>
  <c r="GL202"/>
  <c r="GO202"/>
  <c r="GP202"/>
  <c r="GV202"/>
  <c r="HC202" s="1"/>
  <c r="GX202" s="1"/>
  <c r="I203"/>
  <c r="AC203"/>
  <c r="CQ203" s="1"/>
  <c r="P203" s="1"/>
  <c r="AE203"/>
  <c r="AD203" s="1"/>
  <c r="AF203"/>
  <c r="CT203" s="1"/>
  <c r="S203" s="1"/>
  <c r="AG203"/>
  <c r="CU203" s="1"/>
  <c r="T203" s="1"/>
  <c r="AH203"/>
  <c r="AI203"/>
  <c r="AJ203"/>
  <c r="CX203" s="1"/>
  <c r="W203" s="1"/>
  <c r="CS203"/>
  <c r="R203" s="1"/>
  <c r="CV203"/>
  <c r="U203" s="1"/>
  <c r="CW203"/>
  <c r="V203" s="1"/>
  <c r="FR203"/>
  <c r="GL203"/>
  <c r="GO203"/>
  <c r="GP203"/>
  <c r="GV203"/>
  <c r="HC203"/>
  <c r="GX203" s="1"/>
  <c r="C204"/>
  <c r="D204"/>
  <c r="I204"/>
  <c r="K204"/>
  <c r="AC204"/>
  <c r="CQ204" s="1"/>
  <c r="P204" s="1"/>
  <c r="AE204"/>
  <c r="AD204" s="1"/>
  <c r="AF204"/>
  <c r="CT204" s="1"/>
  <c r="S204" s="1"/>
  <c r="AG204"/>
  <c r="CU204" s="1"/>
  <c r="T204" s="1"/>
  <c r="AH204"/>
  <c r="AI204"/>
  <c r="AJ204"/>
  <c r="CX204" s="1"/>
  <c r="W204" s="1"/>
  <c r="CS204"/>
  <c r="R204" s="1"/>
  <c r="CV204"/>
  <c r="U204" s="1"/>
  <c r="CW204"/>
  <c r="V204" s="1"/>
  <c r="FR204"/>
  <c r="GL204"/>
  <c r="GO204"/>
  <c r="GP204"/>
  <c r="GV204"/>
  <c r="HC204"/>
  <c r="GX204" s="1"/>
  <c r="I205"/>
  <c r="AC205"/>
  <c r="AE205"/>
  <c r="CS205" s="1"/>
  <c r="R205" s="1"/>
  <c r="AF205"/>
  <c r="CT205" s="1"/>
  <c r="S205" s="1"/>
  <c r="AG205"/>
  <c r="AH205"/>
  <c r="AI205"/>
  <c r="CW205" s="1"/>
  <c r="V205" s="1"/>
  <c r="AJ205"/>
  <c r="CX205" s="1"/>
  <c r="W205" s="1"/>
  <c r="CQ205"/>
  <c r="P205" s="1"/>
  <c r="CU205"/>
  <c r="T205" s="1"/>
  <c r="CV205"/>
  <c r="U205" s="1"/>
  <c r="FR205"/>
  <c r="GL205"/>
  <c r="GO205"/>
  <c r="GP205"/>
  <c r="GV205"/>
  <c r="GX205"/>
  <c r="HC205"/>
  <c r="C206"/>
  <c r="D206"/>
  <c r="I206"/>
  <c r="I208" s="1"/>
  <c r="K206"/>
  <c r="AC206"/>
  <c r="AE206"/>
  <c r="CS206" s="1"/>
  <c r="R206" s="1"/>
  <c r="AF206"/>
  <c r="CT206" s="1"/>
  <c r="S206" s="1"/>
  <c r="AG206"/>
  <c r="AH206"/>
  <c r="AI206"/>
  <c r="CW206" s="1"/>
  <c r="V206" s="1"/>
  <c r="AJ206"/>
  <c r="CX206" s="1"/>
  <c r="W206" s="1"/>
  <c r="CQ206"/>
  <c r="P206" s="1"/>
  <c r="CU206"/>
  <c r="T206" s="1"/>
  <c r="CV206"/>
  <c r="U206" s="1"/>
  <c r="FR206"/>
  <c r="GL206"/>
  <c r="GO206"/>
  <c r="GP206"/>
  <c r="GV206"/>
  <c r="GX206"/>
  <c r="HC206"/>
  <c r="AC207"/>
  <c r="AB207" s="1"/>
  <c r="AD207"/>
  <c r="CR207" s="1"/>
  <c r="AE207"/>
  <c r="CS207" s="1"/>
  <c r="AF207"/>
  <c r="AG207"/>
  <c r="AH207"/>
  <c r="CV207" s="1"/>
  <c r="AI207"/>
  <c r="CW207" s="1"/>
  <c r="AJ207"/>
  <c r="CQ207"/>
  <c r="CT207"/>
  <c r="CU207"/>
  <c r="CX207"/>
  <c r="FR207"/>
  <c r="GL207"/>
  <c r="GO207"/>
  <c r="GP207"/>
  <c r="GV207"/>
  <c r="HC207" s="1"/>
  <c r="AC208"/>
  <c r="CQ208" s="1"/>
  <c r="P208" s="1"/>
  <c r="AD208"/>
  <c r="CR208" s="1"/>
  <c r="Q208" s="1"/>
  <c r="AE208"/>
  <c r="AF208"/>
  <c r="AG208"/>
  <c r="CU208" s="1"/>
  <c r="T208" s="1"/>
  <c r="AH208"/>
  <c r="CV208" s="1"/>
  <c r="U208" s="1"/>
  <c r="AI208"/>
  <c r="AJ208"/>
  <c r="CS208"/>
  <c r="R208" s="1"/>
  <c r="CT208"/>
  <c r="S208" s="1"/>
  <c r="CW208"/>
  <c r="V208" s="1"/>
  <c r="CX208"/>
  <c r="W208" s="1"/>
  <c r="FR208"/>
  <c r="GL208"/>
  <c r="GO208"/>
  <c r="GP208"/>
  <c r="GV208"/>
  <c r="HC208" s="1"/>
  <c r="GX208" s="1"/>
  <c r="B210"/>
  <c r="B191" s="1"/>
  <c r="C210"/>
  <c r="C191" s="1"/>
  <c r="D210"/>
  <c r="D191" s="1"/>
  <c r="F210"/>
  <c r="F191" s="1"/>
  <c r="G210"/>
  <c r="G191" s="1"/>
  <c r="BX210"/>
  <c r="BX191" s="1"/>
  <c r="BY210"/>
  <c r="BY191" s="1"/>
  <c r="BZ210"/>
  <c r="BZ191" s="1"/>
  <c r="CC210"/>
  <c r="CC191" s="1"/>
  <c r="CD210"/>
  <c r="CD191" s="1"/>
  <c r="CG210"/>
  <c r="CG191" s="1"/>
  <c r="CK210"/>
  <c r="CK191" s="1"/>
  <c r="CL210"/>
  <c r="CL191" s="1"/>
  <c r="CM210"/>
  <c r="CM191" s="1"/>
  <c r="D240"/>
  <c r="E242"/>
  <c r="Z242"/>
  <c r="AA242"/>
  <c r="AM242"/>
  <c r="AN242"/>
  <c r="BE242"/>
  <c r="BF242"/>
  <c r="BG242"/>
  <c r="BH242"/>
  <c r="BI242"/>
  <c r="BJ242"/>
  <c r="BK242"/>
  <c r="BL242"/>
  <c r="BM242"/>
  <c r="BN242"/>
  <c r="BO242"/>
  <c r="BP242"/>
  <c r="BQ242"/>
  <c r="BR242"/>
  <c r="BS242"/>
  <c r="BT242"/>
  <c r="BU242"/>
  <c r="BV242"/>
  <c r="BW242"/>
  <c r="CN242"/>
  <c r="CO242"/>
  <c r="CP242"/>
  <c r="CQ242"/>
  <c r="CR242"/>
  <c r="CS242"/>
  <c r="CT242"/>
  <c r="CU242"/>
  <c r="CV242"/>
  <c r="CW242"/>
  <c r="CX242"/>
  <c r="CY242"/>
  <c r="CZ242"/>
  <c r="DA242"/>
  <c r="DB242"/>
  <c r="DC242"/>
  <c r="DD242"/>
  <c r="DE242"/>
  <c r="DF242"/>
  <c r="DG242"/>
  <c r="DH242"/>
  <c r="DI242"/>
  <c r="DJ242"/>
  <c r="DK242"/>
  <c r="DL242"/>
  <c r="DM242"/>
  <c r="DN242"/>
  <c r="DO242"/>
  <c r="DP242"/>
  <c r="DQ242"/>
  <c r="DR242"/>
  <c r="DS242"/>
  <c r="DT242"/>
  <c r="DU242"/>
  <c r="DV242"/>
  <c r="DW242"/>
  <c r="DX242"/>
  <c r="DY242"/>
  <c r="DZ242"/>
  <c r="EA242"/>
  <c r="EB242"/>
  <c r="EC242"/>
  <c r="ED242"/>
  <c r="EE242"/>
  <c r="EF242"/>
  <c r="EG242"/>
  <c r="EH242"/>
  <c r="EI242"/>
  <c r="EJ242"/>
  <c r="EK242"/>
  <c r="EL242"/>
  <c r="EM242"/>
  <c r="EN242"/>
  <c r="EO242"/>
  <c r="EP242"/>
  <c r="EQ242"/>
  <c r="ER242"/>
  <c r="ES242"/>
  <c r="ET242"/>
  <c r="EU242"/>
  <c r="EV242"/>
  <c r="EW242"/>
  <c r="EX242"/>
  <c r="EY242"/>
  <c r="EZ242"/>
  <c r="FA242"/>
  <c r="FB242"/>
  <c r="FC242"/>
  <c r="FD242"/>
  <c r="FE242"/>
  <c r="FF242"/>
  <c r="FG242"/>
  <c r="FH242"/>
  <c r="FI242"/>
  <c r="FJ242"/>
  <c r="FK242"/>
  <c r="FL242"/>
  <c r="FM242"/>
  <c r="FN242"/>
  <c r="FO242"/>
  <c r="FP242"/>
  <c r="FQ242"/>
  <c r="FR242"/>
  <c r="FS242"/>
  <c r="FT242"/>
  <c r="FU242"/>
  <c r="FV242"/>
  <c r="FW242"/>
  <c r="FX242"/>
  <c r="FY242"/>
  <c r="FZ242"/>
  <c r="GA242"/>
  <c r="GB242"/>
  <c r="GC242"/>
  <c r="GD242"/>
  <c r="GE242"/>
  <c r="GF242"/>
  <c r="GG242"/>
  <c r="GH242"/>
  <c r="GI242"/>
  <c r="GJ242"/>
  <c r="GK242"/>
  <c r="GL242"/>
  <c r="GM242"/>
  <c r="GN242"/>
  <c r="GO242"/>
  <c r="GP242"/>
  <c r="GQ242"/>
  <c r="GR242"/>
  <c r="GS242"/>
  <c r="GT242"/>
  <c r="GU242"/>
  <c r="GV242"/>
  <c r="GW242"/>
  <c r="GX242"/>
  <c r="C244"/>
  <c r="D244"/>
  <c r="I244"/>
  <c r="K244"/>
  <c r="AC244"/>
  <c r="CQ244" s="1"/>
  <c r="P244" s="1"/>
  <c r="AE244"/>
  <c r="AD244" s="1"/>
  <c r="AF244"/>
  <c r="CT244" s="1"/>
  <c r="S244" s="1"/>
  <c r="AG244"/>
  <c r="CU244" s="1"/>
  <c r="T244" s="1"/>
  <c r="AH244"/>
  <c r="AI244"/>
  <c r="AJ244"/>
  <c r="CX244" s="1"/>
  <c r="W244" s="1"/>
  <c r="CS244"/>
  <c r="R244" s="1"/>
  <c r="CV244"/>
  <c r="U244" s="1"/>
  <c r="CW244"/>
  <c r="V244" s="1"/>
  <c r="FR244"/>
  <c r="GL244"/>
  <c r="GN244"/>
  <c r="GP244"/>
  <c r="GV244"/>
  <c r="HC244"/>
  <c r="GX244" s="1"/>
  <c r="I245"/>
  <c r="AC245"/>
  <c r="AE245"/>
  <c r="CS245" s="1"/>
  <c r="R245" s="1"/>
  <c r="AF245"/>
  <c r="CT245" s="1"/>
  <c r="S245" s="1"/>
  <c r="AG245"/>
  <c r="AH245"/>
  <c r="AI245"/>
  <c r="CW245" s="1"/>
  <c r="V245" s="1"/>
  <c r="AJ245"/>
  <c r="CX245" s="1"/>
  <c r="W245" s="1"/>
  <c r="CQ245"/>
  <c r="P245" s="1"/>
  <c r="CU245"/>
  <c r="T245" s="1"/>
  <c r="CV245"/>
  <c r="U245" s="1"/>
  <c r="FR245"/>
  <c r="GL245"/>
  <c r="GN245"/>
  <c r="GP245"/>
  <c r="GV245"/>
  <c r="GX245"/>
  <c r="HC245"/>
  <c r="C246"/>
  <c r="D246"/>
  <c r="I246"/>
  <c r="I247" s="1"/>
  <c r="K246"/>
  <c r="AC246"/>
  <c r="CQ246" s="1"/>
  <c r="P246" s="1"/>
  <c r="AE246"/>
  <c r="CS246" s="1"/>
  <c r="R246" s="1"/>
  <c r="AF246"/>
  <c r="CT246" s="1"/>
  <c r="S246" s="1"/>
  <c r="AG246"/>
  <c r="CU246" s="1"/>
  <c r="T246" s="1"/>
  <c r="AH246"/>
  <c r="AI246"/>
  <c r="CW246" s="1"/>
  <c r="V246" s="1"/>
  <c r="AJ246"/>
  <c r="CX246" s="1"/>
  <c r="W246" s="1"/>
  <c r="CV246"/>
  <c r="U246" s="1"/>
  <c r="FR246"/>
  <c r="GL246"/>
  <c r="GN246"/>
  <c r="GP246"/>
  <c r="GV246"/>
  <c r="GX246"/>
  <c r="HC246"/>
  <c r="AC247"/>
  <c r="AD247"/>
  <c r="CR247" s="1"/>
  <c r="AE247"/>
  <c r="CS247" s="1"/>
  <c r="AF247"/>
  <c r="CT247" s="1"/>
  <c r="S247" s="1"/>
  <c r="AG247"/>
  <c r="AH247"/>
  <c r="CV247" s="1"/>
  <c r="AI247"/>
  <c r="CW247" s="1"/>
  <c r="AJ247"/>
  <c r="CX247" s="1"/>
  <c r="W247" s="1"/>
  <c r="CQ247"/>
  <c r="CU247"/>
  <c r="FR247"/>
  <c r="GL247"/>
  <c r="GN247"/>
  <c r="GP247"/>
  <c r="GV247"/>
  <c r="HC247" s="1"/>
  <c r="C248"/>
  <c r="D248"/>
  <c r="I248"/>
  <c r="I249" s="1"/>
  <c r="K248"/>
  <c r="AC248"/>
  <c r="AD248"/>
  <c r="CR248" s="1"/>
  <c r="Q248" s="1"/>
  <c r="AE248"/>
  <c r="CS248" s="1"/>
  <c r="R248" s="1"/>
  <c r="AF248"/>
  <c r="CT248" s="1"/>
  <c r="S248" s="1"/>
  <c r="AG248"/>
  <c r="AH248"/>
  <c r="CV248" s="1"/>
  <c r="U248" s="1"/>
  <c r="AI248"/>
  <c r="CW248" s="1"/>
  <c r="V248" s="1"/>
  <c r="AJ248"/>
  <c r="CX248" s="1"/>
  <c r="W248" s="1"/>
  <c r="CQ248"/>
  <c r="P248" s="1"/>
  <c r="CP248" s="1"/>
  <c r="O248" s="1"/>
  <c r="CU248"/>
  <c r="T248" s="1"/>
  <c r="FR248"/>
  <c r="GL248"/>
  <c r="GN248"/>
  <c r="GP248"/>
  <c r="GV248"/>
  <c r="HC248" s="1"/>
  <c r="GX248" s="1"/>
  <c r="AC249"/>
  <c r="CQ249" s="1"/>
  <c r="P249" s="1"/>
  <c r="AD249"/>
  <c r="CR249" s="1"/>
  <c r="Q249" s="1"/>
  <c r="AE249"/>
  <c r="AF249"/>
  <c r="AG249"/>
  <c r="CU249" s="1"/>
  <c r="T249" s="1"/>
  <c r="AH249"/>
  <c r="CV249" s="1"/>
  <c r="U249" s="1"/>
  <c r="AI249"/>
  <c r="AJ249"/>
  <c r="CS249"/>
  <c r="R249" s="1"/>
  <c r="CT249"/>
  <c r="S249" s="1"/>
  <c r="CW249"/>
  <c r="CX249"/>
  <c r="W249" s="1"/>
  <c r="FR249"/>
  <c r="GL249"/>
  <c r="BZ254" s="1"/>
  <c r="GN249"/>
  <c r="GP249"/>
  <c r="CD254" s="1"/>
  <c r="GV249"/>
  <c r="HC249" s="1"/>
  <c r="GX249" s="1"/>
  <c r="C250"/>
  <c r="D250"/>
  <c r="I250"/>
  <c r="K250"/>
  <c r="AC250"/>
  <c r="CQ250" s="1"/>
  <c r="P250" s="1"/>
  <c r="CP250" s="1"/>
  <c r="O250" s="1"/>
  <c r="AD250"/>
  <c r="CR250" s="1"/>
  <c r="Q250" s="1"/>
  <c r="AE250"/>
  <c r="AF250"/>
  <c r="AG250"/>
  <c r="CU250" s="1"/>
  <c r="T250" s="1"/>
  <c r="AH250"/>
  <c r="CV250" s="1"/>
  <c r="U250" s="1"/>
  <c r="AI250"/>
  <c r="AJ250"/>
  <c r="CS250"/>
  <c r="R250" s="1"/>
  <c r="CT250"/>
  <c r="S250" s="1"/>
  <c r="CW250"/>
  <c r="V250" s="1"/>
  <c r="CX250"/>
  <c r="W250" s="1"/>
  <c r="FR250"/>
  <c r="GL250"/>
  <c r="GN250"/>
  <c r="GP250"/>
  <c r="GV250"/>
  <c r="HC250" s="1"/>
  <c r="GX250" s="1"/>
  <c r="I251"/>
  <c r="AC251"/>
  <c r="CQ251" s="1"/>
  <c r="P251" s="1"/>
  <c r="AE251"/>
  <c r="AD251" s="1"/>
  <c r="AF251"/>
  <c r="CT251" s="1"/>
  <c r="S251" s="1"/>
  <c r="AG251"/>
  <c r="CU251" s="1"/>
  <c r="T251" s="1"/>
  <c r="AH251"/>
  <c r="AI251"/>
  <c r="AJ251"/>
  <c r="CX251" s="1"/>
  <c r="W251" s="1"/>
  <c r="CS251"/>
  <c r="R251" s="1"/>
  <c r="CV251"/>
  <c r="U251" s="1"/>
  <c r="CW251"/>
  <c r="V251" s="1"/>
  <c r="FR251"/>
  <c r="BY254" s="1"/>
  <c r="GL251"/>
  <c r="GN251"/>
  <c r="GP251"/>
  <c r="GV251"/>
  <c r="HC251"/>
  <c r="GX251" s="1"/>
  <c r="AC252"/>
  <c r="CQ252" s="1"/>
  <c r="P252" s="1"/>
  <c r="AD252"/>
  <c r="AE252"/>
  <c r="AF252"/>
  <c r="CT252" s="1"/>
  <c r="S252" s="1"/>
  <c r="AG252"/>
  <c r="CU252" s="1"/>
  <c r="T252" s="1"/>
  <c r="AH252"/>
  <c r="AI252"/>
  <c r="AJ252"/>
  <c r="CX252" s="1"/>
  <c r="W252" s="1"/>
  <c r="CR252"/>
  <c r="Q252" s="1"/>
  <c r="CS252"/>
  <c r="R252" s="1"/>
  <c r="CV252"/>
  <c r="U252" s="1"/>
  <c r="CW252"/>
  <c r="V252" s="1"/>
  <c r="FR252"/>
  <c r="GL252"/>
  <c r="GO252"/>
  <c r="GP252"/>
  <c r="GV252"/>
  <c r="HC252"/>
  <c r="GX252" s="1"/>
  <c r="B254"/>
  <c r="B242" s="1"/>
  <c r="C254"/>
  <c r="C242" s="1"/>
  <c r="D254"/>
  <c r="D242" s="1"/>
  <c r="F254"/>
  <c r="F242" s="1"/>
  <c r="G254"/>
  <c r="G242" s="1"/>
  <c r="BX254"/>
  <c r="AO254" s="1"/>
  <c r="CK254"/>
  <c r="CK242" s="1"/>
  <c r="CL254"/>
  <c r="CL242" s="1"/>
  <c r="B284"/>
  <c r="B22" s="1"/>
  <c r="C284"/>
  <c r="C22" s="1"/>
  <c r="D284"/>
  <c r="D22" s="1"/>
  <c r="F284"/>
  <c r="F22" s="1"/>
  <c r="G284"/>
  <c r="G22" s="1"/>
  <c r="B314"/>
  <c r="B18" s="1"/>
  <c r="C314"/>
  <c r="C18" s="1"/>
  <c r="D314"/>
  <c r="D18" s="1"/>
  <c r="F314"/>
  <c r="F18" s="1"/>
  <c r="G314"/>
  <c r="G18" s="1"/>
  <c r="H65" i="5" l="1"/>
  <c r="W68" s="1"/>
  <c r="G30"/>
  <c r="H64"/>
  <c r="R136"/>
  <c r="H171"/>
  <c r="G218"/>
  <c r="O218" s="1"/>
  <c r="H325"/>
  <c r="G330" s="1"/>
  <c r="O330" s="1"/>
  <c r="K355"/>
  <c r="G29"/>
  <c r="J154"/>
  <c r="P154" s="1"/>
  <c r="G175"/>
  <c r="O175" s="1"/>
  <c r="J296"/>
  <c r="P296" s="1"/>
  <c r="H303"/>
  <c r="K314"/>
  <c r="G347"/>
  <c r="O347" s="1"/>
  <c r="G384" s="1"/>
  <c r="X379"/>
  <c r="K193"/>
  <c r="J197" s="1"/>
  <c r="P197" s="1"/>
  <c r="L332"/>
  <c r="J60"/>
  <c r="P60" s="1"/>
  <c r="J121"/>
  <c r="P121" s="1"/>
  <c r="K141"/>
  <c r="G238"/>
  <c r="O238" s="1"/>
  <c r="K271"/>
  <c r="J275" s="1"/>
  <c r="P275" s="1"/>
  <c r="K326"/>
  <c r="J368"/>
  <c r="P368" s="1"/>
  <c r="K325"/>
  <c r="H364"/>
  <c r="J238"/>
  <c r="P238" s="1"/>
  <c r="L392"/>
  <c r="J75"/>
  <c r="P75" s="1"/>
  <c r="G84"/>
  <c r="O84" s="1"/>
  <c r="G111"/>
  <c r="O111" s="1"/>
  <c r="J111"/>
  <c r="P111" s="1"/>
  <c r="J144"/>
  <c r="P144" s="1"/>
  <c r="J185"/>
  <c r="P185" s="1"/>
  <c r="G264"/>
  <c r="O264" s="1"/>
  <c r="G307"/>
  <c r="O307" s="1"/>
  <c r="J318"/>
  <c r="P318" s="1"/>
  <c r="G368"/>
  <c r="O368" s="1"/>
  <c r="J286"/>
  <c r="P286" s="1"/>
  <c r="J358"/>
  <c r="P358" s="1"/>
  <c r="G53"/>
  <c r="O53" s="1"/>
  <c r="G60"/>
  <c r="O60" s="1"/>
  <c r="J68"/>
  <c r="P68" s="1"/>
  <c r="J84"/>
  <c r="P84" s="1"/>
  <c r="G102"/>
  <c r="O102" s="1"/>
  <c r="J133"/>
  <c r="P133" s="1"/>
  <c r="G164"/>
  <c r="O164" s="1"/>
  <c r="J175"/>
  <c r="P175" s="1"/>
  <c r="G197"/>
  <c r="O197" s="1"/>
  <c r="J228"/>
  <c r="P228" s="1"/>
  <c r="J240" s="1"/>
  <c r="J252"/>
  <c r="P252" s="1"/>
  <c r="J307"/>
  <c r="P307" s="1"/>
  <c r="J330"/>
  <c r="P330" s="1"/>
  <c r="X347"/>
  <c r="J347"/>
  <c r="P347" s="1"/>
  <c r="J384" s="1"/>
  <c r="X368"/>
  <c r="J379"/>
  <c r="P379" s="1"/>
  <c r="J53"/>
  <c r="P53" s="1"/>
  <c r="L207"/>
  <c r="G133"/>
  <c r="O133" s="1"/>
  <c r="J164"/>
  <c r="P164" s="1"/>
  <c r="L240"/>
  <c r="G228"/>
  <c r="O228" s="1"/>
  <c r="G252"/>
  <c r="O252" s="1"/>
  <c r="J264"/>
  <c r="P264" s="1"/>
  <c r="G275"/>
  <c r="O275" s="1"/>
  <c r="G286"/>
  <c r="O286" s="1"/>
  <c r="G296"/>
  <c r="O296" s="1"/>
  <c r="G318"/>
  <c r="O318" s="1"/>
  <c r="G358"/>
  <c r="O358" s="1"/>
  <c r="W75"/>
  <c r="G75"/>
  <c r="O75" s="1"/>
  <c r="R95"/>
  <c r="W121"/>
  <c r="G121"/>
  <c r="O121" s="1"/>
  <c r="W154"/>
  <c r="G154"/>
  <c r="O154" s="1"/>
  <c r="R157"/>
  <c r="W185"/>
  <c r="G185"/>
  <c r="O185" s="1"/>
  <c r="R188"/>
  <c r="W197"/>
  <c r="W286"/>
  <c r="R289"/>
  <c r="G379"/>
  <c r="O379" s="1"/>
  <c r="R56"/>
  <c r="L86"/>
  <c r="W133"/>
  <c r="W228"/>
  <c r="X358"/>
  <c r="R361"/>
  <c r="L388"/>
  <c r="W53"/>
  <c r="R63"/>
  <c r="W84"/>
  <c r="W102"/>
  <c r="R105"/>
  <c r="W111"/>
  <c r="W144"/>
  <c r="W164"/>
  <c r="W175"/>
  <c r="L203"/>
  <c r="W252"/>
  <c r="W264"/>
  <c r="R267"/>
  <c r="W296"/>
  <c r="W307"/>
  <c r="R310"/>
  <c r="W382"/>
  <c r="W60"/>
  <c r="W199"/>
  <c r="W201"/>
  <c r="W218"/>
  <c r="W238"/>
  <c r="W275"/>
  <c r="W318"/>
  <c r="R321"/>
  <c r="W330"/>
  <c r="R371"/>
  <c r="CD242" i="1"/>
  <c r="AU254"/>
  <c r="CZ244"/>
  <c r="Y244" s="1"/>
  <c r="CY244"/>
  <c r="X244" s="1"/>
  <c r="AF254"/>
  <c r="CY208"/>
  <c r="X208" s="1"/>
  <c r="CZ208"/>
  <c r="Y208" s="1"/>
  <c r="AB204"/>
  <c r="CR204"/>
  <c r="Q204" s="1"/>
  <c r="AB203"/>
  <c r="CR203"/>
  <c r="Q203" s="1"/>
  <c r="CY201"/>
  <c r="X201" s="1"/>
  <c r="CZ201"/>
  <c r="Y201" s="1"/>
  <c r="CP252"/>
  <c r="O252" s="1"/>
  <c r="T247"/>
  <c r="U247"/>
  <c r="Q247"/>
  <c r="AJ254"/>
  <c r="AB251"/>
  <c r="CR251"/>
  <c r="Q251" s="1"/>
  <c r="CP251" s="1"/>
  <c r="O251" s="1"/>
  <c r="CZ248"/>
  <c r="Y248" s="1"/>
  <c r="CY248"/>
  <c r="X248" s="1"/>
  <c r="CZ245"/>
  <c r="Y245" s="1"/>
  <c r="CY245"/>
  <c r="X245" s="1"/>
  <c r="CZ204"/>
  <c r="Y204" s="1"/>
  <c r="CY204"/>
  <c r="X204" s="1"/>
  <c r="CZ203"/>
  <c r="Y203" s="1"/>
  <c r="CY203"/>
  <c r="X203" s="1"/>
  <c r="CP249"/>
  <c r="O249" s="1"/>
  <c r="GX247"/>
  <c r="V247"/>
  <c r="R247"/>
  <c r="CJ254"/>
  <c r="AE254"/>
  <c r="AG254"/>
  <c r="CP202"/>
  <c r="O202" s="1"/>
  <c r="CZ251"/>
  <c r="Y251" s="1"/>
  <c r="CY251"/>
  <c r="X251" s="1"/>
  <c r="BZ242"/>
  <c r="AQ254"/>
  <c r="GM248"/>
  <c r="GO248"/>
  <c r="CZ247"/>
  <c r="Y247" s="1"/>
  <c r="CY247"/>
  <c r="X247" s="1"/>
  <c r="CZ246"/>
  <c r="Y246" s="1"/>
  <c r="CY246"/>
  <c r="X246" s="1"/>
  <c r="CZ205"/>
  <c r="Y205" s="1"/>
  <c r="CY205"/>
  <c r="X205" s="1"/>
  <c r="CY202"/>
  <c r="X202" s="1"/>
  <c r="CZ202"/>
  <c r="Y202" s="1"/>
  <c r="AH254"/>
  <c r="CP201"/>
  <c r="O201" s="1"/>
  <c r="CI254"/>
  <c r="BY242"/>
  <c r="AP254"/>
  <c r="CY249"/>
  <c r="X249" s="1"/>
  <c r="CZ249"/>
  <c r="Y249" s="1"/>
  <c r="AO242"/>
  <c r="F258"/>
  <c r="CZ252"/>
  <c r="Y252" s="1"/>
  <c r="CY252"/>
  <c r="X252" s="1"/>
  <c r="CY250"/>
  <c r="X250" s="1"/>
  <c r="GM250" s="1"/>
  <c r="CZ250"/>
  <c r="Y250" s="1"/>
  <c r="GO250" s="1"/>
  <c r="AB244"/>
  <c r="CR244"/>
  <c r="Q244" s="1"/>
  <c r="CZ206"/>
  <c r="Y206" s="1"/>
  <c r="CY206"/>
  <c r="X206" s="1"/>
  <c r="V249"/>
  <c r="AI254" s="1"/>
  <c r="P247"/>
  <c r="CP247" s="1"/>
  <c r="O247" s="1"/>
  <c r="CP208"/>
  <c r="O208" s="1"/>
  <c r="CP204"/>
  <c r="O204" s="1"/>
  <c r="CP203"/>
  <c r="O203" s="1"/>
  <c r="CX212" i="3"/>
  <c r="CX216"/>
  <c r="CX220"/>
  <c r="CX213"/>
  <c r="CX217"/>
  <c r="CX214"/>
  <c r="CX218"/>
  <c r="CX215"/>
  <c r="CX219"/>
  <c r="CX160"/>
  <c r="CX164"/>
  <c r="CX161"/>
  <c r="CX165"/>
  <c r="CX158"/>
  <c r="CX162"/>
  <c r="CX159"/>
  <c r="CX163"/>
  <c r="AD196" i="1"/>
  <c r="CR196" s="1"/>
  <c r="Q196" s="1"/>
  <c r="CS196"/>
  <c r="R196" s="1"/>
  <c r="F184"/>
  <c r="BD153"/>
  <c r="BY153"/>
  <c r="CI159"/>
  <c r="AP159"/>
  <c r="AC159"/>
  <c r="CG254"/>
  <c r="BB254"/>
  <c r="AB248"/>
  <c r="AB247"/>
  <c r="BX242"/>
  <c r="CI210"/>
  <c r="BD210"/>
  <c r="I207"/>
  <c r="GX207" s="1"/>
  <c r="CJ210" s="1"/>
  <c r="W198"/>
  <c r="S198"/>
  <c r="AB198"/>
  <c r="T197"/>
  <c r="CX184" i="3"/>
  <c r="CX188"/>
  <c r="CX185"/>
  <c r="CX189"/>
  <c r="CX182"/>
  <c r="CX186"/>
  <c r="CX190"/>
  <c r="CX183"/>
  <c r="CX187"/>
  <c r="CX191"/>
  <c r="CX168"/>
  <c r="CX172"/>
  <c r="CX169"/>
  <c r="CX166"/>
  <c r="CX170"/>
  <c r="CX167"/>
  <c r="CX171"/>
  <c r="CX148"/>
  <c r="CX152"/>
  <c r="CX156"/>
  <c r="CX145"/>
  <c r="CX149"/>
  <c r="CX153"/>
  <c r="CX157"/>
  <c r="CX146"/>
  <c r="CX150"/>
  <c r="CX154"/>
  <c r="CX147"/>
  <c r="CX151"/>
  <c r="CX155"/>
  <c r="CQ197" i="1"/>
  <c r="P197" s="1"/>
  <c r="CX132" i="3"/>
  <c r="CX136"/>
  <c r="CX133"/>
  <c r="CX137"/>
  <c r="CX130"/>
  <c r="CX134"/>
  <c r="CX131"/>
  <c r="CX135"/>
  <c r="CZ194" i="1"/>
  <c r="Y194" s="1"/>
  <c r="CY194"/>
  <c r="X194" s="1"/>
  <c r="CZ78"/>
  <c r="Y78" s="1"/>
  <c r="CY78"/>
  <c r="X78" s="1"/>
  <c r="CZ77"/>
  <c r="Y77" s="1"/>
  <c r="CY77"/>
  <c r="X77" s="1"/>
  <c r="CZ76"/>
  <c r="Y76" s="1"/>
  <c r="CY76"/>
  <c r="X76" s="1"/>
  <c r="CP76"/>
  <c r="O76" s="1"/>
  <c r="BC254"/>
  <c r="AB250"/>
  <c r="AB249"/>
  <c r="AD246"/>
  <c r="AD245"/>
  <c r="AO210"/>
  <c r="AB208"/>
  <c r="AD206"/>
  <c r="AD205"/>
  <c r="AB202"/>
  <c r="CJ159"/>
  <c r="AE159"/>
  <c r="AH159"/>
  <c r="AD159"/>
  <c r="CX192" i="3"/>
  <c r="CX196"/>
  <c r="CX200"/>
  <c r="CX193"/>
  <c r="CX197"/>
  <c r="CX201"/>
  <c r="CX194"/>
  <c r="CX198"/>
  <c r="CX202"/>
  <c r="CX195"/>
  <c r="CX199"/>
  <c r="CX176"/>
  <c r="CX180"/>
  <c r="CX173"/>
  <c r="CX177"/>
  <c r="CX181"/>
  <c r="CX174"/>
  <c r="CX178"/>
  <c r="CX175"/>
  <c r="CX179"/>
  <c r="CQ200" i="1"/>
  <c r="P200" s="1"/>
  <c r="AD197"/>
  <c r="CR197" s="1"/>
  <c r="Q197" s="1"/>
  <c r="CS197"/>
  <c r="R197" s="1"/>
  <c r="CY197" s="1"/>
  <c r="X197" s="1"/>
  <c r="CZ193"/>
  <c r="Y193" s="1"/>
  <c r="CY193"/>
  <c r="X193" s="1"/>
  <c r="CC153"/>
  <c r="AT159"/>
  <c r="F101"/>
  <c r="AQ71"/>
  <c r="AQ121"/>
  <c r="CC71"/>
  <c r="AT91"/>
  <c r="BY71"/>
  <c r="CI91"/>
  <c r="AP91"/>
  <c r="GN78"/>
  <c r="GM78"/>
  <c r="CZ74"/>
  <c r="Y74" s="1"/>
  <c r="CY74"/>
  <c r="X74" s="1"/>
  <c r="CZ73"/>
  <c r="Y73" s="1"/>
  <c r="CY73"/>
  <c r="X73" s="1"/>
  <c r="GM73" s="1"/>
  <c r="AB252"/>
  <c r="BB210"/>
  <c r="AX210"/>
  <c r="AT210"/>
  <c r="AP210"/>
  <c r="AB199"/>
  <c r="AG159"/>
  <c r="CX204" i="3"/>
  <c r="CX208"/>
  <c r="CX205"/>
  <c r="CX209"/>
  <c r="CX206"/>
  <c r="CX210"/>
  <c r="CX203"/>
  <c r="CX207"/>
  <c r="CX211"/>
  <c r="CS200" i="1"/>
  <c r="R200" s="1"/>
  <c r="CZ200" s="1"/>
  <c r="Y200" s="1"/>
  <c r="AD200"/>
  <c r="CR200" s="1"/>
  <c r="Q200" s="1"/>
  <c r="AO153"/>
  <c r="F163"/>
  <c r="BC210"/>
  <c r="AU210"/>
  <c r="AQ210"/>
  <c r="CY199"/>
  <c r="X199" s="1"/>
  <c r="GM199" s="1"/>
  <c r="CP198"/>
  <c r="O198" s="1"/>
  <c r="CY196"/>
  <c r="X196" s="1"/>
  <c r="CP196"/>
  <c r="O196" s="1"/>
  <c r="AI159"/>
  <c r="AJ159"/>
  <c r="CP77"/>
  <c r="O77" s="1"/>
  <c r="CP74"/>
  <c r="O74" s="1"/>
  <c r="CX140" i="3"/>
  <c r="CX144"/>
  <c r="CX141"/>
  <c r="CX138"/>
  <c r="CX142"/>
  <c r="CX139"/>
  <c r="CX143"/>
  <c r="CX76"/>
  <c r="CX73"/>
  <c r="CX77"/>
  <c r="CX74"/>
  <c r="CX78"/>
  <c r="CX75"/>
  <c r="CX79"/>
  <c r="I83" i="1"/>
  <c r="Q83" s="1"/>
  <c r="CX60" i="3"/>
  <c r="CX64"/>
  <c r="CX61"/>
  <c r="CX65"/>
  <c r="CX58"/>
  <c r="CX62"/>
  <c r="CX59"/>
  <c r="CX63"/>
  <c r="CZ33" i="1"/>
  <c r="Y33" s="1"/>
  <c r="CY33"/>
  <c r="X33" s="1"/>
  <c r="CY28"/>
  <c r="X28" s="1"/>
  <c r="CZ28"/>
  <c r="Y28" s="1"/>
  <c r="AB196"/>
  <c r="CT195"/>
  <c r="S195" s="1"/>
  <c r="CQ194"/>
  <c r="P194" s="1"/>
  <c r="AD194"/>
  <c r="CR194" s="1"/>
  <c r="Q194" s="1"/>
  <c r="CQ193"/>
  <c r="P193" s="1"/>
  <c r="AD193"/>
  <c r="CR193" s="1"/>
  <c r="Q193" s="1"/>
  <c r="CG159"/>
  <c r="BB159"/>
  <c r="CT157"/>
  <c r="S157" s="1"/>
  <c r="CT156"/>
  <c r="S156" s="1"/>
  <c r="CT155"/>
  <c r="S155" s="1"/>
  <c r="CM153"/>
  <c r="CG91"/>
  <c r="BB91"/>
  <c r="CT89"/>
  <c r="S89" s="1"/>
  <c r="CT88"/>
  <c r="S88" s="1"/>
  <c r="CP88" s="1"/>
  <c r="O88" s="1"/>
  <c r="CT87"/>
  <c r="S87" s="1"/>
  <c r="CP87" s="1"/>
  <c r="O87" s="1"/>
  <c r="AD86"/>
  <c r="CR86" s="1"/>
  <c r="CP85"/>
  <c r="O85" s="1"/>
  <c r="CP84"/>
  <c r="O84" s="1"/>
  <c r="V83"/>
  <c r="R83"/>
  <c r="CS82"/>
  <c r="R82" s="1"/>
  <c r="CS80"/>
  <c r="R80" s="1"/>
  <c r="AB77"/>
  <c r="AB73"/>
  <c r="BZ71"/>
  <c r="F53"/>
  <c r="AO35"/>
  <c r="CX116" i="3"/>
  <c r="CX120"/>
  <c r="CX124"/>
  <c r="CX128"/>
  <c r="CX117"/>
  <c r="CX121"/>
  <c r="CX125"/>
  <c r="CX129"/>
  <c r="CX118"/>
  <c r="CX122"/>
  <c r="CX126"/>
  <c r="CX119"/>
  <c r="CX123"/>
  <c r="CX127"/>
  <c r="CI35" i="1"/>
  <c r="BY26"/>
  <c r="AB30"/>
  <c r="CR30"/>
  <c r="Q30" s="1"/>
  <c r="CP30" s="1"/>
  <c r="O30" s="1"/>
  <c r="AB29"/>
  <c r="CR29"/>
  <c r="Q29" s="1"/>
  <c r="CP29" s="1"/>
  <c r="O29" s="1"/>
  <c r="BC159"/>
  <c r="AU159"/>
  <c r="AQ159"/>
  <c r="BX153"/>
  <c r="BC91"/>
  <c r="AU91"/>
  <c r="W83"/>
  <c r="S83"/>
  <c r="CR81"/>
  <c r="Q81" s="1"/>
  <c r="AB78"/>
  <c r="AB74"/>
  <c r="AX35"/>
  <c r="AP35"/>
  <c r="CX104" i="3"/>
  <c r="CX108"/>
  <c r="CX105"/>
  <c r="CX109"/>
  <c r="CX106"/>
  <c r="CX110"/>
  <c r="CX107"/>
  <c r="CX111"/>
  <c r="CX96"/>
  <c r="CX100"/>
  <c r="CX97"/>
  <c r="CX101"/>
  <c r="CX98"/>
  <c r="CX102"/>
  <c r="CX99"/>
  <c r="CX103"/>
  <c r="CX88"/>
  <c r="CX92"/>
  <c r="CX89"/>
  <c r="CX93"/>
  <c r="CX90"/>
  <c r="CX94"/>
  <c r="I86" i="1"/>
  <c r="S86" s="1"/>
  <c r="CX87" i="3"/>
  <c r="CX91"/>
  <c r="CX80"/>
  <c r="CX84"/>
  <c r="CX81"/>
  <c r="CX85"/>
  <c r="CX82"/>
  <c r="CX86"/>
  <c r="CX83"/>
  <c r="CX68"/>
  <c r="CX72"/>
  <c r="CX69"/>
  <c r="CX66"/>
  <c r="CX70"/>
  <c r="CX67"/>
  <c r="CX71"/>
  <c r="CZ32" i="1"/>
  <c r="Y32" s="1"/>
  <c r="CY32"/>
  <c r="X32" s="1"/>
  <c r="CY30"/>
  <c r="X30" s="1"/>
  <c r="CZ30"/>
  <c r="Y30" s="1"/>
  <c r="CY29"/>
  <c r="X29" s="1"/>
  <c r="CZ29"/>
  <c r="Y29" s="1"/>
  <c r="BD91"/>
  <c r="W82"/>
  <c r="S82"/>
  <c r="CS81"/>
  <c r="R81" s="1"/>
  <c r="CZ81" s="1"/>
  <c r="Y81" s="1"/>
  <c r="CP81"/>
  <c r="O81" s="1"/>
  <c r="W80"/>
  <c r="S80"/>
  <c r="CP80" s="1"/>
  <c r="O80" s="1"/>
  <c r="T79"/>
  <c r="W79"/>
  <c r="S79"/>
  <c r="AB75"/>
  <c r="CZ75"/>
  <c r="Y75" s="1"/>
  <c r="CY75"/>
  <c r="X75" s="1"/>
  <c r="GN75" s="1"/>
  <c r="BB26"/>
  <c r="F48"/>
  <c r="AB28"/>
  <c r="CR28"/>
  <c r="Q28" s="1"/>
  <c r="AO91"/>
  <c r="AB86"/>
  <c r="CP79"/>
  <c r="O79" s="1"/>
  <c r="CP32"/>
  <c r="O32" s="1"/>
  <c r="BC35"/>
  <c r="AU35"/>
  <c r="AQ35"/>
  <c r="AD33"/>
  <c r="AD31"/>
  <c r="CX55" i="3"/>
  <c r="CX51"/>
  <c r="CX47"/>
  <c r="CX43"/>
  <c r="CX39"/>
  <c r="CX35"/>
  <c r="CX31"/>
  <c r="CX27"/>
  <c r="CX23"/>
  <c r="CX19"/>
  <c r="CX15"/>
  <c r="CX11"/>
  <c r="CX3"/>
  <c r="BD35" i="1"/>
  <c r="CR32"/>
  <c r="Q32" s="1"/>
  <c r="CX54" i="3"/>
  <c r="CX50"/>
  <c r="CX46"/>
  <c r="CX42"/>
  <c r="CX38"/>
  <c r="CX34"/>
  <c r="CX30"/>
  <c r="CX26"/>
  <c r="CX22"/>
  <c r="CX18"/>
  <c r="CX14"/>
  <c r="CX10"/>
  <c r="CX6"/>
  <c r="CX2"/>
  <c r="I31" i="1"/>
  <c r="T31" s="1"/>
  <c r="AG35" s="1"/>
  <c r="CX57" i="3"/>
  <c r="CX53"/>
  <c r="CX49"/>
  <c r="CX45"/>
  <c r="CX41"/>
  <c r="CX37"/>
  <c r="CX33"/>
  <c r="CX29"/>
  <c r="CX25"/>
  <c r="CX21"/>
  <c r="CX17"/>
  <c r="CX13"/>
  <c r="CX9"/>
  <c r="CX56"/>
  <c r="CX48"/>
  <c r="CX36"/>
  <c r="CX32"/>
  <c r="CX28"/>
  <c r="CX24"/>
  <c r="CX16"/>
  <c r="J207" i="5" l="1"/>
  <c r="G32"/>
  <c r="G28"/>
  <c r="J203"/>
  <c r="G68"/>
  <c r="O68" s="1"/>
  <c r="G240"/>
  <c r="J392"/>
  <c r="J388"/>
  <c r="J86"/>
  <c r="G332"/>
  <c r="G27"/>
  <c r="G207"/>
  <c r="G203"/>
  <c r="G392"/>
  <c r="G388"/>
  <c r="G86"/>
  <c r="G26"/>
  <c r="J332"/>
  <c r="T35" i="1"/>
  <c r="AG26"/>
  <c r="GM30"/>
  <c r="GN30"/>
  <c r="CJ191"/>
  <c r="BA210"/>
  <c r="GM29"/>
  <c r="GN29"/>
  <c r="AI91"/>
  <c r="AI242"/>
  <c r="V254"/>
  <c r="GO251"/>
  <c r="GM251"/>
  <c r="AD91"/>
  <c r="BD26"/>
  <c r="F60"/>
  <c r="AQ26"/>
  <c r="F45"/>
  <c r="AQ284"/>
  <c r="AO71"/>
  <c r="AO121"/>
  <c r="F95"/>
  <c r="GN81"/>
  <c r="BD71"/>
  <c r="F116"/>
  <c r="BD121"/>
  <c r="BB71"/>
  <c r="BB121"/>
  <c r="F104"/>
  <c r="CZ156"/>
  <c r="Y156" s="1"/>
  <c r="CY156"/>
  <c r="X156" s="1"/>
  <c r="CZ195"/>
  <c r="Y195" s="1"/>
  <c r="CY195"/>
  <c r="X195" s="1"/>
  <c r="GN77"/>
  <c r="GM77"/>
  <c r="GM196"/>
  <c r="AQ191"/>
  <c r="F220"/>
  <c r="AP191"/>
  <c r="F219"/>
  <c r="AP121"/>
  <c r="F100"/>
  <c r="AP71"/>
  <c r="AT153"/>
  <c r="F177"/>
  <c r="AE153"/>
  <c r="R159"/>
  <c r="AB206"/>
  <c r="CR206"/>
  <c r="Q206" s="1"/>
  <c r="CP206" s="1"/>
  <c r="O206" s="1"/>
  <c r="AB246"/>
  <c r="CR246"/>
  <c r="Q246" s="1"/>
  <c r="CP246" s="1"/>
  <c r="O246" s="1"/>
  <c r="CZ198"/>
  <c r="Y198" s="1"/>
  <c r="CY198"/>
  <c r="X198" s="1"/>
  <c r="GM198" s="1"/>
  <c r="CI191"/>
  <c r="AZ210"/>
  <c r="BB242"/>
  <c r="F267"/>
  <c r="AZ159"/>
  <c r="CI153"/>
  <c r="CZ196"/>
  <c r="Y196" s="1"/>
  <c r="GN196" s="1"/>
  <c r="AE210"/>
  <c r="GN203"/>
  <c r="GM203"/>
  <c r="GM247"/>
  <c r="GO247"/>
  <c r="F263"/>
  <c r="AP242"/>
  <c r="T254"/>
  <c r="AG242"/>
  <c r="S254"/>
  <c r="AF242"/>
  <c r="P31"/>
  <c r="W31"/>
  <c r="AJ35" s="1"/>
  <c r="U31"/>
  <c r="AH35" s="1"/>
  <c r="Q86"/>
  <c r="W86"/>
  <c r="AJ91" s="1"/>
  <c r="AB194"/>
  <c r="T86"/>
  <c r="GM75"/>
  <c r="CP197"/>
  <c r="O197" s="1"/>
  <c r="GN73"/>
  <c r="U207"/>
  <c r="AH210" s="1"/>
  <c r="P207"/>
  <c r="AC210" s="1"/>
  <c r="CZ197"/>
  <c r="Y197" s="1"/>
  <c r="GN199"/>
  <c r="T207"/>
  <c r="AB33"/>
  <c r="CR33"/>
  <c r="Q33" s="1"/>
  <c r="CP33" s="1"/>
  <c r="O33" s="1"/>
  <c r="CY79"/>
  <c r="X79" s="1"/>
  <c r="CZ79"/>
  <c r="Y79" s="1"/>
  <c r="AX26"/>
  <c r="F42"/>
  <c r="CZ83"/>
  <c r="Y83" s="1"/>
  <c r="CY83"/>
  <c r="X83" s="1"/>
  <c r="F107"/>
  <c r="BC71"/>
  <c r="BC121"/>
  <c r="F175"/>
  <c r="BC153"/>
  <c r="CI26"/>
  <c r="AZ35"/>
  <c r="GN85"/>
  <c r="GM85"/>
  <c r="CZ89"/>
  <c r="Y89" s="1"/>
  <c r="CY89"/>
  <c r="X89" s="1"/>
  <c r="CZ155"/>
  <c r="Y155" s="1"/>
  <c r="AL159" s="1"/>
  <c r="CY155"/>
  <c r="X155" s="1"/>
  <c r="AF159"/>
  <c r="CG153"/>
  <c r="AX159"/>
  <c r="GN74"/>
  <c r="GM74"/>
  <c r="BB191"/>
  <c r="F223"/>
  <c r="AT71"/>
  <c r="F109"/>
  <c r="AT121"/>
  <c r="AH153"/>
  <c r="U159"/>
  <c r="AB205"/>
  <c r="CR205"/>
  <c r="Q205" s="1"/>
  <c r="CP205" s="1"/>
  <c r="O205" s="1"/>
  <c r="AB245"/>
  <c r="CR245"/>
  <c r="Q245" s="1"/>
  <c r="CP245" s="1"/>
  <c r="O245" s="1"/>
  <c r="BC242"/>
  <c r="F270"/>
  <c r="BD191"/>
  <c r="F235"/>
  <c r="AP153"/>
  <c r="F168"/>
  <c r="GM201"/>
  <c r="GN201"/>
  <c r="GN252"/>
  <c r="CB254" s="1"/>
  <c r="GM252"/>
  <c r="HD252" s="1"/>
  <c r="CM254" s="1"/>
  <c r="AU242"/>
  <c r="F273"/>
  <c r="S31"/>
  <c r="V31"/>
  <c r="AI35" s="1"/>
  <c r="CP194"/>
  <c r="O194" s="1"/>
  <c r="V86"/>
  <c r="AB193"/>
  <c r="P86"/>
  <c r="CP86" s="1"/>
  <c r="O86" s="1"/>
  <c r="CP156"/>
  <c r="O156" s="1"/>
  <c r="CY200"/>
  <c r="X200" s="1"/>
  <c r="AB200"/>
  <c r="AB197"/>
  <c r="GX86"/>
  <c r="Q207"/>
  <c r="CP244"/>
  <c r="O244" s="1"/>
  <c r="W207"/>
  <c r="V207"/>
  <c r="AI210" s="1"/>
  <c r="AB31"/>
  <c r="CR31"/>
  <c r="Q31" s="1"/>
  <c r="AD35" s="1"/>
  <c r="BC26"/>
  <c r="F51"/>
  <c r="BC284"/>
  <c r="GM79"/>
  <c r="GN79"/>
  <c r="CY80"/>
  <c r="X80" s="1"/>
  <c r="GN80" s="1"/>
  <c r="CZ80"/>
  <c r="Y80" s="1"/>
  <c r="CY82"/>
  <c r="X82" s="1"/>
  <c r="CZ82"/>
  <c r="Y82" s="1"/>
  <c r="AP26"/>
  <c r="F44"/>
  <c r="AU71"/>
  <c r="F110"/>
  <c r="AU121"/>
  <c r="AU153"/>
  <c r="F178"/>
  <c r="AO26"/>
  <c r="F39"/>
  <c r="AO284"/>
  <c r="GN84"/>
  <c r="GM84"/>
  <c r="CZ88"/>
  <c r="Y88" s="1"/>
  <c r="CY88"/>
  <c r="X88" s="1"/>
  <c r="GM88" s="1"/>
  <c r="BB153"/>
  <c r="F172"/>
  <c r="GX83"/>
  <c r="CJ91" s="1"/>
  <c r="P83"/>
  <c r="AI153"/>
  <c r="V159"/>
  <c r="GN198"/>
  <c r="BC191"/>
  <c r="F226"/>
  <c r="AG153"/>
  <c r="T159"/>
  <c r="AX191"/>
  <c r="F217"/>
  <c r="AD153"/>
  <c r="Q159"/>
  <c r="AO191"/>
  <c r="F214"/>
  <c r="GN76"/>
  <c r="GM76"/>
  <c r="CF159"/>
  <c r="AC153"/>
  <c r="P159"/>
  <c r="CE159"/>
  <c r="CH159"/>
  <c r="GM208"/>
  <c r="GN208"/>
  <c r="CI242"/>
  <c r="AZ254"/>
  <c r="U254"/>
  <c r="AH242"/>
  <c r="AQ242"/>
  <c r="F264"/>
  <c r="GM202"/>
  <c r="GN202"/>
  <c r="BA254"/>
  <c r="CJ242"/>
  <c r="GM249"/>
  <c r="GO249"/>
  <c r="R31"/>
  <c r="AE35" s="1"/>
  <c r="CP82"/>
  <c r="O82" s="1"/>
  <c r="R86"/>
  <c r="CY86" s="1"/>
  <c r="X86" s="1"/>
  <c r="T83"/>
  <c r="CP200"/>
  <c r="O200" s="1"/>
  <c r="U83"/>
  <c r="AG210"/>
  <c r="AC254"/>
  <c r="R207"/>
  <c r="AL254"/>
  <c r="AU26"/>
  <c r="F54"/>
  <c r="GN32"/>
  <c r="GM32"/>
  <c r="F169"/>
  <c r="AQ153"/>
  <c r="CZ87"/>
  <c r="Y87" s="1"/>
  <c r="CY87"/>
  <c r="X87" s="1"/>
  <c r="GM87" s="1"/>
  <c r="CG71"/>
  <c r="AX91"/>
  <c r="CZ157"/>
  <c r="Y157" s="1"/>
  <c r="CY157"/>
  <c r="X157" s="1"/>
  <c r="CP193"/>
  <c r="O193" s="1"/>
  <c r="AJ153"/>
  <c r="W159"/>
  <c r="AU191"/>
  <c r="F229"/>
  <c r="AT191"/>
  <c r="F228"/>
  <c r="AZ91"/>
  <c r="CI71"/>
  <c r="AQ67"/>
  <c r="F131"/>
  <c r="BA159"/>
  <c r="CJ153"/>
  <c r="CG242"/>
  <c r="AX254"/>
  <c r="GN204"/>
  <c r="GM204"/>
  <c r="AE242"/>
  <c r="R254"/>
  <c r="W254"/>
  <c r="AJ242"/>
  <c r="GX31"/>
  <c r="CJ35" s="1"/>
  <c r="AG91"/>
  <c r="U86"/>
  <c r="CP28"/>
  <c r="O28" s="1"/>
  <c r="CY81"/>
  <c r="X81" s="1"/>
  <c r="GM81" s="1"/>
  <c r="CP89"/>
  <c r="O89" s="1"/>
  <c r="CP195"/>
  <c r="O195" s="1"/>
  <c r="AF91"/>
  <c r="CP157"/>
  <c r="O157" s="1"/>
  <c r="AJ210"/>
  <c r="CP155"/>
  <c r="O155" s="1"/>
  <c r="S207"/>
  <c r="AK254"/>
  <c r="AD26" l="1"/>
  <c r="Q35"/>
  <c r="AJ71"/>
  <c r="W91"/>
  <c r="AK91"/>
  <c r="AC191"/>
  <c r="CH210"/>
  <c r="CF210"/>
  <c r="P210"/>
  <c r="CE210"/>
  <c r="AG71"/>
  <c r="T91"/>
  <c r="P254"/>
  <c r="CE254"/>
  <c r="AC242"/>
  <c r="CH254"/>
  <c r="CF254"/>
  <c r="P153"/>
  <c r="F162"/>
  <c r="AU67"/>
  <c r="F140"/>
  <c r="BC22"/>
  <c r="BC314"/>
  <c r="F300"/>
  <c r="GN194"/>
  <c r="GM194"/>
  <c r="AX153"/>
  <c r="F166"/>
  <c r="GM197"/>
  <c r="GN197"/>
  <c r="GN206"/>
  <c r="GM206"/>
  <c r="AP67"/>
  <c r="F130"/>
  <c r="GN155"/>
  <c r="GM155"/>
  <c r="AB159"/>
  <c r="BA242"/>
  <c r="F274"/>
  <c r="AV159"/>
  <c r="CE153"/>
  <c r="F180"/>
  <c r="T153"/>
  <c r="GO244"/>
  <c r="CC254" s="1"/>
  <c r="GM244"/>
  <c r="AB254"/>
  <c r="F181"/>
  <c r="U153"/>
  <c r="GN33"/>
  <c r="GM33"/>
  <c r="AH26"/>
  <c r="U35"/>
  <c r="S242"/>
  <c r="F269"/>
  <c r="AZ153"/>
  <c r="F170"/>
  <c r="AO67"/>
  <c r="F125"/>
  <c r="V242"/>
  <c r="F277"/>
  <c r="T26"/>
  <c r="F56"/>
  <c r="AH91"/>
  <c r="AP284"/>
  <c r="AJ191"/>
  <c r="W210"/>
  <c r="AZ71"/>
  <c r="AZ121"/>
  <c r="AZ284" s="1"/>
  <c r="F102"/>
  <c r="AJ26"/>
  <c r="W35"/>
  <c r="AX121"/>
  <c r="AX71"/>
  <c r="F98"/>
  <c r="AO22"/>
  <c r="AO314"/>
  <c r="F288"/>
  <c r="GO245"/>
  <c r="GM245"/>
  <c r="BA191"/>
  <c r="F230"/>
  <c r="AU284"/>
  <c r="AE91"/>
  <c r="GN89"/>
  <c r="GM89"/>
  <c r="W242"/>
  <c r="F278"/>
  <c r="BA153"/>
  <c r="F179"/>
  <c r="GN193"/>
  <c r="GM193"/>
  <c r="AB210"/>
  <c r="GM200"/>
  <c r="GN200"/>
  <c r="CJ71"/>
  <c r="BA91"/>
  <c r="AL153"/>
  <c r="Y159"/>
  <c r="AE191"/>
  <c r="R210"/>
  <c r="GN195"/>
  <c r="GM195"/>
  <c r="AE26"/>
  <c r="R35"/>
  <c r="Q153"/>
  <c r="F171"/>
  <c r="CP83"/>
  <c r="O83" s="1"/>
  <c r="AC91"/>
  <c r="GN156"/>
  <c r="GM156"/>
  <c r="BB67"/>
  <c r="F134"/>
  <c r="BB284"/>
  <c r="AI71"/>
  <c r="V91"/>
  <c r="CZ207"/>
  <c r="Y207" s="1"/>
  <c r="AL210" s="1"/>
  <c r="CY207"/>
  <c r="X207" s="1"/>
  <c r="AK210" s="1"/>
  <c r="AF71"/>
  <c r="S91"/>
  <c r="GM28"/>
  <c r="GN28"/>
  <c r="Y254"/>
  <c r="AL242"/>
  <c r="AG191"/>
  <c r="T210"/>
  <c r="GM82"/>
  <c r="GN82"/>
  <c r="AZ242"/>
  <c r="F265"/>
  <c r="CH153"/>
  <c r="AY159"/>
  <c r="AW159"/>
  <c r="CF153"/>
  <c r="CZ31"/>
  <c r="Y31" s="1"/>
  <c r="AL35" s="1"/>
  <c r="CY31"/>
  <c r="X31" s="1"/>
  <c r="AK35" s="1"/>
  <c r="AF35"/>
  <c r="AS254"/>
  <c r="CB242"/>
  <c r="AF153"/>
  <c r="S159"/>
  <c r="AH191"/>
  <c r="U210"/>
  <c r="AZ191"/>
  <c r="F221"/>
  <c r="GO246"/>
  <c r="GM246"/>
  <c r="R153"/>
  <c r="F173"/>
  <c r="X254"/>
  <c r="AK242"/>
  <c r="GN157"/>
  <c r="GM157"/>
  <c r="CJ26"/>
  <c r="BA35"/>
  <c r="R242"/>
  <c r="F268"/>
  <c r="AX242"/>
  <c r="F261"/>
  <c r="F183"/>
  <c r="W153"/>
  <c r="F276"/>
  <c r="U242"/>
  <c r="V153"/>
  <c r="F182"/>
  <c r="AI191"/>
  <c r="V210"/>
  <c r="AI26"/>
  <c r="V35"/>
  <c r="CM242"/>
  <c r="BD254"/>
  <c r="GN205"/>
  <c r="GM205"/>
  <c r="AT67"/>
  <c r="F139"/>
  <c r="AZ26"/>
  <c r="F46"/>
  <c r="BC67"/>
  <c r="F137"/>
  <c r="CP31"/>
  <c r="O31" s="1"/>
  <c r="AC35"/>
  <c r="F275"/>
  <c r="T242"/>
  <c r="BD67"/>
  <c r="F146"/>
  <c r="AQ22"/>
  <c r="F294"/>
  <c r="AQ314"/>
  <c r="CP207"/>
  <c r="O207" s="1"/>
  <c r="AK159"/>
  <c r="GM80"/>
  <c r="AB91"/>
  <c r="AD254"/>
  <c r="AD210"/>
  <c r="AF210"/>
  <c r="GN87"/>
  <c r="CZ86"/>
  <c r="Y86" s="1"/>
  <c r="AL91" s="1"/>
  <c r="GN88"/>
  <c r="Q91"/>
  <c r="AD71"/>
  <c r="AZ22" l="1"/>
  <c r="F295"/>
  <c r="AZ314"/>
  <c r="AK191"/>
  <c r="X210"/>
  <c r="Y91"/>
  <c r="AL71"/>
  <c r="CA91"/>
  <c r="AF26"/>
  <c r="S35"/>
  <c r="F165"/>
  <c r="AW153"/>
  <c r="U91"/>
  <c r="AH71"/>
  <c r="U26"/>
  <c r="F57"/>
  <c r="GN31"/>
  <c r="GM31"/>
  <c r="AS242"/>
  <c r="F271"/>
  <c r="T191"/>
  <c r="F231"/>
  <c r="F128"/>
  <c r="AX67"/>
  <c r="AX284"/>
  <c r="AB153"/>
  <c r="O159"/>
  <c r="AW254"/>
  <c r="CF242"/>
  <c r="P242"/>
  <c r="F257"/>
  <c r="P191"/>
  <c r="F213"/>
  <c r="AB71"/>
  <c r="O91"/>
  <c r="GN207"/>
  <c r="GM207"/>
  <c r="CA210" s="1"/>
  <c r="P35"/>
  <c r="CE35"/>
  <c r="AC26"/>
  <c r="CH35"/>
  <c r="CF35"/>
  <c r="F279"/>
  <c r="BD242"/>
  <c r="BD284"/>
  <c r="V191"/>
  <c r="F233"/>
  <c r="BA26"/>
  <c r="F55"/>
  <c r="U191"/>
  <c r="F232"/>
  <c r="AL26"/>
  <c r="Y35"/>
  <c r="Y242"/>
  <c r="F281"/>
  <c r="S121"/>
  <c r="S71"/>
  <c r="F106"/>
  <c r="V71"/>
  <c r="V121"/>
  <c r="F114"/>
  <c r="GN83"/>
  <c r="CB91" s="1"/>
  <c r="GM83"/>
  <c r="O254"/>
  <c r="AB242"/>
  <c r="CE242"/>
  <c r="AV254"/>
  <c r="CE191"/>
  <c r="AV210"/>
  <c r="CA254"/>
  <c r="GN86"/>
  <c r="AD191"/>
  <c r="Q210"/>
  <c r="BB22"/>
  <c r="BB314"/>
  <c r="F297"/>
  <c r="W26"/>
  <c r="F59"/>
  <c r="AF191"/>
  <c r="S210"/>
  <c r="AQ18"/>
  <c r="F324"/>
  <c r="Y153"/>
  <c r="F186"/>
  <c r="BA71"/>
  <c r="BA121"/>
  <c r="F111"/>
  <c r="AO18"/>
  <c r="F318"/>
  <c r="AZ67"/>
  <c r="F132"/>
  <c r="Q254"/>
  <c r="AD242"/>
  <c r="AK153"/>
  <c r="X159"/>
  <c r="X35"/>
  <c r="AK26"/>
  <c r="F167"/>
  <c r="AY153"/>
  <c r="AL191"/>
  <c r="Y210"/>
  <c r="AC71"/>
  <c r="CF91"/>
  <c r="P91"/>
  <c r="CE91"/>
  <c r="CH91"/>
  <c r="R26"/>
  <c r="F49"/>
  <c r="R191"/>
  <c r="F224"/>
  <c r="AU22"/>
  <c r="F303"/>
  <c r="AU314"/>
  <c r="W191"/>
  <c r="F234"/>
  <c r="BC18"/>
  <c r="F330"/>
  <c r="CH191"/>
  <c r="AY210"/>
  <c r="W71"/>
  <c r="W121"/>
  <c r="F115"/>
  <c r="Q26"/>
  <c r="F47"/>
  <c r="CB35"/>
  <c r="AB35"/>
  <c r="CA35"/>
  <c r="GM86"/>
  <c r="CB210"/>
  <c r="CB159"/>
  <c r="S153"/>
  <c r="F174"/>
  <c r="CC242"/>
  <c r="AT254"/>
  <c r="F164"/>
  <c r="AV153"/>
  <c r="CH242"/>
  <c r="AY254"/>
  <c r="T71"/>
  <c r="F112"/>
  <c r="T121"/>
  <c r="CF191"/>
  <c r="AW210"/>
  <c r="AK71"/>
  <c r="X91"/>
  <c r="CA159"/>
  <c r="V26"/>
  <c r="F58"/>
  <c r="AE71"/>
  <c r="R91"/>
  <c r="Q71"/>
  <c r="F103"/>
  <c r="Q121"/>
  <c r="Q284" s="1"/>
  <c r="X242"/>
  <c r="F280"/>
  <c r="AB191"/>
  <c r="O210"/>
  <c r="AP22"/>
  <c r="AP314"/>
  <c r="F293"/>
  <c r="G16" i="2" s="1"/>
  <c r="G18" s="1"/>
  <c r="CA191" i="1" l="1"/>
  <c r="AR210"/>
  <c r="Q22"/>
  <c r="F296"/>
  <c r="Q314"/>
  <c r="AR159"/>
  <c r="CA153"/>
  <c r="CA26"/>
  <c r="AR35"/>
  <c r="Y191"/>
  <c r="F237"/>
  <c r="CA242"/>
  <c r="AR254"/>
  <c r="CB71"/>
  <c r="AS91"/>
  <c r="CE26"/>
  <c r="AV35"/>
  <c r="O71"/>
  <c r="F93"/>
  <c r="O121"/>
  <c r="F161"/>
  <c r="O153"/>
  <c r="AR91"/>
  <c r="CA71"/>
  <c r="F105"/>
  <c r="R121"/>
  <c r="R71"/>
  <c r="W67"/>
  <c r="F145"/>
  <c r="AU18"/>
  <c r="F333"/>
  <c r="AY91"/>
  <c r="CH71"/>
  <c r="BA67"/>
  <c r="F141"/>
  <c r="BB18"/>
  <c r="F327"/>
  <c r="F259"/>
  <c r="AV242"/>
  <c r="AW242"/>
  <c r="F260"/>
  <c r="U71"/>
  <c r="F113"/>
  <c r="U121"/>
  <c r="X191"/>
  <c r="F236"/>
  <c r="W284"/>
  <c r="CB26"/>
  <c r="AS35"/>
  <c r="CF71"/>
  <c r="AW91"/>
  <c r="O242"/>
  <c r="F256"/>
  <c r="V67"/>
  <c r="F144"/>
  <c r="CH26"/>
  <c r="AY35"/>
  <c r="S26"/>
  <c r="F50"/>
  <c r="S284"/>
  <c r="X71"/>
  <c r="F117"/>
  <c r="X121"/>
  <c r="CB191"/>
  <c r="AS210"/>
  <c r="F185"/>
  <c r="X153"/>
  <c r="S67"/>
  <c r="F136"/>
  <c r="BD22"/>
  <c r="F309"/>
  <c r="BD314"/>
  <c r="AX22"/>
  <c r="F291"/>
  <c r="AX314"/>
  <c r="Y71"/>
  <c r="Y121"/>
  <c r="F118"/>
  <c r="AY242"/>
  <c r="F262"/>
  <c r="AT242"/>
  <c r="F272"/>
  <c r="AT284"/>
  <c r="AS159"/>
  <c r="CB153"/>
  <c r="AB26"/>
  <c r="O35"/>
  <c r="AY191"/>
  <c r="F218"/>
  <c r="P71"/>
  <c r="F94"/>
  <c r="P121"/>
  <c r="X26"/>
  <c r="F61"/>
  <c r="X284"/>
  <c r="Q242"/>
  <c r="F266"/>
  <c r="S191"/>
  <c r="F225"/>
  <c r="Q191"/>
  <c r="F222"/>
  <c r="AV191"/>
  <c r="F215"/>
  <c r="Y26"/>
  <c r="F62"/>
  <c r="CF26"/>
  <c r="AW35"/>
  <c r="P26"/>
  <c r="F38"/>
  <c r="P284"/>
  <c r="AZ18"/>
  <c r="F325"/>
  <c r="V284"/>
  <c r="BA284"/>
  <c r="AP18"/>
  <c r="F323"/>
  <c r="I29" i="5" s="1"/>
  <c r="T67" i="1"/>
  <c r="F142"/>
  <c r="T284"/>
  <c r="O191"/>
  <c r="F212"/>
  <c r="Q67"/>
  <c r="F133"/>
  <c r="AW191"/>
  <c r="F216"/>
  <c r="CE71"/>
  <c r="AV91"/>
  <c r="BA22" l="1"/>
  <c r="BA314"/>
  <c r="F304"/>
  <c r="H16" i="2" s="1"/>
  <c r="H18" s="1"/>
  <c r="X22" i="1"/>
  <c r="X314"/>
  <c r="F310"/>
  <c r="O26"/>
  <c r="F37"/>
  <c r="O284"/>
  <c r="AT22"/>
  <c r="F302"/>
  <c r="F16" i="2" s="1"/>
  <c r="F18" s="1"/>
  <c r="AT314" i="1"/>
  <c r="AX18"/>
  <c r="F321"/>
  <c r="X67"/>
  <c r="F147"/>
  <c r="AW71"/>
  <c r="F97"/>
  <c r="AW121"/>
  <c r="W22"/>
  <c r="W314"/>
  <c r="F308"/>
  <c r="U67"/>
  <c r="F143"/>
  <c r="U284"/>
  <c r="AY71"/>
  <c r="F99"/>
  <c r="AY121"/>
  <c r="O67"/>
  <c r="F123"/>
  <c r="AV71"/>
  <c r="F96"/>
  <c r="AV121"/>
  <c r="T22"/>
  <c r="F305"/>
  <c r="T314"/>
  <c r="AW26"/>
  <c r="F41"/>
  <c r="AW284"/>
  <c r="P67"/>
  <c r="F124"/>
  <c r="AS153"/>
  <c r="F176"/>
  <c r="BD18"/>
  <c r="F339"/>
  <c r="S22"/>
  <c r="S314"/>
  <c r="F299"/>
  <c r="J16" i="2" s="1"/>
  <c r="J18" s="1"/>
  <c r="AV26" i="1"/>
  <c r="F40"/>
  <c r="AV284"/>
  <c r="F282"/>
  <c r="AR242"/>
  <c r="AR26"/>
  <c r="F63"/>
  <c r="Q18"/>
  <c r="F326"/>
  <c r="P22"/>
  <c r="F287"/>
  <c r="P314"/>
  <c r="F148"/>
  <c r="Y67"/>
  <c r="AS191"/>
  <c r="F227"/>
  <c r="AY26"/>
  <c r="F43"/>
  <c r="AY284"/>
  <c r="F52"/>
  <c r="AS26"/>
  <c r="F135"/>
  <c r="R67"/>
  <c r="R284"/>
  <c r="AR153"/>
  <c r="F187"/>
  <c r="AR191"/>
  <c r="F238"/>
  <c r="V22"/>
  <c r="V314"/>
  <c r="F307"/>
  <c r="AR71"/>
  <c r="F119"/>
  <c r="AR121"/>
  <c r="AR284" s="1"/>
  <c r="AS71"/>
  <c r="F108"/>
  <c r="AS121"/>
  <c r="Y284"/>
  <c r="AR22" l="1"/>
  <c r="F312"/>
  <c r="AR314"/>
  <c r="Y22"/>
  <c r="F311"/>
  <c r="Y314"/>
  <c r="V18"/>
  <c r="F337"/>
  <c r="AY22"/>
  <c r="F292"/>
  <c r="AY314"/>
  <c r="P18"/>
  <c r="F317"/>
  <c r="AV67"/>
  <c r="F126"/>
  <c r="U22"/>
  <c r="F306"/>
  <c r="U314"/>
  <c r="W18"/>
  <c r="F338"/>
  <c r="O22"/>
  <c r="O314"/>
  <c r="F286"/>
  <c r="X18"/>
  <c r="F340"/>
  <c r="BA18"/>
  <c r="F334"/>
  <c r="I30" i="5" s="1"/>
  <c r="R22" i="1"/>
  <c r="R314"/>
  <c r="F298"/>
  <c r="AS67"/>
  <c r="F138"/>
  <c r="AV22"/>
  <c r="F289"/>
  <c r="AV314"/>
  <c r="S18"/>
  <c r="F329"/>
  <c r="AW22"/>
  <c r="F290"/>
  <c r="AW314"/>
  <c r="F127"/>
  <c r="AW67"/>
  <c r="AS284"/>
  <c r="AR67"/>
  <c r="F149"/>
  <c r="T18"/>
  <c r="F335"/>
  <c r="AY67"/>
  <c r="F129"/>
  <c r="AT18"/>
  <c r="F332"/>
  <c r="I28" i="5" s="1"/>
  <c r="I32" l="1"/>
  <c r="AW18" i="1"/>
  <c r="F320"/>
  <c r="R18"/>
  <c r="F328"/>
  <c r="O18"/>
  <c r="F316"/>
  <c r="U18"/>
  <c r="F336"/>
  <c r="I31" i="5" s="1"/>
  <c r="G31" s="1"/>
  <c r="Y18" i="1"/>
  <c r="F341"/>
  <c r="AS22"/>
  <c r="F301"/>
  <c r="E16" i="2" s="1"/>
  <c r="AS314" i="1"/>
  <c r="AV18"/>
  <c r="F319"/>
  <c r="AY18"/>
  <c r="F322"/>
  <c r="AR18"/>
  <c r="F342"/>
  <c r="I16" i="2" l="1"/>
  <c r="I18" s="1"/>
  <c r="E18"/>
  <c r="AS18" i="1"/>
  <c r="F331"/>
  <c r="I27" i="5" s="1"/>
  <c r="F343" i="1"/>
  <c r="F344" l="1"/>
  <c r="J394" i="5"/>
  <c r="I26" l="1"/>
  <c r="J395"/>
</calcChain>
</file>

<file path=xl/sharedStrings.xml><?xml version="1.0" encoding="utf-8"?>
<sst xmlns="http://schemas.openxmlformats.org/spreadsheetml/2006/main" count="6680" uniqueCount="677">
  <si>
    <t>Smeta.RU  (495) 974-1589</t>
  </si>
  <si>
    <t>_PS_</t>
  </si>
  <si>
    <t>Smeta.RU</t>
  </si>
  <si>
    <t/>
  </si>
  <si>
    <t>Новый объект</t>
  </si>
  <si>
    <t>Кабинет ЛФК  Ильинский Погост 2021.</t>
  </si>
  <si>
    <t>Сметные нормы списания</t>
  </si>
  <si>
    <t>Коды ценников</t>
  </si>
  <si>
    <t>ТСНБ-2001 Московской области (Версия 15.0)</t>
  </si>
  <si>
    <t>ГСН (ГЭСН, ФЕР) и ТЕР (Методики НР (812/пр) и СП (774/пр) от 24.06.2021 г.</t>
  </si>
  <si>
    <t>ТСНБ-2001 Московской области (редакция 2014 г версия 15.0)</t>
  </si>
  <si>
    <t>Поправки для НБ 2014 года от 15.06.2021 г. Кап. ремонт жилых и общественных зданий</t>
  </si>
  <si>
    <t>Новая локальная смета</t>
  </si>
  <si>
    <t>Новый раздел</t>
  </si>
  <si>
    <t>Демонтаж</t>
  </si>
  <si>
    <t>1</t>
  </si>
  <si>
    <t>63-10-1</t>
  </si>
  <si>
    <t>Разборка облицовки из гипсокартонных листов стен и перегородок</t>
  </si>
  <si>
    <t>100 м2 облицовки</t>
  </si>
  <si>
    <t>ТЕРр Московской обл., 63-10-1, приказ Минстроя России №675/пр от 28.02.2017 № 263/пр</t>
  </si>
  <si>
    <t>Ремонтно-строительные работы</t>
  </si>
  <si>
    <t>Стекольные, обойные, облицовочные работы</t>
  </si>
  <si>
    <t>рФЕР-63</t>
  </si>
  <si>
    <t>3</t>
  </si>
  <si>
    <t>46-02-009-2</t>
  </si>
  <si>
    <t>Отбивка штукатурки с поверхностей стен и потолков кирпичных</t>
  </si>
  <si>
    <t>100 м2</t>
  </si>
  <si>
    <t>ТЕР Московской обл., 46-02-009-2, приказ Минстроя России №675/пр от 28.02.2017 № 260/пр</t>
  </si>
  <si>
    <t>Общестроительные работы</t>
  </si>
  <si>
    <t>Работы по реконструкции зданий и сооружений: усиление и замена существующих конструкций, возведение отдельных конструктивных элементов</t>
  </si>
  <si>
    <t>ФЕР-46</t>
  </si>
  <si>
    <t>5</t>
  </si>
  <si>
    <t>57-1-2</t>
  </si>
  <si>
    <t>Разборка оснований покрытия полов лаг из досок и брусков</t>
  </si>
  <si>
    <t>100 м2 основания</t>
  </si>
  <si>
    <t>ТЕРр Московской обл., 57-1-2, приказ Минстроя России №675/пр от 21.09.2015 г.</t>
  </si>
  <si>
    <t>Полы</t>
  </si>
  <si>
    <t>рФЕР-57</t>
  </si>
  <si>
    <t>5,1</t>
  </si>
  <si>
    <t>509-9900</t>
  </si>
  <si>
    <t>Строительный мусор</t>
  </si>
  <si>
    <t>т</t>
  </si>
  <si>
    <t>ТССЦ Московской обл., 509-9900, приказ Минстроя России №675/пр от 21.09.2015 г.</t>
  </si>
  <si>
    <t>8</t>
  </si>
  <si>
    <t>67-4-1</t>
  </si>
  <si>
    <t>Демонтаж выключателей, розеток</t>
  </si>
  <si>
    <t>100 шт.</t>
  </si>
  <si>
    <t>ТЕРр Московской обл., 67-4-1, приказ Минстроя России №675/пр от 21.09.2015 г.</t>
  </si>
  <si>
    <t>Электромонтажные работы</t>
  </si>
  <si>
    <t>рФЕР-67</t>
  </si>
  <si>
    <t>11</t>
  </si>
  <si>
    <t>67-4-5</t>
  </si>
  <si>
    <t>Демонтаж светильников для люминесцентных ламп</t>
  </si>
  <si>
    <t>ТЕРр Московской обл., 67-4-5, приказ Минстроя России №675/пр от 21.09.2015 г.</t>
  </si>
  <si>
    <t>ПЗ</t>
  </si>
  <si>
    <t>Прямые затраты</t>
  </si>
  <si>
    <t>СтМатОб</t>
  </si>
  <si>
    <t>Стоимость материальных ресурсов (всего)</t>
  </si>
  <si>
    <t>СтМатОбЗак</t>
  </si>
  <si>
    <t>Стоимость материалов и оборудования заказчика</t>
  </si>
  <si>
    <t>СтМатОбПод</t>
  </si>
  <si>
    <t>Стоимость материалов и оборудования подрядчика</t>
  </si>
  <si>
    <t>СтМат</t>
  </si>
  <si>
    <t>Стоимость материалов (всего)</t>
  </si>
  <si>
    <t>СтМатЗак</t>
  </si>
  <si>
    <t>Стоимость материалов заказчика</t>
  </si>
  <si>
    <t>СтМатПод</t>
  </si>
  <si>
    <t>Стоимость материалов подрядчика</t>
  </si>
  <si>
    <t>Оборуд</t>
  </si>
  <si>
    <t>Стоимость оборудования (всего)</t>
  </si>
  <si>
    <t>ОборудЗак</t>
  </si>
  <si>
    <t>Стоимость оборудования заказчика</t>
  </si>
  <si>
    <t>ОборудПод</t>
  </si>
  <si>
    <t>Стоимость оборудования подрядчика</t>
  </si>
  <si>
    <t>ЭММ</t>
  </si>
  <si>
    <t>Эксплуатация машин</t>
  </si>
  <si>
    <t>ЭММсНРиСП</t>
  </si>
  <si>
    <t>Эксплуатация машин по ТСН-2001.16</t>
  </si>
  <si>
    <t>ЗПМ</t>
  </si>
  <si>
    <t>ЗП машинистов</t>
  </si>
  <si>
    <t>ОЗП</t>
  </si>
  <si>
    <t>Основная ЗП рабочих</t>
  </si>
  <si>
    <t>ОЗПсНРиСП</t>
  </si>
  <si>
    <t>Основная ЗП рабочих по ТСН-2001.16</t>
  </si>
  <si>
    <t>Строит</t>
  </si>
  <si>
    <t>Строительные работы с НР и СП</t>
  </si>
  <si>
    <t>Монтаж</t>
  </si>
  <si>
    <t>Монтажные работы с НР и СП</t>
  </si>
  <si>
    <t>Прочие</t>
  </si>
  <si>
    <t>Прочие работы с НР и СП</t>
  </si>
  <si>
    <t>ПрочиеЗатр</t>
  </si>
  <si>
    <t>Прочие затраты по ТСН-2001.16</t>
  </si>
  <si>
    <t>ВозврМат</t>
  </si>
  <si>
    <t>Возврат материалов</t>
  </si>
  <si>
    <t>ТрудСтр</t>
  </si>
  <si>
    <t>Трудозатраты строителей</t>
  </si>
  <si>
    <t>ТрудМаш</t>
  </si>
  <si>
    <t>Трудозатраты машинистов</t>
  </si>
  <si>
    <t>ТранспМат</t>
  </si>
  <si>
    <t>Транспорт материалов</t>
  </si>
  <si>
    <t>Перевозка</t>
  </si>
  <si>
    <t>Перевозка грузов</t>
  </si>
  <si>
    <t>НР</t>
  </si>
  <si>
    <t>Накладные расходы</t>
  </si>
  <si>
    <t>СмПриб</t>
  </si>
  <si>
    <t>Сметная прибыль</t>
  </si>
  <si>
    <t>Всего</t>
  </si>
  <si>
    <t>Всего с НР и СП</t>
  </si>
  <si>
    <t>Новый подраздел</t>
  </si>
  <si>
    <t>стены</t>
  </si>
  <si>
    <t>10-01-092-1</t>
  </si>
  <si>
    <t>Антисептическая обработка каменных, бетонных, кирпичных и деревянных поверхностей биопиреном "Нортекс-Дезинфектор"</t>
  </si>
  <si>
    <t>100 м2 обрабатываемой поверхности</t>
  </si>
  <si>
    <t>ТЕР Московской обл., 10-01-092-1, приказ Минстроя России №675/пр от 28.02.2017 № 260/пр</t>
  </si>
  <si>
    <t>)*1,15</t>
  </si>
  <si>
    <t>Деревянные конструкции</t>
  </si>
  <si>
    <t>ФЕР-10</t>
  </si>
  <si>
    <t>Поправка: МДС 81-35.2004, п.4.9</t>
  </si>
  <si>
    <t>10-05-009-1</t>
  </si>
  <si>
    <t>Облицовка стен по системе «КНАУФ» по одинарному металлическому каркасу из ПН и ПС профилей гипсокартонными листами в один слой (С 625) оконным проемом</t>
  </si>
  <si>
    <t>100 м2 стен (за вычетом проемов)</t>
  </si>
  <si>
    <t>ТЕР Московской обл., 10-05-009-1, приказ Минстроя России №675/пр от 28.02.2017 № 260/пр</t>
  </si>
  <si>
    <t>7</t>
  </si>
  <si>
    <t>10-01-301-1</t>
  </si>
  <si>
    <t>Заполнение каркаса перегородок утеплителем</t>
  </si>
  <si>
    <t>100 м2 перегородок</t>
  </si>
  <si>
    <t>ТСНБ-2001 Московской области, 10-01-301-1, протокол от 29.07.2020 г. № 07</t>
  </si>
  <si>
    <t>104-0099</t>
  </si>
  <si>
    <t>Плиты минераловатные «Лайт-Баттс» ROCKWOOL, толщина 50 мм</t>
  </si>
  <si>
    <t>м2</t>
  </si>
  <si>
    <t>ТССЦ Московской обл., 104-0099, приказ Минстроя России №675/пр от 28.02.2017 № 254/пр</t>
  </si>
  <si>
    <t>Материалы строительные</t>
  </si>
  <si>
    <t>Материалы и конструкции ( строительные ) по ценникам и каталогом</t>
  </si>
  <si>
    <t>ФССЦст</t>
  </si>
  <si>
    <t>9</t>
  </si>
  <si>
    <t>15-04-005-5</t>
  </si>
  <si>
    <t>Окраска поливинилацетатными водоэмульсионными составами улучшенная по сборным конструкциям стен, подготовленным под окраску</t>
  </si>
  <si>
    <t>100 м2 окрашиваемой поверхности</t>
  </si>
  <si>
    <t>ТЕР Московской обл., 15-04-005-5, приказ Минстроя России №675/пр от 28.02.2017 № 260/пр</t>
  </si>
  <si>
    <t>)*1,25</t>
  </si>
  <si>
    <t>Отделочные работы</t>
  </si>
  <si>
    <t>ФЕР-15</t>
  </si>
  <si>
    <t>Поправка: МДС 81-35.2004, п.4.7</t>
  </si>
  <si>
    <t>10</t>
  </si>
  <si>
    <t>15-02-019-3</t>
  </si>
  <si>
    <t>Сплошное выравнивание внутренних поверхностей (однослойное оштукатуривание)из сухих растворных смесей толщиной до 10 мм стен</t>
  </si>
  <si>
    <t>100 м2 оштукатуриваемой поверхности</t>
  </si>
  <si>
    <t>ТЕР Московской обл., 15-02-019-3, приказ Минстроя России №675/пр от 28.02.2017 № 260/пр</t>
  </si>
  <si>
    <t>10,1</t>
  </si>
  <si>
    <t>402-0077</t>
  </si>
  <si>
    <t>Смесь штукатурная «Ротбанд», КНАУФ</t>
  </si>
  <si>
    <t>кг</t>
  </si>
  <si>
    <t>ТССЦ Московской обл., 402-0077, приказ Минстроя России №675/пр от 28.02.2017 № 257/пр</t>
  </si>
  <si>
    <t>15</t>
  </si>
  <si>
    <t>15-04-005-3</t>
  </si>
  <si>
    <t>Окраска поливинилацетатными водоэмульсионными составами улучшенная по штукатурке стен</t>
  </si>
  <si>
    <t>ТЕР Московской обл., 15-04-005-3, приказ Минстроя России №675/пр от 28.02.2017 № 260/пр</t>
  </si>
  <si>
    <t>17</t>
  </si>
  <si>
    <t>11-01-012-3</t>
  </si>
  <si>
    <t>Укладка лаг по плитам перекрытий</t>
  </si>
  <si>
    <t>100 м2 пола</t>
  </si>
  <si>
    <t>ТЕР Московской обл., 11-01-012-3, приказ Минстроя России №675/пр от 21.09.2015 г.</t>
  </si>
  <si>
    <t>ФЕР-11</t>
  </si>
  <si>
    <t>18</t>
  </si>
  <si>
    <t>57-8-3</t>
  </si>
  <si>
    <t>Смена простильных дощатых полов с полной сменой досок</t>
  </si>
  <si>
    <t>ТЕРр Московской обл., 57-8-3, приказ Минстроя России №675/пр от 28.02.2017 № 263/пр</t>
  </si>
  <si>
    <t>18,1</t>
  </si>
  <si>
    <t>ТССЦ Московской обл., 509-9900, приказ Минстроя России №675/пр от 28.02.2017 № 258/пр</t>
  </si>
  <si>
    <t>20</t>
  </si>
  <si>
    <t>11-01-053-2</t>
  </si>
  <si>
    <t>Устройство оснований полов из фанеры в один слой площадью свыше 20 м2</t>
  </si>
  <si>
    <t>ТЕР Московской обл., 11-01-053-2, приказ Минстроя России №675/пр от 21.09.2015 г.</t>
  </si>
  <si>
    <t>22</t>
  </si>
  <si>
    <t>11-01-036-1</t>
  </si>
  <si>
    <t>Устройство покрытий из линолеума на клее «Бустилат»</t>
  </si>
  <si>
    <t>100 м2 покрытия</t>
  </si>
  <si>
    <t>ТЕР Московской обл., 11-01-036-1, приказ Минстроя России №675/пр от 28.02.2017 № 260/пр</t>
  </si>
  <si>
    <t>22,2</t>
  </si>
  <si>
    <t>101-0562</t>
  </si>
  <si>
    <t>Линолеум поливинилхлоридный на теплоизолирующей подоснове марок ПР-ВТ, ВК-ВТ, ЭК-ВТ</t>
  </si>
  <si>
    <t>ТССЦ Московской обл., 101-0562, приказ Минстроя России №675/пр от 28.02.2017 № 254/пр</t>
  </si>
  <si>
    <t>22,3</t>
  </si>
  <si>
    <t>цена постовщика</t>
  </si>
  <si>
    <t>Рулонное покрытие Sagama Dynamico 6мм</t>
  </si>
  <si>
    <t>1 м2</t>
  </si>
  <si>
    <t>занесена вручную</t>
  </si>
  <si>
    <t>23</t>
  </si>
  <si>
    <t>116-0360</t>
  </si>
  <si>
    <t>Спортивный комплекс: 3 турника, 3 шведских стенки; размеры 2900х1900х2500 мм</t>
  </si>
  <si>
    <t>компл.</t>
  </si>
  <si>
    <t>ТССЦ Московской обл., 116-0360, приказ Минстроя России №675/пр от 28.02.2017 № 254/пр</t>
  </si>
  <si>
    <t>24</t>
  </si>
  <si>
    <t>Цена поставщика</t>
  </si>
  <si>
    <t>Стеллаж для спортивного инвентаря</t>
  </si>
  <si>
    <t>шт.</t>
  </si>
  <si>
    <t>Строительные металлические конструкции</t>
  </si>
  <si>
    <t>ФЕР-09</t>
  </si>
  <si>
    <t>Потолок</t>
  </si>
  <si>
    <t>62-41-1</t>
  </si>
  <si>
    <t>Очистка вручную поверхности фасадов от перхлорвиниловых и масляных красок с земли и лесов</t>
  </si>
  <si>
    <t>100 м2 расчищенной поверхности</t>
  </si>
  <si>
    <t>ТЕРр Московской обл., 62-41-1, приказ Минстроя России №675/пр от 28.02.2017 № 263/пр</t>
  </si>
  <si>
    <t>Малярные работы</t>
  </si>
  <si>
    <t>рФЕР-62</t>
  </si>
  <si>
    <t>15-04-005-4</t>
  </si>
  <si>
    <t>Окраска поливинилацетатными водоэмульсионными составами улучшенная по штукатурке потолков</t>
  </si>
  <si>
    <t>ТЕР Московской обл., 15-04-005-4, приказ Минстроя России №675/пр от 28.02.2017 № 260/пр</t>
  </si>
  <si>
    <t>Оконный блок</t>
  </si>
  <si>
    <t>46-03-007-3</t>
  </si>
  <si>
    <t>Пробивка проемов в конструкциях из кирпича</t>
  </si>
  <si>
    <t>1 м3</t>
  </si>
  <si>
    <t>ТЕР Московской обл., 46-03-007-3, приказ Минстроя России №675/пр от 28.02.2017 № 260/пр</t>
  </si>
  <si>
    <t>2</t>
  </si>
  <si>
    <t>10-01-034-1</t>
  </si>
  <si>
    <t>Установка в жилых и общественных зданиях оконных блоков из ПВХ профилей глухих с площадью проема до 2 м2</t>
  </si>
  <si>
    <t>100 м2 проемов</t>
  </si>
  <si>
    <t>ТЕР Московской обл., 10-01-034-1, приказ Минстроя России №675/пр от 28.02.2017 № 260/пр</t>
  </si>
  <si>
    <t>2,1</t>
  </si>
  <si>
    <t>203-0938</t>
  </si>
  <si>
    <t>Блок оконный пластиковый глухой, одностворчатый с однокамерным стеклопакетом (24 мм), площадью до 2 м2</t>
  </si>
  <si>
    <t>ТССЦ Московской обл., 203-0938, приказ Минстроя России №675/пр от 28.02.2017 № 255/пр</t>
  </si>
  <si>
    <t>2,2</t>
  </si>
  <si>
    <t>окно пластиковое двустворчатое,двухкамерное стеклопакетом</t>
  </si>
  <si>
    <t>4</t>
  </si>
  <si>
    <t>15-01-050-4</t>
  </si>
  <si>
    <t>Облицовка оконных и дверных откосов декоративным бумажно-слоистым пластиком или листами из синтетических материалов на клее</t>
  </si>
  <si>
    <t>ТЕР Московской обл., 15-01-050-4, приказ Минстроя России №675/пр от 28.02.2017 № 260/пр</t>
  </si>
  <si>
    <t>4,1</t>
  </si>
  <si>
    <t>101-3433</t>
  </si>
  <si>
    <t>Панели декоративные пластиковые «Кронапласт», размером 2700х370х8 мм</t>
  </si>
  <si>
    <t>ТССЦ Московской обл., 101-3433, приказ Минстроя России №675/пр от 28.02.2017 № 254/пр</t>
  </si>
  <si>
    <t>10-01-035-1</t>
  </si>
  <si>
    <t>Установка подоконных досок из ПВХ в каменных стенах толщиной до 0,51 м</t>
  </si>
  <si>
    <t>100 п. м</t>
  </si>
  <si>
    <t>ТЕР Московской обл., 10-01-035-1, приказ Минстроя России №675/пр от 28.02.2017 № 260/пр</t>
  </si>
  <si>
    <t>101-2904</t>
  </si>
  <si>
    <t>Доски подоконные ПВХ, шириной 200 мм</t>
  </si>
  <si>
    <t>м</t>
  </si>
  <si>
    <t>ТССЦ Московской обл., 101-2904, приказ Минстроя России №675/пр от 28.02.2017 № 254/пр</t>
  </si>
  <si>
    <t>58-20-1</t>
  </si>
  <si>
    <t>Смена обделок из листовой стали (поясков, сандриков, отливов, карнизов) шириной до 0,4 м</t>
  </si>
  <si>
    <t>100 м</t>
  </si>
  <si>
    <t>ТЕРр Московской обл., 58-20-1, приказ Минстроя России №675/пр от 28.02.2017 № 263/пр</t>
  </si>
  <si>
    <t>Крыши, кровли</t>
  </si>
  <si>
    <t>рФЕР-58</t>
  </si>
  <si>
    <t>8,1</t>
  </si>
  <si>
    <t>9,1</t>
  </si>
  <si>
    <t>101-6871</t>
  </si>
  <si>
    <t>Сэндвич-панели для откосов (наружные слои – листы из поливинилхлорида, внутреннее наполнение – вспененный пенополистирол) белые, ширина 1,5 м, длина 3,0 м, толщина 10 мм</t>
  </si>
  <si>
    <t>ТССЦ Московской обл., 101-6871, приказ Минстроя России №675/пр от 28.02.2017 № 254/пр</t>
  </si>
  <si>
    <t>10,2</t>
  </si>
  <si>
    <t>101-2416</t>
  </si>
  <si>
    <t>Грунтовка «Бетоконтакт», КНАУФ</t>
  </si>
  <si>
    <t>ТССЦ Московской обл., 101-2416, приказ Минстроя России №675/пр от 28.02.2017 № 254/пр</t>
  </si>
  <si>
    <t>электромонтажные работы</t>
  </si>
  <si>
    <t>м08-03-591-4</t>
  </si>
  <si>
    <t>Выключатель двухклавишный неутопленного типа при открытой проводке</t>
  </si>
  <si>
    <t>ТЕРм Московской обл., м08-03-591-4, приказ Минстроя России №675/пр от 28.02.2017 № 259/пр</t>
  </si>
  <si>
    <t>Монтажные работы</t>
  </si>
  <si>
    <t>Электротехнические установки: на других объектах</t>
  </si>
  <si>
    <t>мФЕР-08</t>
  </si>
  <si>
    <t>509-4596</t>
  </si>
  <si>
    <t>Выключатель двухклавишный для открытой проводки серии "Прима", марка А16-007 с подсветкой, цвет белый</t>
  </si>
  <si>
    <t>10 шт.</t>
  </si>
  <si>
    <t>ТССЦ Московской обл., 509-4596, приказ Минстроя России №675/пр от 28.02.2017 № 258/пр</t>
  </si>
  <si>
    <t>м08-03-591-8</t>
  </si>
  <si>
    <t>Розетка штепсельная неутопленного типа при открытой проводке</t>
  </si>
  <si>
    <t>ТЕРм Московской обл., м08-03-591-8, приказ Минстроя России №675/пр от 21.09.2015 г.</t>
  </si>
  <si>
    <t>503-0468</t>
  </si>
  <si>
    <t>Розетка открытой проводки</t>
  </si>
  <si>
    <t>ТССЦ Московской обл., 503-0468, приказ Минстроя России №675/пр от 28.02.2017 № 258/пр</t>
  </si>
  <si>
    <t>м08-02-390-1</t>
  </si>
  <si>
    <t>Короба пластмассовые шириной до 40 мм</t>
  </si>
  <si>
    <t>ТЕРм Московской обл., м08-02-390-1, приказ Минстроя России №675/пр от 21.09.2015 г.</t>
  </si>
  <si>
    <t>7,1</t>
  </si>
  <si>
    <t>509-1830</t>
  </si>
  <si>
    <t>Кабель-канал (короб) "Электропласт" 20x10 мм</t>
  </si>
  <si>
    <t>ТССЦ Московской обл., 509-1830, приказ Минстроя России №675/пр от 28.02.2017 № 258/пр</t>
  </si>
  <si>
    <t>м08-02-399-1</t>
  </si>
  <si>
    <t>Провод в коробах, сечением до 6 мм2</t>
  </si>
  <si>
    <t>ТЕРм Московской обл., м08-02-399-1, приказ Минстроя России №675/пр от 28.02.2017 № 259/пр</t>
  </si>
  <si>
    <t>501-8190</t>
  </si>
  <si>
    <t>Кабель силовой с медными жилами с поливинилхлоридной изоляцией в поливинилхлоридной оболочке без защитного покрова ВВГ, напряжением 0,66 кВ, число жил – 3 и сечением 1,5 мм2</t>
  </si>
  <si>
    <t>1000 м</t>
  </si>
  <si>
    <t>ТССЦ Московской обл., 501-8190, приказ Минстроя России №675/пр от 28.02.2017 № 258/пр</t>
  </si>
  <si>
    <t>1000 М</t>
  </si>
  <si>
    <t>т01-01-01-041</t>
  </si>
  <si>
    <t>Погрузка при автомобильных перевозках мусора строительного с погрузкой вручную</t>
  </si>
  <si>
    <t>1 Т ГРУЗА</t>
  </si>
  <si>
    <t>ТССЦпг Московской обл., т01-01-001-41, приказ Минстроя России №675/пр от 21.09.2015 г.</t>
  </si>
  <si>
    <t>Погрузочно-разгрузочные работы</t>
  </si>
  <si>
    <t>ФССЦпр  пог. а/п (2011,изм. 4-6)</t>
  </si>
  <si>
    <t>Итог 1</t>
  </si>
  <si>
    <t>с НДС 20%</t>
  </si>
  <si>
    <t>Итог 2</t>
  </si>
  <si>
    <t>Всего с НДС 20%</t>
  </si>
  <si>
    <t>СТР_РЕК</t>
  </si>
  <si>
    <t>СТРОИТЕЛЬСТВО и РЕКОНСТРУКЦИЯ  зданий и сооружений всех назначений</t>
  </si>
  <si>
    <t>Строительство и реконструкция</t>
  </si>
  <si>
    <t>РЕМ_ЖИЛ</t>
  </si>
  <si>
    <t>КАП. РЕМ. ЖИЛЫХ И ОБЩЕСТВЕННЫХ ЗДАНИЙ</t>
  </si>
  <si>
    <t>Капитальный ремонт жилых и общественных зданий</t>
  </si>
  <si>
    <t>РЕМ_ПР</t>
  </si>
  <si>
    <t>КАП. РЕМ. ПРОИЗВОДСТВЕННЫХ ЗД. и СООРУЖЕНИЙ,  НАРУЖНЫХ ИНЖЕНЕРНЫХ СЕТЕЙ, УЛИЦ И ДОРОГ МЕСТНОГО ЗНАЧЕНИЯ, ИНЖ,СООРУЖЕНИЙ ( ГИДРОТЕХ,СООРУЖ, МОСТОВ И ПУТЕПРОВОДОВ И Т.П.)</t>
  </si>
  <si>
    <t>Капитальный ремонт прозводственных зданий</t>
  </si>
  <si>
    <t>Территория</t>
  </si>
  <si>
    <t>для территории Российской Федерации, не относящейся к районам Крайнего Севера и приравненным к ним местностям</t>
  </si>
  <si>
    <t>МПРКС</t>
  </si>
  <si>
    <t>для территории Российской Федерации, относящейся к местностям, приравненным к районам Крайнего Севера</t>
  </si>
  <si>
    <t>РКС</t>
  </si>
  <si>
    <t>для территории Российской Федерации, относящейся к районам Крайнего Севера</t>
  </si>
  <si>
    <t>СЛЖ</t>
  </si>
  <si>
    <t>{вкл} -  При определении сметной стоимости строительства объектов капитального строительства, относящихся к особо опасным и технически сложным. За исключением АЭС.</t>
  </si>
  <si>
    <t>Для сборников ФЕР ( при производстве работ на технически сложных объектах ):  ·  { СЛЖ } - (вкл.)    - работа на сложных объектах  (к=1,2 к НР)           ·  { СЛЖ } - (выкл.) - работа на обычных объектах</t>
  </si>
  <si>
    <t>Сложные объекты</t>
  </si>
  <si>
    <t>АЭС</t>
  </si>
  <si>
    <t>{вкл} -  При определении сметной стоимости строительства объектов капитального строительства АЭС.</t>
  </si>
  <si>
    <t>Для сборника ФЕРм -39  и ФЕРМ-08  ( при работах по контролю сварных соединений) :    {мАЭС} - ( вкл.)  -     при выполнении работ по на АЭС  (HР=101%; СП= 68%;             {мАЭС} - (выкл.) -  при выполнении работ  на обычных объектах</t>
  </si>
  <si>
    <t>ОПТ/В</t>
  </si>
  <si>
    <t>{вкл}    - Прокладка  МЕЖДУГОРОДНЫХ  ВОЛОКОННО-ОПТИЧЕСКИХ ЛИНИЙ (для ФЕРм10, отд. 6 разд.3)  {выкл} - Прокладка  ГОРОДСКИХ               ВОЛОКОННО-ОПТИТЕСКИХ ЛИНИЙ  (для ФЕРм10, отд. 6 разд.3)</t>
  </si>
  <si>
    <t>Для сборников ФЕРм-10  ( волоконно-оптические линии связи ): ·  {М_ГОР_опт} -  ( вкл.)  - междугородные сети связи ( НР=120% , СП=70% )           ·  {М_ГОР_опт} - ( выкл.) - городские сети связи  ( НР=100%; СП=65%)</t>
  </si>
  <si>
    <t>Прокладка междугородных в/опт. кабелей</t>
  </si>
  <si>
    <t>АВИ</t>
  </si>
  <si>
    <t>(вкл)   -  При работах по ДИСПЕТЧЕРЕЗАЦИИ управления движением АВИАТРАНСПОРТОМ {вкл}  (монтажные работы )</t>
  </si>
  <si>
    <t>Для сборников ФЕРм 08;10;11 :    · {мАВИА} -  (вкл.)     -  производство монтажных  работы по диспетчеризации управления  движением авиатранспортном (НР=95%, СП=55%) ;    ·            {мАВИА} -  (выкл. ) -  при производстве работ на прочих объектах , кром</t>
  </si>
  <si>
    <t>Диспетчеризация авитранспорта</t>
  </si>
  <si>
    <t>ЗАКР</t>
  </si>
  <si>
    <t>{вкл}   -  Обслуживающие и сопутстующие работы в тоннелях при  производве работ ЗАКРЫТЫМ СПОСОБОМ   {выкл} - Обслуживающие и сопутстующие работы в тоннелях при  производве работ  ОТКРЫТЫМ                       (ФЕР-29, разд.04 )</t>
  </si>
  <si>
    <t>Для сборника ФЕР -29 ( сопутствующие работы в тоннелях и метро. ): ·  {ЗАКР} - (вкл.)     -  при выполнении работ в тоннелях  и метро закрытым способом  (НР=145% , СП=75%); ·                {ЗАКР} - (выкл.) -   при выполнении работ в тоннелях и метро  отк</t>
  </si>
  <si>
    <t>Производство работ закрытым способом ( обслуживающие процессы )</t>
  </si>
  <si>
    <t>ГОР</t>
  </si>
  <si>
    <t>(вкл) - ФЕРм-08, отд.1-3 выполнение работ на горнорудных объектах  (выкл) - ФЕРм-08, отд.1-3 выполнение работ на других объектах</t>
  </si>
  <si>
    <t>Выполнение работ на горнорудных объектах</t>
  </si>
  <si>
    <t>Инд_исп.Сводный</t>
  </si>
  <si>
    <t>Используется Индекс "по сводному"</t>
  </si>
  <si>
    <t>К_НР_РЕМ</t>
  </si>
  <si>
    <t>при ремонте жилых и общественных зданий если  ( если {РЕМ_ЖИЛ}= [вкл.]</t>
  </si>
  <si>
    <t>Для сборников  ФЕР и  ФЕРмр :  · Значение {_МДСрем_НР}= 0,90 -  при ремонте зданий жилого и гражданского назначений ( 0,90 к НР) ;  · Значение {_МДСрем_НР}= 1,00  - при строительстве  и реконструкции  объектов всех назначений</t>
  </si>
  <si>
    <t>п.25</t>
  </si>
  <si>
    <t>К_СП_РЕМ</t>
  </si>
  <si>
    <t>к нормам СП при капитальном ремонте зданий и сооружений всех назначений ( если или {РЕМ_ЖИЛ}=[вкл] , или (РЕМ_ПР}=[вкл] )</t>
  </si>
  <si>
    <t>Для сборников  ФЕР и  ФЕРмр :   · Значение {_МДСрем_СП} = 0.85  -  при ремонте зданий всех назначений ( 0,85 к СП);   · Значение {_МДСрем_СП} = 1,00 -  при строительстве  и реконструкции  объектов всех назначений</t>
  </si>
  <si>
    <t>п.16</t>
  </si>
  <si>
    <t>К_НР_СЛЖ</t>
  </si>
  <si>
    <t>При определении сметной стоимости строительства объектов капитального строительства, относящихся к особо опасным и технически сложным. За исключением объектов атомных электрических станций.  ( если {СЛЖ} = [вкл] )</t>
  </si>
  <si>
    <t>п.27 СЛОЖН</t>
  </si>
  <si>
    <t>К_НР_АЭС</t>
  </si>
  <si>
    <t>При определении сметной стоимости строительства объектов капитального строительства, относящихся к особо опасным и технически сложным. Для объектов атомных электрических станций.  ( если {АЭС} = [вкл] )</t>
  </si>
  <si>
    <t>п.27 АЭС</t>
  </si>
  <si>
    <t>Р_ОКР</t>
  </si>
  <si>
    <t>Разрядность округления результата расчета НР и СП  ( с 01.01.2011 - до целых )</t>
  </si>
  <si>
    <t>Лист_НРиСП</t>
  </si>
  <si>
    <t>Уровень цен</t>
  </si>
  <si>
    <t>Сборник индексов</t>
  </si>
  <si>
    <t>ТСНБ-2001 МО (редакция 2014 г)</t>
  </si>
  <si>
    <t>Вид цен</t>
  </si>
  <si>
    <t>Московская область Каталог текущих цен на материалы, март 2021 г</t>
  </si>
  <si>
    <t>_OBSM_</t>
  </si>
  <si>
    <t>1-1031-90</t>
  </si>
  <si>
    <t>Рабочий строитель среднего разряда 3,1</t>
  </si>
  <si>
    <t>чел.-ч</t>
  </si>
  <si>
    <t>Затраты труда машинистов</t>
  </si>
  <si>
    <t>чел.час</t>
  </si>
  <si>
    <t>030954</t>
  </si>
  <si>
    <t>ТСЭМ Московской обл., 030954, приказ Минстроя России №675/пр от 28.02.2017 № 264/пр</t>
  </si>
  <si>
    <t>Подъемники грузоподъемностью до 500 кг одномачтовые, высота подъема 45 м</t>
  </si>
  <si>
    <t>маш.-ч</t>
  </si>
  <si>
    <t>1-1020-90</t>
  </si>
  <si>
    <t>Рабочий строитель среднего разряда 2</t>
  </si>
  <si>
    <t>1-1023-90</t>
  </si>
  <si>
    <t>Рабочий строитель среднего разряда 2,3</t>
  </si>
  <si>
    <t>ТСЭМ Московской обл., 030954, приказ Минстроя России №675/пр от 21.09.2015 г.</t>
  </si>
  <si>
    <t>1-1029-90</t>
  </si>
  <si>
    <t>Рабочий строитель среднего разряда 2,9</t>
  </si>
  <si>
    <t>030952</t>
  </si>
  <si>
    <t>ТСЭМ Московской обл., 030952, приказ Минстроя России №675/пр от 28.02.2017 № 264/пр</t>
  </si>
  <si>
    <t>Подъемники грузоподъемностью до 500 кг одномачтовые, высота подъема 25 м</t>
  </si>
  <si>
    <t>340101</t>
  </si>
  <si>
    <t>ТСЭМ Московской обл., 340101, приказ Минстроя России №675/пр от 28.02.2017 № 264/пр</t>
  </si>
  <si>
    <t>Агрегаты окрасочные высокого давления для окраски поверхностей конструкций мощностью 1 кВт</t>
  </si>
  <si>
    <t>400001</t>
  </si>
  <si>
    <t>ТСЭМ Московской обл., 400001, приказ Минстроя России №675/пр от 28.02.2017 № 264/пр</t>
  </si>
  <si>
    <t>Автомобили бортовые, грузоподъемность до 5 т</t>
  </si>
  <si>
    <t>101-1757</t>
  </si>
  <si>
    <t>ТССЦ Московской обл., 101-1757, приказ Минстроя России №675/пр от 28.02.2017 № 254/пр</t>
  </si>
  <si>
    <t>Ветошь</t>
  </si>
  <si>
    <t>113-8066</t>
  </si>
  <si>
    <t>ТССЦ Московской обл., 113-8066, приказ Минстроя России №675/пр от 28.02.2017 № 254/пр</t>
  </si>
  <si>
    <t>Антисептик «НОРТЕКС-ДЕЗИНФЕКТОР» для древесины</t>
  </si>
  <si>
    <t>411-0001</t>
  </si>
  <si>
    <t>ТССЦ Московской обл., 411-0001, приказ Минстроя России №675/пр от 28.02.2017 № 257/пр</t>
  </si>
  <si>
    <t>Вода</t>
  </si>
  <si>
    <t>м3</t>
  </si>
  <si>
    <t>1-1035-90</t>
  </si>
  <si>
    <t>Рабочий строитель среднего разряда 3,5</t>
  </si>
  <si>
    <t>134041</t>
  </si>
  <si>
    <t>ТСЭМ Московской обл., 134041, приказ Минстроя России №675/пр от 28.02.2017 № 264/пр</t>
  </si>
  <si>
    <t>Шуруповерт</t>
  </si>
  <si>
    <t>330901</t>
  </si>
  <si>
    <t>ТСЭМ Московской обл., 330901, приказ Минстроя России №675/пр от 28.02.2017 № 264/пр</t>
  </si>
  <si>
    <t>Ножницы электрические</t>
  </si>
  <si>
    <t>331451</t>
  </si>
  <si>
    <t>ТСЭМ Московской обл., 331451, приказ Минстроя России №675/пр от 28.02.2017 № 264/пр</t>
  </si>
  <si>
    <t>Перфораторы электрические</t>
  </si>
  <si>
    <t>101-2387</t>
  </si>
  <si>
    <t>ТССЦ Московской обл., 101-2387, приказ Минстроя России №675/пр от 28.02.2017 № 254/пр</t>
  </si>
  <si>
    <t>Герметик строительный «RDPRO», 300 мл</t>
  </si>
  <si>
    <t>101-2430</t>
  </si>
  <si>
    <t>ТССЦ Московской обл., 101-2430, приказ Минстроя России №675/пр от 28.02.2017 № 254/пр</t>
  </si>
  <si>
    <t>Грунтовка «Тифенгрунд», КНАУФ</t>
  </si>
  <si>
    <t>101-2435</t>
  </si>
  <si>
    <t>ТССЦ Московской обл., 101-2435, приказ Минстроя России №675/пр от 28.02.2017 № 254/пр</t>
  </si>
  <si>
    <t>Клей «Перлфикс», КНАУФ</t>
  </si>
  <si>
    <t>101-2437</t>
  </si>
  <si>
    <t>ТССЦ Московской обл., 101-2437, приказ Минстроя России №675/пр от 28.02.2017 № 254/пр</t>
  </si>
  <si>
    <t>Шпаклевка «Унифлот», КНАУФ</t>
  </si>
  <si>
    <t>101-2438</t>
  </si>
  <si>
    <t>ТССЦ Московской обл., 101-2438, приказ Минстроя России №675/пр от 28.02.2017 № 254/пр</t>
  </si>
  <si>
    <t>Шпаклевка «Фугенфюллер», КНАУФ</t>
  </si>
  <si>
    <t>101-2474</t>
  </si>
  <si>
    <t>ТССЦ Московской обл., 101-2474, приказ Минстроя России №675/пр от 28.02.2017 № 254/пр</t>
  </si>
  <si>
    <t>Лента бумажная для повышения трещиностойкости стыков ГКЛ и ГВЛ</t>
  </si>
  <si>
    <t>101-2480</t>
  </si>
  <si>
    <t>ТССЦ Московской обл., 101-2480, приказ Минстроя России №675/пр от 28.02.2017 № 254/пр</t>
  </si>
  <si>
    <t>Лента разделительная для сопряжения потолка из ЛГК со стеной</t>
  </si>
  <si>
    <t>101-2486</t>
  </si>
  <si>
    <t>ТССЦ Московской обл., 101-2486, приказ Минстроя России №675/пр от 28.02.2017 № 254/пр</t>
  </si>
  <si>
    <t>Лента эластичная самоклеящаяся для профилей направляющих «Дихтунгсбанд» 70/30000 мм</t>
  </si>
  <si>
    <t>101-2509</t>
  </si>
  <si>
    <t>ТССЦ Московской обл., 101-2509, приказ Минстроя России №675/пр от 28.02.2017 № 254/пр</t>
  </si>
  <si>
    <t>Листы гипсокартонные ГКЛ 12,5 мм</t>
  </si>
  <si>
    <t>101-2583</t>
  </si>
  <si>
    <t>ТССЦ Московской обл., 101-2583, приказ Минстроя России №675/пр от 28.02.2017 № 254/пр</t>
  </si>
  <si>
    <t>Шуруп самонарезающий (TN) 3,5/25 мм</t>
  </si>
  <si>
    <t>101-2590</t>
  </si>
  <si>
    <t>ТССЦ Московской обл., 101-2590, приказ Минстроя России №675/пр от 28.02.2017 № 254/пр</t>
  </si>
  <si>
    <t>Дюбель с шурупом 6/35 мм</t>
  </si>
  <si>
    <t>201-0793</t>
  </si>
  <si>
    <t>ТССЦ Московской обл., 201-0793, приказ Минстроя России №675/пр от 28.02.2017 № 255/пр</t>
  </si>
  <si>
    <t>Профиль направляющий ПН-4 75/40/0,6</t>
  </si>
  <si>
    <t>201-0807</t>
  </si>
  <si>
    <t>ТССЦ Московской обл., 201-0807, приказ Минстроя России №675/пр от 28.02.2017 № 255/пр</t>
  </si>
  <si>
    <t>Профиль стоечный ПС-4 75/50/0,6</t>
  </si>
  <si>
    <t>201-0811</t>
  </si>
  <si>
    <t>ТССЦ Московской обл., 201-0811, приказ Минстроя России №675/пр от 28.02.2017 № 255/пр</t>
  </si>
  <si>
    <t>Профиль угловой ПУ 31/31 для защиты углов</t>
  </si>
  <si>
    <t>1-100-33-90</t>
  </si>
  <si>
    <t>Рабочий среднего разряда 3,3</t>
  </si>
  <si>
    <t>021141</t>
  </si>
  <si>
    <t>ТСНБ-2001 Московской области, 021141, протокол от 29.07.2020 г. № 07</t>
  </si>
  <si>
    <t>Краны на автомобильном ходу при работе на других видах строительства 10 т</t>
  </si>
  <si>
    <t>ТСНБ-2001 Московской области, 400001, протокол от 29.07.2020 г. № 07</t>
  </si>
  <si>
    <t>101-2505</t>
  </si>
  <si>
    <t>ТСНБ-2001 Московской области, 101-2505, протокол от 29.07.2020 г. № 07</t>
  </si>
  <si>
    <t>Мастика клеящая кумаронокаучуковая КН-3</t>
  </si>
  <si>
    <t>1-1034-90</t>
  </si>
  <si>
    <t>Рабочий строитель среднего разряда 3,4</t>
  </si>
  <si>
    <t>101-1596</t>
  </si>
  <si>
    <t>ТССЦ Московской обл., 101-1596, приказ Минстроя России №675/пр от 28.02.2017 № 254/пр</t>
  </si>
  <si>
    <t>Шкурка шлифовальная двухслойная с зернистостью 40-25</t>
  </si>
  <si>
    <t>101-1712</t>
  </si>
  <si>
    <t>ТССЦ Московской обл., 101-1712, приказ Минстроя России №675/пр от 28.02.2017 № 254/пр</t>
  </si>
  <si>
    <t>Шпатлевка клеевая</t>
  </si>
  <si>
    <t>101-1959</t>
  </si>
  <si>
    <t>ТССЦ Московской обл., 101-1959, приказ Минстроя России №675/пр от 28.02.2017 № 254/пр</t>
  </si>
  <si>
    <t>Краска водоэмульсионная ВЭАК-1180</t>
  </si>
  <si>
    <t>1-1036-90</t>
  </si>
  <si>
    <t>Рабочий строитель среднего разряда 3,6</t>
  </si>
  <si>
    <t>030101</t>
  </si>
  <si>
    <t>ТСЭМ Московской обл., 030101, приказ Минстроя России №675/пр от 28.02.2017 № 264/пр</t>
  </si>
  <si>
    <t>Автопогрузчики 5 т</t>
  </si>
  <si>
    <t>110901</t>
  </si>
  <si>
    <t>ТСЭМ Московской обл., 110901, приказ Минстроя России №675/пр от 28.02.2017 № 264/пр</t>
  </si>
  <si>
    <t>Растворосмесители передвижные 65 л</t>
  </si>
  <si>
    <t>1-1030-90</t>
  </si>
  <si>
    <t>Рабочий строитель среднего разряда 3</t>
  </si>
  <si>
    <t>331531</t>
  </si>
  <si>
    <t>ТСЭМ Московской обл., 331531, приказ Минстроя России №675/пр от 21.09.2015 г.</t>
  </si>
  <si>
    <t>Пила дисковая электрическая</t>
  </si>
  <si>
    <t>ТСЭМ Московской обл., 400001, приказ Минстроя России №675/пр от 21.09.2015 г.</t>
  </si>
  <si>
    <t>101-1742</t>
  </si>
  <si>
    <t>ТССЦ Московской обл., 101-1742, приказ Минстроя России №675/пр от 21.09.2015 г.</t>
  </si>
  <si>
    <t>Толь с крупнозернистой посыпкой гидроизоляционный марки ТГ-350</t>
  </si>
  <si>
    <t>203-0399</t>
  </si>
  <si>
    <t>ТССЦ Московской обл., 203-0399, приказ Минстроя России №675/пр от 21.09.2015 г.</t>
  </si>
  <si>
    <t>Лаги половые антисептированные, применяемые в строительстве жилых, общественных и производственных зданий при производстве деревянных полов тип II, сечением 100х40; 100х60; 120х60; 100-150х40-60 мм</t>
  </si>
  <si>
    <t>1-1024-90</t>
  </si>
  <si>
    <t>Рабочий строитель среднего разряда 2,4</t>
  </si>
  <si>
    <t>101-1805</t>
  </si>
  <si>
    <t>ТССЦ Московской обл., 101-1805, приказ Минстроя России №675/пр от 28.02.2017 № 254/пр</t>
  </si>
  <si>
    <t>Гвозди строительные</t>
  </si>
  <si>
    <t>102-0057</t>
  </si>
  <si>
    <t>ТССЦ Московской обл., 102-0057, приказ Минстроя России №675/пр от 28.02.2017 № 254/пр</t>
  </si>
  <si>
    <t>Доски обрезные хвойных пород длиной 4-6,5 м, шириной 75-150 мм, толщиной 32-40 мм, III сорта</t>
  </si>
  <si>
    <t>1-1025-90</t>
  </si>
  <si>
    <t>Рабочий строитель среднего разряда 2,5</t>
  </si>
  <si>
    <t>050101</t>
  </si>
  <si>
    <t>ТСЭМ Московской обл., 050101, приказ Минстроя России №675/пр от 21.09.2015 г.</t>
  </si>
  <si>
    <t>Компрессоры передвижные с двигателем внутреннего сгорания давлением до 686 кПа (7 ат), производительность  до 5 м3/мин</t>
  </si>
  <si>
    <t>ТСЭМ Московской обл., 134041, приказ Минстроя России №675/пр от 21.09.2015 г.</t>
  </si>
  <si>
    <t>101-1480</t>
  </si>
  <si>
    <t>ТССЦ Московской обл., 101-1480, приказ Минстроя России №675/пр от 21.09.2015 г.</t>
  </si>
  <si>
    <t>Шурупы с полукруглой головкой 3,5х35 мм</t>
  </si>
  <si>
    <t>102-0443</t>
  </si>
  <si>
    <t>ТССЦ Московской обл., 102-0443, приказ Минстроя России №675/пр от 21.09.2015 г.</t>
  </si>
  <si>
    <t>Фанера общего назначения из шпона лиственных пород водостойкая марки ФК, сорт 2/4, толщина 12 мм</t>
  </si>
  <si>
    <t>1-1027-90</t>
  </si>
  <si>
    <t>Рабочий строитель среднего разряда 2,7</t>
  </si>
  <si>
    <t>101-1743</t>
  </si>
  <si>
    <t>ТССЦ Московской обл., 101-1743, приказ Минстроя России №675/пр от 28.02.2017 № 254/пр</t>
  </si>
  <si>
    <t>Клей «Бустилат»</t>
  </si>
  <si>
    <t>ТСЭМ Московской обл., 050101, приказ Минстроя России №675/пр от 28.02.2017 № 264/пр</t>
  </si>
  <si>
    <t>330804</t>
  </si>
  <si>
    <t>ТСЭМ Московской обл., 330804, приказ Минстроя России №675/пр от 28.02.2017 № 264/пр</t>
  </si>
  <si>
    <t>Молотки при работе от передвижных компрессорных станций отбойные пневматические</t>
  </si>
  <si>
    <t>1-1032-90</t>
  </si>
  <si>
    <t>Рабочий строитель среднего разряда 3,2</t>
  </si>
  <si>
    <t>101-2052</t>
  </si>
  <si>
    <t>ТССЦ Московской обл., 101-2052, приказ Минстроя России №675/пр от 28.02.2017 № 254/пр</t>
  </si>
  <si>
    <t>Лента бутиловая</t>
  </si>
  <si>
    <t>101-2054</t>
  </si>
  <si>
    <t>ТССЦ Московской обл., 101-2054, приказ Минстроя России №675/пр от 28.02.2017 № 254/пр</t>
  </si>
  <si>
    <t>Лента бутиловая диффузионная</t>
  </si>
  <si>
    <t>101-2388</t>
  </si>
  <si>
    <t>ТССЦ Московской обл., 101-2388, приказ Минстроя России №675/пр от 28.02.2017 № 254/пр</t>
  </si>
  <si>
    <t>Герметик пенополиуретановый (пена монтажная) типа Makrofleks, Soudal в баллонах по 750 мл</t>
  </si>
  <si>
    <t>101-2789</t>
  </si>
  <si>
    <t>ТССЦ Московской обл., 101-2789, приказ Минстроя России №675/пр от 28.02.2017 № 254/пр</t>
  </si>
  <si>
    <t>Лента ПСУЛ</t>
  </si>
  <si>
    <t>10 м</t>
  </si>
  <si>
    <t>101-4173</t>
  </si>
  <si>
    <t>ТССЦ Московской обл., 101-4173, приказ Минстроя России №675/пр от 28.02.2017 № 254/пр</t>
  </si>
  <si>
    <t>Дюбели монтажные 10х130 (10х132, 10х150) мм</t>
  </si>
  <si>
    <t>102-0303</t>
  </si>
  <si>
    <t>ТССЦ Московской обл., 102-0303, приказ Минстроя России №675/пр от 28.02.2017 № 254/пр</t>
  </si>
  <si>
    <t>Клинья пластиковые монтажные</t>
  </si>
  <si>
    <t>ТСЭМ Московской обл., 331531, приказ Минстроя России №675/пр от 28.02.2017 № 264/пр</t>
  </si>
  <si>
    <t>101-2434</t>
  </si>
  <si>
    <t>ТССЦ Московской обл., 101-2434, приказ Минстроя России №675/пр от 28.02.2017 № 254/пр</t>
  </si>
  <si>
    <t>Клей ПВА</t>
  </si>
  <si>
    <t>101-0794</t>
  </si>
  <si>
    <t>ТССЦ Московской обл., 101-0794, приказ Минстроя России №675/пр от 28.02.2017 № 254/пр</t>
  </si>
  <si>
    <t>Проволока канатная оцинкованная, диаметром 2,6 мм</t>
  </si>
  <si>
    <t>101-1706</t>
  </si>
  <si>
    <t>ТССЦ Московской обл., 101-1706, приказ Минстроя России №675/пр от 28.02.2017 № 254/пр</t>
  </si>
  <si>
    <t>Сталь листовая оцинкованная толщиной листа 0,5 мм</t>
  </si>
  <si>
    <t>1-2042-90</t>
  </si>
  <si>
    <t>Рабочий монтажник среднего разряда 4,2</t>
  </si>
  <si>
    <t>021102</t>
  </si>
  <si>
    <t>ТСЭМ Московской обл., 021102, приказ Минстроя России №675/пр от 28.02.2017 № 264/пр</t>
  </si>
  <si>
    <t>Краны на автомобильном ходу при работе на монтаже технологического оборудования 10 т</t>
  </si>
  <si>
    <t>330206</t>
  </si>
  <si>
    <t>ТСЭМ Московской обл., 330206, приказ Минстроя России №675/пр от 28.02.2017 № 264/пр</t>
  </si>
  <si>
    <t>Дрели электрические</t>
  </si>
  <si>
    <t>101-1477</t>
  </si>
  <si>
    <t>ТССЦ Московской обл., 101-1477, приказ Минстроя России №675/пр от 28.02.2017 № 254/пр</t>
  </si>
  <si>
    <t>Шурупы с полукруглой головкой 2,5х20 мм</t>
  </si>
  <si>
    <t>101-1481</t>
  </si>
  <si>
    <t>ТССЦ Московской обл., 101-1481, приказ Минстроя России №675/пр от 28.02.2017 № 254/пр</t>
  </si>
  <si>
    <t>Шурупы с полукруглой головкой 4x40 мм</t>
  </si>
  <si>
    <t>101-3914</t>
  </si>
  <si>
    <t>ТССЦ Московской обл., 101-3914, приказ Минстроя России №675/пр от 28.02.2017 № 254/пр</t>
  </si>
  <si>
    <t>Дюбели распорные полипропиленовые</t>
  </si>
  <si>
    <t>999-9950</t>
  </si>
  <si>
    <t>ТССЦ Московской обл., 999-9950, приказ Минстроя России №675/пр от 21.09.2015 г.</t>
  </si>
  <si>
    <t>Вспомогательные ненормируемые материалы (2% от ОЗП)</t>
  </si>
  <si>
    <t>РУБ</t>
  </si>
  <si>
    <t>ТСЭМ Московской обл., 021102, приказ Минстроя России №675/пр от 21.09.2015 г.</t>
  </si>
  <si>
    <t>ТСЭМ Московской обл., 330206, приказ Минстроя России №675/пр от 21.09.2015 г.</t>
  </si>
  <si>
    <t>ТССЦ Московской обл., 101-1477, приказ Минстроя России №675/пр от 21.09.2015 г.</t>
  </si>
  <si>
    <t>ТССЦ Московской обл., 101-1481, приказ Минстроя России №675/пр от 21.09.2015 г.</t>
  </si>
  <si>
    <t>101-2499</t>
  </si>
  <si>
    <t>ТССЦ Московской обл., 101-2499, приказ Минстроя России №675/пр от 21.09.2015 г.</t>
  </si>
  <si>
    <t>Лента изоляционная прорезиненная односторонняя ширина 20 мм, толщина 0,25-0,35 мм</t>
  </si>
  <si>
    <t>ТССЦ Московской обл., 101-3914, приказ Минстроя России №675/пр от 21.09.2015 г.</t>
  </si>
  <si>
    <t>1-1039-90</t>
  </si>
  <si>
    <t>Рабочий строитель среднего разряда 3,9</t>
  </si>
  <si>
    <t>ТСЭМ Московской обл., 331451, приказ Минстроя России №675/пр от 21.09.2015 г.</t>
  </si>
  <si>
    <t>101-2202</t>
  </si>
  <si>
    <t>ТССЦ Московской обл., 101-2202, приказ Минстроя России №675/пр от 21.09.2015 г.</t>
  </si>
  <si>
    <t>Дюбели распорные полиэтиленовые 6х40 мм</t>
  </si>
  <si>
    <t>1-2038-90</t>
  </si>
  <si>
    <t>Рабочий монтажник среднего разряда 3,8</t>
  </si>
  <si>
    <t>101-2143</t>
  </si>
  <si>
    <t>ТССЦ Московской обл., 101-2143, приказ Минстроя России №675/пр от 28.02.2017 № 254/пр</t>
  </si>
  <si>
    <t>Краска</t>
  </si>
  <si>
    <t>101-2478</t>
  </si>
  <si>
    <t>ТССЦ Московской обл., 101-2478, приказ Минстроя России №675/пр от 28.02.2017 № 254/пр</t>
  </si>
  <si>
    <t>Лента К226</t>
  </si>
  <si>
    <t>ТССЦ Московской обл., 101-2499, приказ Минстроя России №675/пр от 28.02.2017 № 254/пр</t>
  </si>
  <si>
    <t>104-9131</t>
  </si>
  <si>
    <t>ТСНБ-2001 Московской области, 104-9131, протокол от 29.07.2020 г. № 07</t>
  </si>
  <si>
    <t>Плиты или маты теплоизоляционные минераловатные</t>
  </si>
  <si>
    <t>101-9732</t>
  </si>
  <si>
    <t>ТССЦ Московской обл., 101-9732, приказ Минстроя России №675/пр от 28.02.2017 № 254/пр</t>
  </si>
  <si>
    <t>Грунтовка</t>
  </si>
  <si>
    <t>402-9110</t>
  </si>
  <si>
    <t>ТССЦ Московской обл., 402-9110, приказ Минстроя России №675/пр от 28.02.2017 № 257/пр</t>
  </si>
  <si>
    <t>Смесь сухая для заделки швов (фуга) АТЛАС растворная</t>
  </si>
  <si>
    <t>101-9155</t>
  </si>
  <si>
    <t>ТССЦ Московской обл., 101-9155, приказ Минстроя России №675/пр от 28.02.2017 № 254/пр</t>
  </si>
  <si>
    <t>Листы облицовочные декоративные</t>
  </si>
  <si>
    <t>101-9138</t>
  </si>
  <si>
    <t>ТССЦ Московской обл., 101-9138, приказ Минстроя России №675/пр от 28.02.2017 № 254/пр</t>
  </si>
  <si>
    <t>Доски подоконные ПВХ</t>
  </si>
  <si>
    <t>Поправка: МДС 81-35.2004, п.4.9  Наименование: По работам, в технологии производства которых предусмотрена сварка металлоконструкций, металлопроката, стальных труб, листового металла, закладных деталей и др. металлоизделий, элементные сметные нормы и единичные расценки разработаны из условия применения углеродистой стали.При применении нержавеющей стали</t>
  </si>
  <si>
    <t>Поправка: МДС 81-35.2004, п.4.7  Наименование: Работы, выполняемые при реконструкции зданий и сооружений работы, аналогичные технологическим процессам в новом строительстве (в том числе возведение новых конструктивных элементов) стоимость которых определена по соответствующим сборникам ФЕР, кроме сборника № 46 «Работы при реконструкции зданий и сооружений»</t>
  </si>
  <si>
    <t>"СОГЛАСОВАНО"</t>
  </si>
  <si>
    <t>"УТВЕРЖДАЮ"</t>
  </si>
  <si>
    <t>"_____"________________ 2021 г.</t>
  </si>
  <si>
    <t>(наименование стройки)</t>
  </si>
  <si>
    <t xml:space="preserve">Номер заказа   </t>
  </si>
  <si>
    <t>(наименование работ и затрат, наименование объекта)</t>
  </si>
  <si>
    <t>базовая цена</t>
  </si>
  <si>
    <t>текущая цена</t>
  </si>
  <si>
    <t>Сметная стоимость</t>
  </si>
  <si>
    <t>тыс. руб.</t>
  </si>
  <si>
    <t xml:space="preserve">     Строительные работы</t>
  </si>
  <si>
    <t xml:space="preserve">     Монтажные работы</t>
  </si>
  <si>
    <t xml:space="preserve">     Оборудование</t>
  </si>
  <si>
    <t xml:space="preserve">     Прочие работы</t>
  </si>
  <si>
    <t>Нормативная трудоемкость</t>
  </si>
  <si>
    <t>чел. -ч.</t>
  </si>
  <si>
    <t>Средства на оплату труда</t>
  </si>
  <si>
    <t>Строительный объем:</t>
  </si>
  <si>
    <t>Стоимость ед.стр.объема:</t>
  </si>
  <si>
    <t>№ п/п</t>
  </si>
  <si>
    <t>Шифр расценки и коды ресурсов</t>
  </si>
  <si>
    <t>Наименование работ и затрат</t>
  </si>
  <si>
    <t>Ед. изм.</t>
  </si>
  <si>
    <t>Кол-во единиц</t>
  </si>
  <si>
    <t>Цена на ед. изм.</t>
  </si>
  <si>
    <t>Попра-вочные коэфф.</t>
  </si>
  <si>
    <t>Стоимость в ценах 2001г.</t>
  </si>
  <si>
    <t>Пункт коэфф. пересчета</t>
  </si>
  <si>
    <t>Коэфф. пересчета</t>
  </si>
  <si>
    <t>Стоимость в текущих ценах</t>
  </si>
  <si>
    <t>ЗТР всего чел.-час</t>
  </si>
  <si>
    <t>Составлена в ценах ТСНБ-2001 МО (редакция 2014 г) июнь 2021 года и Московская область Каталог текущих цен на материалы, март 2021 г</t>
  </si>
  <si>
    <t>Зарплата</t>
  </si>
  <si>
    <t>в т.ч. зарплата машинистов</t>
  </si>
  <si>
    <t>НР от ФОТ</t>
  </si>
  <si>
    <t>%</t>
  </si>
  <si>
    <t>СП от ФОТ</t>
  </si>
  <si>
    <t>Затраты труда</t>
  </si>
  <si>
    <t>чел-ч</t>
  </si>
  <si>
    <r>
      <t>10-01-092-1</t>
    </r>
    <r>
      <rPr>
        <i/>
        <sz val="10"/>
        <rFont val="Arial"/>
        <family val="2"/>
        <charset val="204"/>
      </rPr>
      <t xml:space="preserve">
Поправка: МДС 81-35.2004, п.4.9</t>
    </r>
  </si>
  <si>
    <t>Материальные ресурсы</t>
  </si>
  <si>
    <r>
      <t>10-05-009-1</t>
    </r>
    <r>
      <rPr>
        <i/>
        <sz val="10"/>
        <rFont val="Arial"/>
        <family val="2"/>
        <charset val="204"/>
      </rPr>
      <t xml:space="preserve">
Поправка: МДС 81-35.2004, п.4.9</t>
    </r>
  </si>
  <si>
    <r>
      <t>10-01-301-1</t>
    </r>
    <r>
      <rPr>
        <i/>
        <sz val="10"/>
        <rFont val="Arial"/>
        <family val="2"/>
        <charset val="204"/>
      </rPr>
      <t xml:space="preserve">
Поправка: МДС 81-35.2004, п.4.9</t>
    </r>
  </si>
  <si>
    <r>
      <t>15-04-005-5</t>
    </r>
    <r>
      <rPr>
        <i/>
        <sz val="10"/>
        <rFont val="Arial"/>
        <family val="2"/>
        <charset val="204"/>
      </rPr>
      <t xml:space="preserve">
Поправка: МДС 81-35.2004, п.4.7</t>
    </r>
  </si>
  <si>
    <r>
      <t>15-02-019-3</t>
    </r>
    <r>
      <rPr>
        <i/>
        <sz val="10"/>
        <rFont val="Arial"/>
        <family val="2"/>
        <charset val="204"/>
      </rPr>
      <t xml:space="preserve">
Поправка: МДС 81-35.2004, п.4.9</t>
    </r>
  </si>
  <si>
    <r>
      <t>15-04-005-3</t>
    </r>
    <r>
      <rPr>
        <i/>
        <sz val="10"/>
        <rFont val="Arial"/>
        <family val="2"/>
        <charset val="204"/>
      </rPr>
      <t xml:space="preserve">
Поправка: МДС 81-35.2004, п.4.7</t>
    </r>
  </si>
  <si>
    <r>
      <t>11-01-012-3</t>
    </r>
    <r>
      <rPr>
        <i/>
        <sz val="10"/>
        <rFont val="Arial"/>
        <family val="2"/>
        <charset val="204"/>
      </rPr>
      <t xml:space="preserve">
Поправка: МДС 81-35.2004, п.4.9</t>
    </r>
  </si>
  <si>
    <r>
      <t>11-01-053-2</t>
    </r>
    <r>
      <rPr>
        <i/>
        <sz val="10"/>
        <rFont val="Arial"/>
        <family val="2"/>
        <charset val="204"/>
      </rPr>
      <t xml:space="preserve">
Поправка: МДС 81-35.2004, п.4.9</t>
    </r>
  </si>
  <si>
    <r>
      <t>11-01-036-1</t>
    </r>
    <r>
      <rPr>
        <i/>
        <sz val="10"/>
        <rFont val="Arial"/>
        <family val="2"/>
        <charset val="204"/>
      </rPr>
      <t xml:space="preserve">
Поправка: МДС 81-35.2004, п.4.7</t>
    </r>
  </si>
  <si>
    <r>
      <t>Цена поставщика</t>
    </r>
    <r>
      <rPr>
        <i/>
        <sz val="10"/>
        <rFont val="Arial"/>
        <family val="2"/>
        <charset val="204"/>
      </rPr>
      <t xml:space="preserve">
Поправка: МДС 81-35.2004, п.4.9</t>
    </r>
  </si>
  <si>
    <r>
      <t>15-04-005-4</t>
    </r>
    <r>
      <rPr>
        <i/>
        <sz val="10"/>
        <rFont val="Arial"/>
        <family val="2"/>
        <charset val="204"/>
      </rPr>
      <t xml:space="preserve">
Поправка: МДС 81-35.2004, п.4.9</t>
    </r>
  </si>
  <si>
    <r>
      <t>46-03-007-3</t>
    </r>
    <r>
      <rPr>
        <i/>
        <sz val="10"/>
        <rFont val="Arial"/>
        <family val="2"/>
        <charset val="204"/>
      </rPr>
      <t xml:space="preserve">
Поправка: МДС 81-35.2004, п.4.9</t>
    </r>
  </si>
  <si>
    <r>
      <t>10-01-034-1</t>
    </r>
    <r>
      <rPr>
        <i/>
        <sz val="10"/>
        <rFont val="Arial"/>
        <family val="2"/>
        <charset val="204"/>
      </rPr>
      <t xml:space="preserve">
Поправка: МДС 81-35.2004, п.4.9</t>
    </r>
  </si>
  <si>
    <r>
      <t>15-01-050-4</t>
    </r>
    <r>
      <rPr>
        <i/>
        <sz val="10"/>
        <rFont val="Arial"/>
        <family val="2"/>
        <charset val="204"/>
      </rPr>
      <t xml:space="preserve">
Поправка: МДС 81-35.2004, п.4.9</t>
    </r>
  </si>
  <si>
    <r>
      <t>10-01-035-1</t>
    </r>
    <r>
      <rPr>
        <i/>
        <sz val="10"/>
        <rFont val="Arial"/>
        <family val="2"/>
        <charset val="204"/>
      </rPr>
      <t xml:space="preserve">
Поправка: МДС 81-35.2004, п.4.7</t>
    </r>
  </si>
  <si>
    <r>
      <t>10-01-035-1</t>
    </r>
    <r>
      <rPr>
        <i/>
        <sz val="10"/>
        <rFont val="Arial"/>
        <family val="2"/>
        <charset val="204"/>
      </rPr>
      <t xml:space="preserve">
Поправка: МДС 81-35.2004, п.4.9</t>
    </r>
  </si>
  <si>
    <t xml:space="preserve">   </t>
  </si>
  <si>
    <t xml:space="preserve">Объемы согласовал  </t>
  </si>
  <si>
    <t>[должность,подпись(инициалы,фамилия)]</t>
  </si>
  <si>
    <t xml:space="preserve">Составил  </t>
  </si>
  <si>
    <t xml:space="preserve">Проверил  </t>
  </si>
  <si>
    <t xml:space="preserve">Мы, нижеподписавшиеся, произвели осмотр объекта </t>
  </si>
  <si>
    <t xml:space="preserve">и постановили произвести ремонт объекта в </t>
  </si>
  <si>
    <t>следующем объеме:</t>
  </si>
  <si>
    <t>Единица измерения</t>
  </si>
  <si>
    <t>Количество</t>
  </si>
  <si>
    <t>Примечание</t>
  </si>
  <si>
    <t>Заказчик _________________</t>
  </si>
  <si>
    <t>Подрядчик _________________</t>
  </si>
</sst>
</file>

<file path=xl/styles.xml><?xml version="1.0" encoding="utf-8"?>
<styleSheet xmlns="http://schemas.openxmlformats.org/spreadsheetml/2006/main">
  <numFmts count="2">
    <numFmt numFmtId="164" formatCode="#,##0.00;[Red]\-\ #,##0.00"/>
    <numFmt numFmtId="165" formatCode="#,##0.00####;[Red]\-\ #,##0.00####"/>
  </numFmts>
  <fonts count="20">
    <font>
      <sz val="10"/>
      <name val="Arial"/>
      <charset val="204"/>
    </font>
    <font>
      <b/>
      <sz val="10"/>
      <color indexed="12"/>
      <name val="Arial"/>
      <charset val="204"/>
    </font>
    <font>
      <b/>
      <sz val="10"/>
      <color indexed="16"/>
      <name val="Arial"/>
      <charset val="204"/>
    </font>
    <font>
      <b/>
      <sz val="10"/>
      <color indexed="20"/>
      <name val="Arial"/>
      <charset val="204"/>
    </font>
    <font>
      <b/>
      <sz val="10"/>
      <color indexed="17"/>
      <name val="Arial"/>
      <charset val="204"/>
    </font>
    <font>
      <sz val="10"/>
      <color indexed="17"/>
      <name val="Arial"/>
      <charset val="204"/>
    </font>
    <font>
      <sz val="10"/>
      <color indexed="12"/>
      <name val="Arial"/>
      <charset val="204"/>
    </font>
    <font>
      <sz val="10"/>
      <color indexed="14"/>
      <name val="Arial"/>
      <charset val="204"/>
    </font>
    <font>
      <b/>
      <sz val="10"/>
      <color indexed="14"/>
      <name val="Arial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3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i/>
      <sz val="11"/>
      <name val="Arial"/>
      <family val="2"/>
      <charset val="204"/>
    </font>
    <font>
      <i/>
      <sz val="10"/>
      <name val="Arial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horizontal="right"/>
    </xf>
    <xf numFmtId="0" fontId="11" fillId="0" borderId="0" xfId="0" applyFont="1"/>
    <xf numFmtId="0" fontId="12" fillId="0" borderId="0" xfId="0" applyFont="1" applyAlignment="1"/>
    <xf numFmtId="0" fontId="11" fillId="0" borderId="0" xfId="0" applyFont="1" applyAlignment="1"/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Border="1" applyAlignment="1">
      <alignment wrapText="1"/>
    </xf>
    <xf numFmtId="0" fontId="11" fillId="0" borderId="0" xfId="0" applyFont="1" applyBorder="1"/>
    <xf numFmtId="0" fontId="11" fillId="0" borderId="0" xfId="0" applyFont="1" applyAlignment="1">
      <alignment wrapText="1"/>
    </xf>
    <xf numFmtId="0" fontId="14" fillId="0" borderId="0" xfId="0" applyFont="1" applyAlignment="1">
      <alignment vertical="center" wrapText="1"/>
    </xf>
    <xf numFmtId="0" fontId="13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vertical="top"/>
    </xf>
    <xf numFmtId="0" fontId="14" fillId="0" borderId="0" xfId="0" applyFont="1" applyAlignment="1">
      <alignment horizontal="right"/>
    </xf>
    <xf numFmtId="0" fontId="11" fillId="0" borderId="0" xfId="0" applyFont="1" applyAlignment="1">
      <alignment horizontal="right" vertical="top"/>
    </xf>
    <xf numFmtId="0" fontId="16" fillId="0" borderId="0" xfId="0" applyFont="1" applyAlignment="1">
      <alignment horizontal="right" vertical="top"/>
    </xf>
    <xf numFmtId="0" fontId="16" fillId="0" borderId="0" xfId="0" applyFont="1" applyAlignment="1">
      <alignment horizontal="left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9" fillId="0" borderId="0" xfId="0" applyFont="1" applyAlignment="1">
      <alignment vertical="top" wrapText="1"/>
    </xf>
    <xf numFmtId="164" fontId="0" fillId="0" borderId="0" xfId="0" applyNumberFormat="1"/>
    <xf numFmtId="0" fontId="11" fillId="0" borderId="2" xfId="0" applyFont="1" applyBorder="1"/>
    <xf numFmtId="0" fontId="11" fillId="0" borderId="0" xfId="0" applyFont="1" applyAlignment="1">
      <alignment vertical="center"/>
    </xf>
    <xf numFmtId="0" fontId="14" fillId="0" borderId="0" xfId="0" applyFont="1"/>
    <xf numFmtId="0" fontId="11" fillId="0" borderId="0" xfId="0" applyFont="1" applyAlignment="1">
      <alignment horizontal="left" wrapText="1"/>
    </xf>
    <xf numFmtId="0" fontId="17" fillId="0" borderId="0" xfId="0" applyFont="1" applyAlignment="1">
      <alignment horizontal="right" wrapText="1"/>
    </xf>
    <xf numFmtId="165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 wrapText="1"/>
    </xf>
    <xf numFmtId="164" fontId="11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164" fontId="17" fillId="0" borderId="0" xfId="0" applyNumberFormat="1" applyFont="1" applyAlignment="1">
      <alignment horizontal="right"/>
    </xf>
    <xf numFmtId="0" fontId="9" fillId="0" borderId="0" xfId="0" applyFont="1" applyAlignment="1">
      <alignment horizontal="right" wrapText="1"/>
    </xf>
    <xf numFmtId="0" fontId="17" fillId="0" borderId="2" xfId="0" applyFont="1" applyBorder="1" applyAlignment="1">
      <alignment horizontal="right" wrapText="1"/>
    </xf>
    <xf numFmtId="0" fontId="11" fillId="0" borderId="2" xfId="0" applyFont="1" applyBorder="1" applyAlignment="1">
      <alignment horizontal="right"/>
    </xf>
    <xf numFmtId="165" fontId="11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 wrapText="1"/>
    </xf>
    <xf numFmtId="164" fontId="11" fillId="0" borderId="2" xfId="0" applyNumberFormat="1" applyFont="1" applyBorder="1" applyAlignment="1">
      <alignment horizontal="right"/>
    </xf>
    <xf numFmtId="164" fontId="10" fillId="0" borderId="2" xfId="0" applyNumberFormat="1" applyFont="1" applyBorder="1" applyAlignment="1">
      <alignment horizontal="right"/>
    </xf>
    <xf numFmtId="164" fontId="19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right"/>
    </xf>
    <xf numFmtId="0" fontId="11" fillId="0" borderId="2" xfId="0" quotePrefix="1" applyFont="1" applyBorder="1" applyAlignment="1">
      <alignment horizontal="right" wrapText="1"/>
    </xf>
    <xf numFmtId="0" fontId="10" fillId="0" borderId="2" xfId="0" applyFont="1" applyBorder="1" applyAlignment="1">
      <alignment horizontal="right"/>
    </xf>
    <xf numFmtId="0" fontId="11" fillId="0" borderId="0" xfId="0" quotePrefix="1" applyFont="1" applyAlignment="1">
      <alignment horizontal="right" wrapText="1"/>
    </xf>
    <xf numFmtId="0" fontId="11" fillId="0" borderId="0" xfId="0" applyFont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 wrapText="1"/>
    </xf>
    <xf numFmtId="165" fontId="9" fillId="0" borderId="0" xfId="0" applyNumberFormat="1" applyFont="1" applyAlignment="1">
      <alignment horizontal="left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left" vertical="top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3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wrapText="1"/>
    </xf>
    <xf numFmtId="0" fontId="11" fillId="0" borderId="3" xfId="0" applyFont="1" applyBorder="1" applyAlignment="1">
      <alignment horizontal="right" wrapText="1"/>
    </xf>
    <xf numFmtId="0" fontId="11" fillId="0" borderId="3" xfId="0" applyFont="1" applyBorder="1" applyAlignment="1">
      <alignment horizontal="right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wrapText="1"/>
    </xf>
    <xf numFmtId="0" fontId="11" fillId="0" borderId="5" xfId="0" applyFont="1" applyBorder="1" applyAlignment="1">
      <alignment horizontal="right" wrapText="1"/>
    </xf>
    <xf numFmtId="0" fontId="11" fillId="0" borderId="5" xfId="0" applyFont="1" applyBorder="1" applyAlignment="1">
      <alignment horizontal="right"/>
    </xf>
    <xf numFmtId="164" fontId="14" fillId="0" borderId="1" xfId="0" applyNumberFormat="1" applyFont="1" applyBorder="1" applyAlignment="1">
      <alignment horizontal="right"/>
    </xf>
    <xf numFmtId="164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left" wrapText="1"/>
    </xf>
    <xf numFmtId="0" fontId="12" fillId="0" borderId="0" xfId="0" applyFont="1" applyAlignment="1">
      <alignment horizontal="center" wrapText="1"/>
    </xf>
    <xf numFmtId="0" fontId="10" fillId="0" borderId="1" xfId="0" applyFont="1" applyBorder="1" applyAlignment="1">
      <alignment horizontal="center" vertical="top"/>
    </xf>
    <xf numFmtId="0" fontId="11" fillId="0" borderId="2" xfId="0" applyFont="1" applyBorder="1" applyAlignment="1">
      <alignment horizontal="left"/>
    </xf>
    <xf numFmtId="0" fontId="11" fillId="0" borderId="0" xfId="0" applyFont="1" applyAlignment="1">
      <alignment horizontal="left" wrapText="1"/>
    </xf>
    <xf numFmtId="164" fontId="11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right"/>
    </xf>
    <xf numFmtId="0" fontId="13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11" fillId="0" borderId="0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right" wrapText="1"/>
    </xf>
    <xf numFmtId="0" fontId="13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5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405"/>
  <sheetViews>
    <sheetView zoomScaleNormal="100" workbookViewId="0">
      <selection activeCell="A246" sqref="A246"/>
    </sheetView>
  </sheetViews>
  <sheetFormatPr defaultRowHeight="12.75"/>
  <cols>
    <col min="1" max="1" width="5.7109375" customWidth="1"/>
    <col min="2" max="2" width="11.7109375" customWidth="1"/>
    <col min="3" max="3" width="40.7109375" customWidth="1"/>
    <col min="4" max="5" width="10.7109375" customWidth="1"/>
    <col min="6" max="8" width="12.7109375" customWidth="1"/>
    <col min="9" max="9" width="17.7109375" customWidth="1"/>
    <col min="10" max="10" width="8.7109375" customWidth="1"/>
    <col min="11" max="11" width="12.7109375" customWidth="1"/>
    <col min="12" max="12" width="9.7109375" customWidth="1"/>
    <col min="15" max="31" width="0" hidden="1" customWidth="1"/>
    <col min="32" max="32" width="91.7109375" hidden="1" customWidth="1"/>
    <col min="33" max="36" width="0" hidden="1" customWidth="1"/>
  </cols>
  <sheetData>
    <row r="1" spans="1:12">
      <c r="A1" s="9" t="str">
        <f>Source!B1</f>
        <v>Smeta.RU  (495) 974-1589</v>
      </c>
    </row>
    <row r="2" spans="1:12" ht="14.25">
      <c r="A2" s="10"/>
      <c r="B2" s="10"/>
      <c r="C2" s="10"/>
      <c r="D2" s="10"/>
      <c r="E2" s="10"/>
      <c r="F2" s="10"/>
      <c r="G2" s="10"/>
      <c r="H2" s="10"/>
      <c r="I2" s="10"/>
      <c r="J2" s="10"/>
      <c r="K2" s="11"/>
      <c r="L2" s="11"/>
    </row>
    <row r="3" spans="1:12" ht="16.5">
      <c r="A3" s="12"/>
      <c r="B3" s="91" t="s">
        <v>608</v>
      </c>
      <c r="C3" s="91"/>
      <c r="D3" s="91"/>
      <c r="E3" s="91"/>
      <c r="F3" s="11"/>
      <c r="G3" s="11"/>
      <c r="H3" s="91" t="s">
        <v>609</v>
      </c>
      <c r="I3" s="91"/>
      <c r="J3" s="91"/>
      <c r="K3" s="91"/>
      <c r="L3" s="91"/>
    </row>
    <row r="4" spans="1:12" ht="14.25">
      <c r="A4" s="11"/>
      <c r="B4" s="92"/>
      <c r="C4" s="92"/>
      <c r="D4" s="92"/>
      <c r="E4" s="92"/>
      <c r="F4" s="11"/>
      <c r="G4" s="11"/>
      <c r="H4" s="92"/>
      <c r="I4" s="92"/>
      <c r="J4" s="92"/>
      <c r="K4" s="92"/>
      <c r="L4" s="92"/>
    </row>
    <row r="5" spans="1:12" ht="14.25">
      <c r="A5" s="13"/>
      <c r="B5" s="13"/>
      <c r="C5" s="14"/>
      <c r="D5" s="14"/>
      <c r="E5" s="14"/>
      <c r="F5" s="11"/>
      <c r="G5" s="11"/>
      <c r="H5" s="15"/>
      <c r="I5" s="14"/>
      <c r="J5" s="14"/>
      <c r="K5" s="14"/>
      <c r="L5" s="15"/>
    </row>
    <row r="6" spans="1:12" ht="14.25">
      <c r="A6" s="15"/>
      <c r="B6" s="92" t="str">
        <f>CONCATENATE("______________________ ", IF(Source!AL12&lt;&gt;"", Source!AL12, ""))</f>
        <v xml:space="preserve">______________________ </v>
      </c>
      <c r="C6" s="92"/>
      <c r="D6" s="92"/>
      <c r="E6" s="92"/>
      <c r="F6" s="11"/>
      <c r="G6" s="11"/>
      <c r="H6" s="92" t="str">
        <f>CONCATENATE("______________________ ", IF(Source!AH12&lt;&gt;"", Source!AH12, ""))</f>
        <v xml:space="preserve">______________________ </v>
      </c>
      <c r="I6" s="92"/>
      <c r="J6" s="92"/>
      <c r="K6" s="92"/>
      <c r="L6" s="92"/>
    </row>
    <row r="7" spans="1:12" ht="14.25">
      <c r="A7" s="16"/>
      <c r="B7" s="88" t="s">
        <v>610</v>
      </c>
      <c r="C7" s="88"/>
      <c r="D7" s="88"/>
      <c r="E7" s="88"/>
      <c r="F7" s="11"/>
      <c r="G7" s="11"/>
      <c r="H7" s="88" t="s">
        <v>610</v>
      </c>
      <c r="I7" s="88"/>
      <c r="J7" s="88"/>
      <c r="K7" s="88"/>
      <c r="L7" s="88"/>
    </row>
    <row r="10" spans="1:12" ht="15.75">
      <c r="A10" s="16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16"/>
    </row>
    <row r="11" spans="1:12" ht="14.25">
      <c r="A11" s="17"/>
      <c r="B11" s="89" t="s">
        <v>611</v>
      </c>
      <c r="C11" s="89"/>
      <c r="D11" s="89"/>
      <c r="E11" s="89"/>
      <c r="F11" s="89"/>
      <c r="G11" s="89"/>
      <c r="H11" s="89"/>
      <c r="I11" s="89"/>
      <c r="J11" s="89"/>
      <c r="K11" s="89"/>
      <c r="L11" s="16"/>
    </row>
    <row r="12" spans="1:12" ht="14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ht="14.25">
      <c r="A13" s="11"/>
      <c r="B13" s="11"/>
      <c r="C13" s="11"/>
      <c r="D13" s="11"/>
      <c r="E13" s="11"/>
      <c r="F13" s="90" t="s">
        <v>612</v>
      </c>
      <c r="G13" s="90"/>
      <c r="H13" s="78" t="str">
        <f>IF(Source!F12&lt;&gt;"Новый объект", Source!F12, "")</f>
        <v/>
      </c>
      <c r="I13" s="78"/>
      <c r="J13" s="78"/>
      <c r="K13" s="78"/>
      <c r="L13" s="18"/>
    </row>
    <row r="14" spans="1:12" ht="14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ht="15.75">
      <c r="A15" s="19"/>
      <c r="B15" s="83" t="str">
        <f>CONCATENATE( "ЛОКАЛЬНАЯ СМЕТА № ",IF(Source!F12&lt;&gt;"Новый объект", Source!F12, ""))</f>
        <v xml:space="preserve">ЛОКАЛЬНАЯ СМЕТА № </v>
      </c>
      <c r="C15" s="83"/>
      <c r="D15" s="83"/>
      <c r="E15" s="83"/>
      <c r="F15" s="83"/>
      <c r="G15" s="83"/>
      <c r="H15" s="83"/>
      <c r="I15" s="83"/>
      <c r="J15" s="83"/>
      <c r="K15" s="83"/>
      <c r="L15" s="19"/>
    </row>
    <row r="16" spans="1:12" ht="15.75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19"/>
    </row>
    <row r="17" spans="1:12" ht="18" hidden="1">
      <c r="A17" s="19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19"/>
    </row>
    <row r="18" spans="1:12" ht="14.25" hidden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ht="18">
      <c r="A19" s="11"/>
      <c r="B19" s="85" t="str">
        <f>IF(Source!G12&lt;&gt;"Новый объект", Source!G12, "")</f>
        <v>Кабинет ЛФК  Ильинский Погост 2021.</v>
      </c>
      <c r="C19" s="85"/>
      <c r="D19" s="85"/>
      <c r="E19" s="85"/>
      <c r="F19" s="85"/>
      <c r="G19" s="85"/>
      <c r="H19" s="85"/>
      <c r="I19" s="85"/>
      <c r="J19" s="85"/>
      <c r="K19" s="85"/>
      <c r="L19" s="21"/>
    </row>
    <row r="20" spans="1:12" ht="14.25">
      <c r="A20" s="11"/>
      <c r="B20" s="86" t="s">
        <v>613</v>
      </c>
      <c r="C20" s="86"/>
      <c r="D20" s="86"/>
      <c r="E20" s="86"/>
      <c r="F20" s="86"/>
      <c r="G20" s="86"/>
      <c r="H20" s="86"/>
      <c r="I20" s="86"/>
      <c r="J20" s="86"/>
      <c r="K20" s="86"/>
      <c r="L20" s="16"/>
    </row>
    <row r="21" spans="1:12" ht="14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ht="14.25">
      <c r="A22" s="78" t="str">
        <f>CONCATENATE("Основание: ", Source!J12)</f>
        <v xml:space="preserve">Основание: </v>
      </c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</row>
    <row r="23" spans="1:12" ht="14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ht="14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ht="14.25">
      <c r="A25" s="11"/>
      <c r="B25" s="11"/>
      <c r="C25" s="11"/>
      <c r="D25" s="11"/>
      <c r="E25" s="22"/>
      <c r="F25" s="22"/>
      <c r="G25" s="87" t="s">
        <v>614</v>
      </c>
      <c r="H25" s="87"/>
      <c r="I25" s="87" t="s">
        <v>615</v>
      </c>
      <c r="J25" s="87"/>
      <c r="K25" s="11"/>
      <c r="L25" s="11"/>
    </row>
    <row r="26" spans="1:12" ht="15">
      <c r="A26" s="11"/>
      <c r="B26" s="11"/>
      <c r="C26" s="80" t="s">
        <v>616</v>
      </c>
      <c r="D26" s="80"/>
      <c r="E26" s="80"/>
      <c r="F26" s="80"/>
      <c r="G26" s="79">
        <f>SUM(O1:O393)/1000</f>
        <v>228.38457</v>
      </c>
      <c r="H26" s="79"/>
      <c r="I26" s="79">
        <f>(Source!F344/1000)</f>
        <v>867.57690000000002</v>
      </c>
      <c r="J26" s="79"/>
      <c r="K26" s="81" t="s">
        <v>617</v>
      </c>
      <c r="L26" s="81"/>
    </row>
    <row r="27" spans="1:12" ht="14.25">
      <c r="A27" s="11"/>
      <c r="B27" s="11"/>
      <c r="C27" s="82" t="s">
        <v>618</v>
      </c>
      <c r="D27" s="82"/>
      <c r="E27" s="82"/>
      <c r="F27" s="82"/>
      <c r="G27" s="79">
        <f>SUM(W1:W393)/1000</f>
        <v>227.78824</v>
      </c>
      <c r="H27" s="79"/>
      <c r="I27" s="79">
        <f>(Source!F331)/1000</f>
        <v>715.69846999999993</v>
      </c>
      <c r="J27" s="79"/>
      <c r="K27" s="81" t="s">
        <v>617</v>
      </c>
      <c r="L27" s="81"/>
    </row>
    <row r="28" spans="1:12" ht="14.25">
      <c r="A28" s="11"/>
      <c r="B28" s="11"/>
      <c r="C28" s="82" t="s">
        <v>619</v>
      </c>
      <c r="D28" s="82"/>
      <c r="E28" s="82"/>
      <c r="F28" s="82"/>
      <c r="G28" s="79">
        <f>SUM(X1:X393)/1000</f>
        <v>0.59632999999999992</v>
      </c>
      <c r="H28" s="79"/>
      <c r="I28" s="79">
        <f>(Source!F332)/1000</f>
        <v>7.2822800000000001</v>
      </c>
      <c r="J28" s="79"/>
      <c r="K28" s="81" t="s">
        <v>617</v>
      </c>
      <c r="L28" s="81"/>
    </row>
    <row r="29" spans="1:12" ht="14.25">
      <c r="A29" s="11"/>
      <c r="B29" s="11"/>
      <c r="C29" s="82" t="s">
        <v>620</v>
      </c>
      <c r="D29" s="82"/>
      <c r="E29" s="82"/>
      <c r="F29" s="82"/>
      <c r="G29" s="79">
        <f>SUM(Y1:Y393)/1000</f>
        <v>0</v>
      </c>
      <c r="H29" s="79"/>
      <c r="I29" s="79">
        <f>(Source!F323)/1000</f>
        <v>0</v>
      </c>
      <c r="J29" s="79"/>
      <c r="K29" s="81" t="s">
        <v>617</v>
      </c>
      <c r="L29" s="81"/>
    </row>
    <row r="30" spans="1:12" ht="14.25">
      <c r="A30" s="11"/>
      <c r="B30" s="11"/>
      <c r="C30" s="82" t="s">
        <v>621</v>
      </c>
      <c r="D30" s="82"/>
      <c r="E30" s="82"/>
      <c r="F30" s="82"/>
      <c r="G30" s="79">
        <f>SUM(Z1:Z393)/1000</f>
        <v>0</v>
      </c>
      <c r="H30" s="79"/>
      <c r="I30" s="79">
        <f>(Source!F333+Source!F334)/1000</f>
        <v>0</v>
      </c>
      <c r="J30" s="79"/>
      <c r="K30" s="81" t="s">
        <v>617</v>
      </c>
      <c r="L30" s="81"/>
    </row>
    <row r="31" spans="1:12" ht="15">
      <c r="A31" s="11"/>
      <c r="B31" s="11"/>
      <c r="C31" s="80" t="s">
        <v>622</v>
      </c>
      <c r="D31" s="80"/>
      <c r="E31" s="80"/>
      <c r="F31" s="80"/>
      <c r="G31" s="79">
        <f>I31</f>
        <v>500.51984550000003</v>
      </c>
      <c r="H31" s="79"/>
      <c r="I31" s="79">
        <f>(Source!F336+Source!F337)</f>
        <v>500.51984550000003</v>
      </c>
      <c r="J31" s="79"/>
      <c r="K31" s="81" t="s">
        <v>623</v>
      </c>
      <c r="L31" s="81"/>
    </row>
    <row r="32" spans="1:12" ht="15">
      <c r="A32" s="11"/>
      <c r="B32" s="11"/>
      <c r="C32" s="80" t="s">
        <v>624</v>
      </c>
      <c r="D32" s="80"/>
      <c r="E32" s="80"/>
      <c r="F32" s="80"/>
      <c r="G32" s="79">
        <f>SUM(R1:R393)/1000</f>
        <v>4.3422700000000001</v>
      </c>
      <c r="H32" s="79"/>
      <c r="I32" s="79">
        <f>(Source!F329+ Source!F328)/1000</f>
        <v>145.90102000000002</v>
      </c>
      <c r="J32" s="79"/>
      <c r="K32" s="81" t="s">
        <v>617</v>
      </c>
      <c r="L32" s="81"/>
    </row>
    <row r="33" spans="1:22" ht="14.25" hidden="1">
      <c r="A33" s="11"/>
      <c r="B33" s="11"/>
      <c r="C33" s="82" t="s">
        <v>93</v>
      </c>
      <c r="D33" s="82"/>
      <c r="E33" s="82"/>
      <c r="F33" s="82"/>
      <c r="G33" s="79"/>
      <c r="H33" s="79"/>
      <c r="I33" s="79"/>
      <c r="J33" s="79"/>
      <c r="K33" s="23" t="s">
        <v>617</v>
      </c>
      <c r="L33" s="11"/>
    </row>
    <row r="34" spans="1:22" ht="15">
      <c r="A34" s="11"/>
      <c r="B34" s="11"/>
      <c r="C34" s="24"/>
      <c r="D34" s="24"/>
      <c r="E34" s="24"/>
      <c r="F34" s="15"/>
      <c r="G34" s="25"/>
      <c r="H34" s="25"/>
      <c r="I34" s="25"/>
      <c r="J34" s="25"/>
      <c r="K34" s="25"/>
      <c r="L34" s="25"/>
    </row>
    <row r="35" spans="1:22" ht="15" hidden="1">
      <c r="A35" s="15" t="s">
        <v>625</v>
      </c>
      <c r="B35" s="11"/>
      <c r="C35" s="11"/>
      <c r="D35" s="13"/>
      <c r="E35" s="11"/>
      <c r="F35" s="11"/>
      <c r="G35" s="26"/>
      <c r="H35" s="26"/>
      <c r="I35" s="27"/>
      <c r="J35" s="26"/>
      <c r="K35" s="26"/>
      <c r="L35" s="26"/>
    </row>
    <row r="36" spans="1:22" ht="15" hidden="1">
      <c r="A36" s="15" t="s">
        <v>626</v>
      </c>
      <c r="B36" s="11"/>
      <c r="C36" s="11"/>
      <c r="D36" s="13"/>
      <c r="E36" s="11"/>
      <c r="F36" s="11"/>
      <c r="G36" s="26"/>
      <c r="H36" s="26"/>
      <c r="I36" s="27"/>
      <c r="J36" s="26"/>
      <c r="K36" s="26"/>
      <c r="L36" s="26"/>
    </row>
    <row r="37" spans="1:22" ht="15" hidden="1">
      <c r="A37" s="11"/>
      <c r="B37" s="11"/>
      <c r="C37" s="10"/>
      <c r="D37" s="10"/>
      <c r="E37" s="10"/>
      <c r="F37" s="10"/>
      <c r="G37" s="26"/>
      <c r="H37" s="26"/>
      <c r="I37" s="27"/>
      <c r="J37" s="26"/>
      <c r="K37" s="26"/>
      <c r="L37" s="26"/>
    </row>
    <row r="38" spans="1:22" ht="14.25">
      <c r="A38" s="77" t="s">
        <v>639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</row>
    <row r="39" spans="1:22" ht="57">
      <c r="A39" s="28" t="s">
        <v>627</v>
      </c>
      <c r="B39" s="28" t="s">
        <v>628</v>
      </c>
      <c r="C39" s="28" t="s">
        <v>629</v>
      </c>
      <c r="D39" s="28" t="s">
        <v>630</v>
      </c>
      <c r="E39" s="28" t="s">
        <v>631</v>
      </c>
      <c r="F39" s="28" t="s">
        <v>632</v>
      </c>
      <c r="G39" s="28" t="s">
        <v>633</v>
      </c>
      <c r="H39" s="28" t="s">
        <v>634</v>
      </c>
      <c r="I39" s="28" t="s">
        <v>635</v>
      </c>
      <c r="J39" s="28" t="s">
        <v>636</v>
      </c>
      <c r="K39" s="28" t="s">
        <v>637</v>
      </c>
      <c r="L39" s="28" t="s">
        <v>638</v>
      </c>
    </row>
    <row r="40" spans="1:22" ht="14.25">
      <c r="A40" s="29">
        <v>1</v>
      </c>
      <c r="B40" s="29">
        <v>2</v>
      </c>
      <c r="C40" s="29">
        <v>3</v>
      </c>
      <c r="D40" s="29">
        <v>4</v>
      </c>
      <c r="E40" s="29">
        <v>5</v>
      </c>
      <c r="F40" s="29">
        <v>6</v>
      </c>
      <c r="G40" s="29">
        <v>7</v>
      </c>
      <c r="H40" s="29">
        <v>8</v>
      </c>
      <c r="I40" s="29">
        <v>9</v>
      </c>
      <c r="J40" s="29">
        <v>10</v>
      </c>
      <c r="K40" s="29">
        <v>11</v>
      </c>
      <c r="L40" s="30">
        <v>12</v>
      </c>
    </row>
    <row r="42" spans="1:22" ht="16.5">
      <c r="A42" s="75" t="str">
        <f>CONCATENATE("Локальная смета: ",IF(Source!G20&lt;&gt;"Новая локальная смета", Source!G20, ""))</f>
        <v xml:space="preserve">Локальная смета: 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</row>
    <row r="44" spans="1:22" ht="16.5">
      <c r="A44" s="75" t="str">
        <f>CONCATENATE("Раздел: ",IF(Source!G24&lt;&gt;"Новый раздел", Source!G24, ""))</f>
        <v>Раздел: Демонтаж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</row>
    <row r="45" spans="1:22" ht="42.75">
      <c r="A45" s="23" t="str">
        <f>Source!E28</f>
        <v>1</v>
      </c>
      <c r="B45" s="55" t="str">
        <f>Source!F28</f>
        <v>63-10-1</v>
      </c>
      <c r="C45" s="55" t="str">
        <f>Source!G28</f>
        <v>Разборка облицовки из гипсокартонных листов стен и перегородок</v>
      </c>
      <c r="D45" s="37" t="str">
        <f>Source!H28</f>
        <v>100 м2 облицовки</v>
      </c>
      <c r="E45" s="10">
        <f>Source!I28</f>
        <v>1.298</v>
      </c>
      <c r="F45" s="38">
        <f>Source!AL28+Source!AM28+Source!AO28</f>
        <v>69.41</v>
      </c>
      <c r="G45" s="39"/>
      <c r="H45" s="40"/>
      <c r="I45" s="39" t="str">
        <f>Source!BO28</f>
        <v>63-10-1</v>
      </c>
      <c r="J45" s="39"/>
      <c r="K45" s="40"/>
      <c r="L45" s="41"/>
      <c r="S45">
        <f>ROUND((Source!FX28/100)*((ROUND(Source!AF28*Source!I28, 2)+ROUND(Source!AE28*Source!I28, 2))), 2)</f>
        <v>76.930000000000007</v>
      </c>
      <c r="T45">
        <f>Source!X28</f>
        <v>2585.1</v>
      </c>
      <c r="U45">
        <f>ROUND((Source!FY28/100)*((ROUND(Source!AF28*Source!I28, 2)+ROUND(Source!AE28*Source!I28, 2))), 2)</f>
        <v>38.47</v>
      </c>
      <c r="V45">
        <f>Source!Y28</f>
        <v>1292.55</v>
      </c>
    </row>
    <row r="46" spans="1:22">
      <c r="C46" s="31" t="str">
        <f>"Объем: "&amp;Source!I28&amp;"=129,8/"&amp;"100"</f>
        <v>Объем: 1,298=129,8/100</v>
      </c>
    </row>
    <row r="47" spans="1:22" ht="14.25">
      <c r="A47" s="23"/>
      <c r="B47" s="55"/>
      <c r="C47" s="55" t="s">
        <v>640</v>
      </c>
      <c r="D47" s="37"/>
      <c r="E47" s="10"/>
      <c r="F47" s="38">
        <f>Source!AO28</f>
        <v>63.16</v>
      </c>
      <c r="G47" s="39" t="str">
        <f>Source!DG28</f>
        <v/>
      </c>
      <c r="H47" s="40">
        <f>ROUND(Source!AF28*Source!I28, 2)</f>
        <v>81.98</v>
      </c>
      <c r="I47" s="39"/>
      <c r="J47" s="39">
        <f>IF(Source!BA28&lt;&gt; 0, Source!BA28, 1)</f>
        <v>33.6</v>
      </c>
      <c r="K47" s="40">
        <f>Source!S28</f>
        <v>2754.58</v>
      </c>
      <c r="L47" s="41"/>
      <c r="R47">
        <f>H47</f>
        <v>81.98</v>
      </c>
    </row>
    <row r="48" spans="1:22" ht="14.25">
      <c r="A48" s="23"/>
      <c r="B48" s="55"/>
      <c r="C48" s="55" t="s">
        <v>75</v>
      </c>
      <c r="D48" s="37"/>
      <c r="E48" s="10"/>
      <c r="F48" s="38">
        <f>Source!AM28</f>
        <v>6.25</v>
      </c>
      <c r="G48" s="39" t="str">
        <f>Source!DE28</f>
        <v/>
      </c>
      <c r="H48" s="40">
        <f>ROUND(Source!AD28*Source!I28, 2)</f>
        <v>8.11</v>
      </c>
      <c r="I48" s="39"/>
      <c r="J48" s="39">
        <f>IF(Source!BB28&lt;&gt; 0, Source!BB28, 1)</f>
        <v>14.93</v>
      </c>
      <c r="K48" s="40">
        <f>Source!Q28</f>
        <v>121.12</v>
      </c>
      <c r="L48" s="41"/>
    </row>
    <row r="49" spans="1:26" ht="14.25">
      <c r="A49" s="23"/>
      <c r="B49" s="55"/>
      <c r="C49" s="55" t="s">
        <v>641</v>
      </c>
      <c r="D49" s="37"/>
      <c r="E49" s="10"/>
      <c r="F49" s="38">
        <f>Source!AN28</f>
        <v>2.7</v>
      </c>
      <c r="G49" s="39" t="str">
        <f>Source!DF28</f>
        <v/>
      </c>
      <c r="H49" s="42">
        <f>ROUND(Source!AE28*Source!I28, 2)</f>
        <v>3.5</v>
      </c>
      <c r="I49" s="39"/>
      <c r="J49" s="39">
        <f>IF(Source!BS28&lt;&gt; 0, Source!BS28, 1)</f>
        <v>33.6</v>
      </c>
      <c r="K49" s="42">
        <f>Source!R28</f>
        <v>117.75</v>
      </c>
      <c r="L49" s="41"/>
      <c r="R49">
        <f>H49</f>
        <v>3.5</v>
      </c>
    </row>
    <row r="50" spans="1:26" ht="14.25">
      <c r="A50" s="23"/>
      <c r="B50" s="55"/>
      <c r="C50" s="55" t="s">
        <v>642</v>
      </c>
      <c r="D50" s="37" t="s">
        <v>643</v>
      </c>
      <c r="E50" s="10">
        <f>Source!BZ28</f>
        <v>90</v>
      </c>
      <c r="F50" s="58"/>
      <c r="G50" s="39"/>
      <c r="H50" s="40">
        <f>SUM(S45:S52)</f>
        <v>76.930000000000007</v>
      </c>
      <c r="I50" s="43"/>
      <c r="J50" s="36">
        <f>Source!AT28</f>
        <v>90</v>
      </c>
      <c r="K50" s="40">
        <f>SUM(T45:T52)</f>
        <v>2585.1</v>
      </c>
      <c r="L50" s="41"/>
    </row>
    <row r="51" spans="1:26" ht="14.25">
      <c r="A51" s="23"/>
      <c r="B51" s="55"/>
      <c r="C51" s="55" t="s">
        <v>644</v>
      </c>
      <c r="D51" s="37" t="s">
        <v>643</v>
      </c>
      <c r="E51" s="10">
        <f>Source!CA28</f>
        <v>45</v>
      </c>
      <c r="F51" s="58"/>
      <c r="G51" s="39"/>
      <c r="H51" s="40">
        <f>SUM(U45:U52)</f>
        <v>38.47</v>
      </c>
      <c r="I51" s="43"/>
      <c r="J51" s="36">
        <f>Source!AU28</f>
        <v>45</v>
      </c>
      <c r="K51" s="40">
        <f>SUM(V45:V52)</f>
        <v>1292.55</v>
      </c>
      <c r="L51" s="41"/>
    </row>
    <row r="52" spans="1:26" ht="14.25">
      <c r="A52" s="56"/>
      <c r="B52" s="57"/>
      <c r="C52" s="57" t="s">
        <v>645</v>
      </c>
      <c r="D52" s="44" t="s">
        <v>646</v>
      </c>
      <c r="E52" s="45">
        <f>Source!AQ28</f>
        <v>7.31</v>
      </c>
      <c r="F52" s="46"/>
      <c r="G52" s="47" t="str">
        <f>Source!DI28</f>
        <v/>
      </c>
      <c r="H52" s="48"/>
      <c r="I52" s="47"/>
      <c r="J52" s="47"/>
      <c r="K52" s="48"/>
      <c r="L52" s="49">
        <f>Source!U28</f>
        <v>9.4883799999999994</v>
      </c>
    </row>
    <row r="53" spans="1:26" ht="15">
      <c r="G53" s="72">
        <f>H47+H48+H50+H51</f>
        <v>205.49</v>
      </c>
      <c r="H53" s="72"/>
      <c r="J53" s="72">
        <f>K47+K48+K50+K51</f>
        <v>6753.3499999999995</v>
      </c>
      <c r="K53" s="72"/>
      <c r="L53" s="50">
        <f>Source!U28</f>
        <v>9.4883799999999994</v>
      </c>
      <c r="O53" s="32">
        <f>G53</f>
        <v>205.49</v>
      </c>
      <c r="P53" s="32">
        <f>J53</f>
        <v>6753.3499999999995</v>
      </c>
      <c r="Q53" s="32">
        <f>L53</f>
        <v>9.4883799999999994</v>
      </c>
      <c r="W53">
        <f>IF(Source!BI28&lt;=1,H47+H48+H50+H51, 0)</f>
        <v>205.49</v>
      </c>
      <c r="X53">
        <f>IF(Source!BI28=2,H47+H48+H50+H51, 0)</f>
        <v>0</v>
      </c>
      <c r="Y53">
        <f>IF(Source!BI28=3,H47+H48+H50+H51, 0)</f>
        <v>0</v>
      </c>
      <c r="Z53">
        <f>IF(Source!BI28=4,H47+H48+H50+H51, 0)</f>
        <v>0</v>
      </c>
    </row>
    <row r="54" spans="1:26" ht="28.5">
      <c r="A54" s="23" t="str">
        <f>Source!E29</f>
        <v>3</v>
      </c>
      <c r="B54" s="55" t="str">
        <f>Source!F29</f>
        <v>46-02-009-2</v>
      </c>
      <c r="C54" s="55" t="str">
        <f>Source!G29</f>
        <v>Отбивка штукатурки с поверхностей стен и потолков кирпичных</v>
      </c>
      <c r="D54" s="37" t="str">
        <f>Source!H29</f>
        <v>100 м2</v>
      </c>
      <c r="E54" s="10">
        <f>Source!I29</f>
        <v>0.64900000000000002</v>
      </c>
      <c r="F54" s="38">
        <f>Source!AL29+Source!AM29+Source!AO29</f>
        <v>178</v>
      </c>
      <c r="G54" s="39"/>
      <c r="H54" s="40"/>
      <c r="I54" s="39" t="str">
        <f>Source!BO29</f>
        <v>46-02-009-2</v>
      </c>
      <c r="J54" s="39"/>
      <c r="K54" s="40"/>
      <c r="L54" s="41"/>
      <c r="S54">
        <f>ROUND((Source!FX29/100)*((ROUND(Source!AF29*Source!I29, 2)+ROUND(Source!AE29*Source!I29, 2))), 2)</f>
        <v>118.99</v>
      </c>
      <c r="T54">
        <f>Source!X29</f>
        <v>3997.99</v>
      </c>
      <c r="U54">
        <f>ROUND((Source!FY29/100)*((ROUND(Source!AF29*Source!I29, 2)+ROUND(Source!AE29*Source!I29, 2))), 2)</f>
        <v>68.16</v>
      </c>
      <c r="V54">
        <f>Source!Y29</f>
        <v>2290.11</v>
      </c>
    </row>
    <row r="55" spans="1:26">
      <c r="C55" s="31" t="str">
        <f>"Объем: "&amp;Source!I29&amp;"=64,9/"&amp;"100"</f>
        <v>Объем: 0,649=64,9/100</v>
      </c>
    </row>
    <row r="56" spans="1:26" ht="14.25">
      <c r="A56" s="23"/>
      <c r="B56" s="55"/>
      <c r="C56" s="55" t="s">
        <v>640</v>
      </c>
      <c r="D56" s="37"/>
      <c r="E56" s="10"/>
      <c r="F56" s="38">
        <f>Source!AO29</f>
        <v>178</v>
      </c>
      <c r="G56" s="39" t="str">
        <f>Source!DG29</f>
        <v/>
      </c>
      <c r="H56" s="40">
        <f>ROUND(Source!AF29*Source!I29, 2)</f>
        <v>115.52</v>
      </c>
      <c r="I56" s="39"/>
      <c r="J56" s="39">
        <f>IF(Source!BA29&lt;&gt; 0, Source!BA29, 1)</f>
        <v>33.6</v>
      </c>
      <c r="K56" s="40">
        <f>Source!S29</f>
        <v>3881.54</v>
      </c>
      <c r="L56" s="41"/>
      <c r="R56">
        <f>H56</f>
        <v>115.52</v>
      </c>
    </row>
    <row r="57" spans="1:26" ht="14.25">
      <c r="A57" s="23"/>
      <c r="B57" s="55"/>
      <c r="C57" s="55" t="s">
        <v>642</v>
      </c>
      <c r="D57" s="37" t="s">
        <v>643</v>
      </c>
      <c r="E57" s="10">
        <f>Source!BZ29</f>
        <v>103</v>
      </c>
      <c r="F57" s="58"/>
      <c r="G57" s="39"/>
      <c r="H57" s="40">
        <f>SUM(S54:S59)</f>
        <v>118.99</v>
      </c>
      <c r="I57" s="43"/>
      <c r="J57" s="36">
        <f>Source!AT29</f>
        <v>103</v>
      </c>
      <c r="K57" s="40">
        <f>SUM(T54:T59)</f>
        <v>3997.99</v>
      </c>
      <c r="L57" s="41"/>
    </row>
    <row r="58" spans="1:26" ht="14.25">
      <c r="A58" s="23"/>
      <c r="B58" s="55"/>
      <c r="C58" s="55" t="s">
        <v>644</v>
      </c>
      <c r="D58" s="37" t="s">
        <v>643</v>
      </c>
      <c r="E58" s="10">
        <f>Source!CA29</f>
        <v>59</v>
      </c>
      <c r="F58" s="58"/>
      <c r="G58" s="39"/>
      <c r="H58" s="40">
        <f>SUM(U54:U59)</f>
        <v>68.16</v>
      </c>
      <c r="I58" s="43"/>
      <c r="J58" s="36">
        <f>Source!AU29</f>
        <v>59</v>
      </c>
      <c r="K58" s="40">
        <f>SUM(V54:V59)</f>
        <v>2290.11</v>
      </c>
      <c r="L58" s="41"/>
    </row>
    <row r="59" spans="1:26" ht="14.25">
      <c r="A59" s="56"/>
      <c r="B59" s="57"/>
      <c r="C59" s="57" t="s">
        <v>645</v>
      </c>
      <c r="D59" s="44" t="s">
        <v>646</v>
      </c>
      <c r="E59" s="45">
        <f>Source!AQ29</f>
        <v>22.82</v>
      </c>
      <c r="F59" s="46"/>
      <c r="G59" s="47" t="str">
        <f>Source!DI29</f>
        <v/>
      </c>
      <c r="H59" s="48"/>
      <c r="I59" s="47"/>
      <c r="J59" s="47"/>
      <c r="K59" s="48"/>
      <c r="L59" s="49">
        <f>Source!U29</f>
        <v>14.810180000000001</v>
      </c>
    </row>
    <row r="60" spans="1:26" ht="15">
      <c r="G60" s="72">
        <f>H56+H57+H58</f>
        <v>302.66999999999996</v>
      </c>
      <c r="H60" s="72"/>
      <c r="J60" s="72">
        <f>K56+K57+K58</f>
        <v>10169.64</v>
      </c>
      <c r="K60" s="72"/>
      <c r="L60" s="50">
        <f>Source!U29</f>
        <v>14.810180000000001</v>
      </c>
      <c r="O60" s="32">
        <f>G60</f>
        <v>302.66999999999996</v>
      </c>
      <c r="P60" s="32">
        <f>J60</f>
        <v>10169.64</v>
      </c>
      <c r="Q60" s="32">
        <f>L60</f>
        <v>14.810180000000001</v>
      </c>
      <c r="W60">
        <f>IF(Source!BI29&lt;=1,H56+H57+H58, 0)</f>
        <v>302.66999999999996</v>
      </c>
      <c r="X60">
        <f>IF(Source!BI29=2,H56+H57+H58, 0)</f>
        <v>0</v>
      </c>
      <c r="Y60">
        <f>IF(Source!BI29=3,H56+H57+H58, 0)</f>
        <v>0</v>
      </c>
      <c r="Z60">
        <f>IF(Source!BI29=4,H56+H57+H58, 0)</f>
        <v>0</v>
      </c>
    </row>
    <row r="61" spans="1:26" ht="42.75">
      <c r="A61" s="23" t="str">
        <f>Source!E30</f>
        <v>5</v>
      </c>
      <c r="B61" s="55" t="str">
        <f>Source!F30</f>
        <v>57-1-2</v>
      </c>
      <c r="C61" s="55" t="str">
        <f>Source!G30</f>
        <v>Разборка оснований покрытия полов лаг из досок и брусков</v>
      </c>
      <c r="D61" s="37" t="str">
        <f>Source!H30</f>
        <v>100 м2 основания</v>
      </c>
      <c r="E61" s="10">
        <f>Source!I30</f>
        <v>0.90800000000000003</v>
      </c>
      <c r="F61" s="38">
        <f>Source!AL30+Source!AM30+Source!AO30</f>
        <v>59.83</v>
      </c>
      <c r="G61" s="39"/>
      <c r="H61" s="40"/>
      <c r="I61" s="39" t="str">
        <f>Source!BO30</f>
        <v>57-1-2</v>
      </c>
      <c r="J61" s="39"/>
      <c r="K61" s="40"/>
      <c r="L61" s="41"/>
      <c r="S61">
        <f>ROUND((Source!FX30/100)*((ROUND(Source!AF30*Source!I30, 2)+ROUND(Source!AE30*Source!I30, 2))), 2)</f>
        <v>48.35</v>
      </c>
      <c r="T61">
        <f>Source!X30</f>
        <v>1624.55</v>
      </c>
      <c r="U61">
        <f>ROUND((Source!FY30/100)*((ROUND(Source!AF30*Source!I30, 2)+ROUND(Source!AE30*Source!I30, 2))), 2)</f>
        <v>26.62</v>
      </c>
      <c r="V61">
        <f>Source!Y30</f>
        <v>894.42</v>
      </c>
    </row>
    <row r="62" spans="1:26">
      <c r="C62" s="31" t="str">
        <f>"Объем: "&amp;Source!I30&amp;"=90,8/"&amp;"100"</f>
        <v>Объем: 0,908=90,8/100</v>
      </c>
    </row>
    <row r="63" spans="1:26" ht="14.25">
      <c r="A63" s="23"/>
      <c r="B63" s="55"/>
      <c r="C63" s="55" t="s">
        <v>640</v>
      </c>
      <c r="D63" s="37"/>
      <c r="E63" s="10"/>
      <c r="F63" s="38">
        <f>Source!AO30</f>
        <v>59.83</v>
      </c>
      <c r="G63" s="39" t="str">
        <f>Source!DG30</f>
        <v/>
      </c>
      <c r="H63" s="40">
        <f>ROUND(Source!AF30*Source!I30, 2)</f>
        <v>54.33</v>
      </c>
      <c r="I63" s="39"/>
      <c r="J63" s="39">
        <f>IF(Source!BA30&lt;&gt; 0, Source!BA30, 1)</f>
        <v>33.6</v>
      </c>
      <c r="K63" s="40">
        <f>Source!S30</f>
        <v>1825.34</v>
      </c>
      <c r="L63" s="41"/>
      <c r="R63">
        <f>H63</f>
        <v>54.33</v>
      </c>
    </row>
    <row r="64" spans="1:26" ht="14.25">
      <c r="A64" s="23"/>
      <c r="B64" s="55"/>
      <c r="C64" s="55" t="s">
        <v>642</v>
      </c>
      <c r="D64" s="37" t="s">
        <v>643</v>
      </c>
      <c r="E64" s="10">
        <f>Source!BZ30</f>
        <v>89</v>
      </c>
      <c r="F64" s="58"/>
      <c r="G64" s="39"/>
      <c r="H64" s="40">
        <f>SUM(S61:S67)</f>
        <v>48.35</v>
      </c>
      <c r="I64" s="43"/>
      <c r="J64" s="36">
        <f>Source!AT30</f>
        <v>89</v>
      </c>
      <c r="K64" s="40">
        <f>SUM(T61:T67)</f>
        <v>1624.55</v>
      </c>
      <c r="L64" s="41"/>
    </row>
    <row r="65" spans="1:26" ht="14.25">
      <c r="A65" s="23"/>
      <c r="B65" s="55"/>
      <c r="C65" s="55" t="s">
        <v>644</v>
      </c>
      <c r="D65" s="37" t="s">
        <v>643</v>
      </c>
      <c r="E65" s="10">
        <f>Source!CA30</f>
        <v>49</v>
      </c>
      <c r="F65" s="58"/>
      <c r="G65" s="39"/>
      <c r="H65" s="40">
        <f>SUM(U61:U67)</f>
        <v>26.62</v>
      </c>
      <c r="I65" s="43"/>
      <c r="J65" s="36">
        <f>Source!AU30</f>
        <v>49</v>
      </c>
      <c r="K65" s="40">
        <f>SUM(V61:V67)</f>
        <v>894.42</v>
      </c>
      <c r="L65" s="41"/>
    </row>
    <row r="66" spans="1:26" ht="14.25">
      <c r="A66" s="23"/>
      <c r="B66" s="55"/>
      <c r="C66" s="55" t="s">
        <v>645</v>
      </c>
      <c r="D66" s="37" t="s">
        <v>646</v>
      </c>
      <c r="E66" s="10">
        <f>Source!AQ30</f>
        <v>7.67</v>
      </c>
      <c r="F66" s="38"/>
      <c r="G66" s="39" t="str">
        <f>Source!DI30</f>
        <v/>
      </c>
      <c r="H66" s="40"/>
      <c r="I66" s="39"/>
      <c r="J66" s="39"/>
      <c r="K66" s="40"/>
      <c r="L66" s="51">
        <f>Source!U30</f>
        <v>6.9643600000000001</v>
      </c>
    </row>
    <row r="67" spans="1:26" ht="14.25">
      <c r="A67" s="56" t="str">
        <f>Source!E31</f>
        <v>5,1</v>
      </c>
      <c r="B67" s="57" t="str">
        <f>Source!F31</f>
        <v>509-9900</v>
      </c>
      <c r="C67" s="57" t="str">
        <f>Source!G31</f>
        <v>Строительный мусор</v>
      </c>
      <c r="D67" s="44" t="str">
        <f>Source!H31</f>
        <v>т</v>
      </c>
      <c r="E67" s="45">
        <f>Source!I31</f>
        <v>0.63560000000000005</v>
      </c>
      <c r="F67" s="46">
        <f>Source!AL31+Source!AM31+Source!AO31</f>
        <v>0</v>
      </c>
      <c r="G67" s="52" t="s">
        <v>3</v>
      </c>
      <c r="H67" s="48">
        <f>ROUND(Source!AC31*Source!I31, 2)+ROUND(Source!AD31*Source!I31, 2)+ROUND(Source!AF31*Source!I31, 2)</f>
        <v>0</v>
      </c>
      <c r="I67" s="47"/>
      <c r="J67" s="47">
        <f>IF(Source!BC31&lt;&gt; 0, Source!BC31, 1)</f>
        <v>1</v>
      </c>
      <c r="K67" s="48">
        <f>Source!O31</f>
        <v>0</v>
      </c>
      <c r="L67" s="53"/>
      <c r="S67">
        <f>ROUND((Source!FX31/100)*((ROUND(Source!AF31*Source!I31, 2)+ROUND(Source!AE31*Source!I31, 2))), 2)</f>
        <v>0</v>
      </c>
      <c r="T67">
        <f>Source!X31</f>
        <v>0</v>
      </c>
      <c r="U67">
        <f>ROUND((Source!FY31/100)*((ROUND(Source!AF31*Source!I31, 2)+ROUND(Source!AE31*Source!I31, 2))), 2)</f>
        <v>0</v>
      </c>
      <c r="V67">
        <f>Source!Y31</f>
        <v>0</v>
      </c>
      <c r="W67">
        <f>IF(Source!BI31&lt;=1,H67, 0)</f>
        <v>0</v>
      </c>
      <c r="X67">
        <f>IF(Source!BI31=2,H67, 0)</f>
        <v>0</v>
      </c>
      <c r="Y67">
        <f>IF(Source!BI31=3,H67, 0)</f>
        <v>0</v>
      </c>
      <c r="Z67">
        <f>IF(Source!BI31=4,H67, 0)</f>
        <v>0</v>
      </c>
    </row>
    <row r="68" spans="1:26" ht="15">
      <c r="G68" s="72">
        <f>H63+H64+H65+SUM(H67:H67)</f>
        <v>129.30000000000001</v>
      </c>
      <c r="H68" s="72"/>
      <c r="J68" s="72">
        <f>K63+K64+K65+SUM(K67:K67)</f>
        <v>4344.3099999999995</v>
      </c>
      <c r="K68" s="72"/>
      <c r="L68" s="50">
        <f>Source!U30</f>
        <v>6.9643600000000001</v>
      </c>
      <c r="O68" s="32">
        <f>G68</f>
        <v>129.30000000000001</v>
      </c>
      <c r="P68" s="32">
        <f>J68</f>
        <v>4344.3099999999995</v>
      </c>
      <c r="Q68" s="32">
        <f>L68</f>
        <v>6.9643600000000001</v>
      </c>
      <c r="W68">
        <f>IF(Source!BI30&lt;=1,H63+H64+H65, 0)</f>
        <v>129.30000000000001</v>
      </c>
      <c r="X68">
        <f>IF(Source!BI30=2,H63+H64+H65, 0)</f>
        <v>0</v>
      </c>
      <c r="Y68">
        <f>IF(Source!BI30=3,H63+H64+H65, 0)</f>
        <v>0</v>
      </c>
      <c r="Z68">
        <f>IF(Source!BI30=4,H63+H64+H65, 0)</f>
        <v>0</v>
      </c>
    </row>
    <row r="69" spans="1:26" ht="14.25">
      <c r="A69" s="23" t="str">
        <f>Source!E32</f>
        <v>8</v>
      </c>
      <c r="B69" s="55" t="str">
        <f>Source!F32</f>
        <v>67-4-1</v>
      </c>
      <c r="C69" s="55" t="str">
        <f>Source!G32</f>
        <v>Демонтаж выключателей, розеток</v>
      </c>
      <c r="D69" s="37" t="str">
        <f>Source!H32</f>
        <v>100 шт.</v>
      </c>
      <c r="E69" s="10">
        <f>Source!I32</f>
        <v>0.04</v>
      </c>
      <c r="F69" s="38">
        <f>Source!AL32+Source!AM32+Source!AO32</f>
        <v>45.55</v>
      </c>
      <c r="G69" s="39"/>
      <c r="H69" s="40"/>
      <c r="I69" s="39" t="str">
        <f>Source!BO32</f>
        <v>67-4-1</v>
      </c>
      <c r="J69" s="39"/>
      <c r="K69" s="40"/>
      <c r="L69" s="41"/>
      <c r="S69">
        <f>ROUND((Source!FX32/100)*((ROUND(Source!AF32*Source!I32, 2)+ROUND(Source!AE32*Source!I32, 2))), 2)</f>
        <v>1.66</v>
      </c>
      <c r="T69">
        <f>Source!X32</f>
        <v>55.71</v>
      </c>
      <c r="U69">
        <f>ROUND((Source!FY32/100)*((ROUND(Source!AF32*Source!I32, 2)+ROUND(Source!AE32*Source!I32, 2))), 2)</f>
        <v>0.87</v>
      </c>
      <c r="V69">
        <f>Source!Y32</f>
        <v>29.39</v>
      </c>
    </row>
    <row r="70" spans="1:26">
      <c r="C70" s="31" t="str">
        <f>"Объем: "&amp;Source!I32&amp;"=4/"&amp;"100"</f>
        <v>Объем: 0,04=4/100</v>
      </c>
    </row>
    <row r="71" spans="1:26" ht="14.25">
      <c r="A71" s="23"/>
      <c r="B71" s="55"/>
      <c r="C71" s="55" t="s">
        <v>640</v>
      </c>
      <c r="D71" s="37"/>
      <c r="E71" s="10"/>
      <c r="F71" s="38">
        <f>Source!AO32</f>
        <v>45.55</v>
      </c>
      <c r="G71" s="39" t="str">
        <f>Source!DG32</f>
        <v/>
      </c>
      <c r="H71" s="40">
        <f>ROUND(Source!AF32*Source!I32, 2)</f>
        <v>1.82</v>
      </c>
      <c r="I71" s="39"/>
      <c r="J71" s="39">
        <f>IF(Source!BA32&lt;&gt; 0, Source!BA32, 1)</f>
        <v>33.6</v>
      </c>
      <c r="K71" s="40">
        <f>Source!S32</f>
        <v>61.22</v>
      </c>
      <c r="L71" s="41"/>
      <c r="R71">
        <f>H71</f>
        <v>1.82</v>
      </c>
    </row>
    <row r="72" spans="1:26" ht="14.25">
      <c r="A72" s="23"/>
      <c r="B72" s="55"/>
      <c r="C72" s="55" t="s">
        <v>642</v>
      </c>
      <c r="D72" s="37" t="s">
        <v>643</v>
      </c>
      <c r="E72" s="10">
        <f>Source!BZ32</f>
        <v>91</v>
      </c>
      <c r="F72" s="58"/>
      <c r="G72" s="39"/>
      <c r="H72" s="40">
        <f>SUM(S69:S74)</f>
        <v>1.66</v>
      </c>
      <c r="I72" s="43"/>
      <c r="J72" s="36">
        <f>Source!AT32</f>
        <v>91</v>
      </c>
      <c r="K72" s="40">
        <f>SUM(T69:T74)</f>
        <v>55.71</v>
      </c>
      <c r="L72" s="41"/>
    </row>
    <row r="73" spans="1:26" ht="14.25">
      <c r="A73" s="23"/>
      <c r="B73" s="55"/>
      <c r="C73" s="55" t="s">
        <v>644</v>
      </c>
      <c r="D73" s="37" t="s">
        <v>643</v>
      </c>
      <c r="E73" s="10">
        <f>Source!CA32</f>
        <v>48</v>
      </c>
      <c r="F73" s="58"/>
      <c r="G73" s="39"/>
      <c r="H73" s="40">
        <f>SUM(U69:U74)</f>
        <v>0.87</v>
      </c>
      <c r="I73" s="43"/>
      <c r="J73" s="36">
        <f>Source!AU32</f>
        <v>48</v>
      </c>
      <c r="K73" s="40">
        <f>SUM(V69:V74)</f>
        <v>29.39</v>
      </c>
      <c r="L73" s="41"/>
    </row>
    <row r="74" spans="1:26" ht="14.25">
      <c r="A74" s="56"/>
      <c r="B74" s="57"/>
      <c r="C74" s="57" t="s">
        <v>645</v>
      </c>
      <c r="D74" s="44" t="s">
        <v>646</v>
      </c>
      <c r="E74" s="45">
        <f>Source!AQ32</f>
        <v>5.84</v>
      </c>
      <c r="F74" s="46"/>
      <c r="G74" s="47" t="str">
        <f>Source!DI32</f>
        <v/>
      </c>
      <c r="H74" s="48"/>
      <c r="I74" s="47"/>
      <c r="J74" s="47"/>
      <c r="K74" s="48"/>
      <c r="L74" s="49">
        <f>Source!U32</f>
        <v>0.2336</v>
      </c>
    </row>
    <row r="75" spans="1:26" ht="15">
      <c r="G75" s="72">
        <f>H71+H72+H73</f>
        <v>4.3499999999999996</v>
      </c>
      <c r="H75" s="72"/>
      <c r="J75" s="72">
        <f>K71+K72+K73</f>
        <v>146.32</v>
      </c>
      <c r="K75" s="72"/>
      <c r="L75" s="50">
        <f>Source!U32</f>
        <v>0.2336</v>
      </c>
      <c r="O75" s="32">
        <f>G75</f>
        <v>4.3499999999999996</v>
      </c>
      <c r="P75" s="32">
        <f>J75</f>
        <v>146.32</v>
      </c>
      <c r="Q75" s="32">
        <f>L75</f>
        <v>0.2336</v>
      </c>
      <c r="W75">
        <f>IF(Source!BI32&lt;=1,H71+H72+H73, 0)</f>
        <v>4.3499999999999996</v>
      </c>
      <c r="X75">
        <f>IF(Source!BI32=2,H71+H72+H73, 0)</f>
        <v>0</v>
      </c>
      <c r="Y75">
        <f>IF(Source!BI32=3,H71+H72+H73, 0)</f>
        <v>0</v>
      </c>
      <c r="Z75">
        <f>IF(Source!BI32=4,H71+H72+H73, 0)</f>
        <v>0</v>
      </c>
    </row>
    <row r="76" spans="1:26" ht="28.5">
      <c r="A76" s="23" t="str">
        <f>Source!E33</f>
        <v>11</v>
      </c>
      <c r="B76" s="55" t="str">
        <f>Source!F33</f>
        <v>67-4-5</v>
      </c>
      <c r="C76" s="55" t="str">
        <f>Source!G33</f>
        <v>Демонтаж светильников для люминесцентных ламп</v>
      </c>
      <c r="D76" s="37" t="str">
        <f>Source!H33</f>
        <v>100 шт.</v>
      </c>
      <c r="E76" s="10">
        <f>Source!I33</f>
        <v>0.06</v>
      </c>
      <c r="F76" s="38">
        <f>Source!AL33+Source!AM33+Source!AO33</f>
        <v>145.97999999999999</v>
      </c>
      <c r="G76" s="39"/>
      <c r="H76" s="40"/>
      <c r="I76" s="39" t="str">
        <f>Source!BO33</f>
        <v>67-4-5</v>
      </c>
      <c r="J76" s="39"/>
      <c r="K76" s="40"/>
      <c r="L76" s="41"/>
      <c r="S76">
        <f>ROUND((Source!FX33/100)*((ROUND(Source!AF33*Source!I33, 2)+ROUND(Source!AE33*Source!I33, 2))), 2)</f>
        <v>7.89</v>
      </c>
      <c r="T76">
        <f>Source!X33</f>
        <v>265.20999999999998</v>
      </c>
      <c r="U76">
        <f>ROUND((Source!FY33/100)*((ROUND(Source!AF33*Source!I33, 2)+ROUND(Source!AE33*Source!I33, 2))), 2)</f>
        <v>4.16</v>
      </c>
      <c r="V76">
        <f>Source!Y33</f>
        <v>139.88999999999999</v>
      </c>
    </row>
    <row r="77" spans="1:26">
      <c r="C77" s="31" t="str">
        <f>"Объем: "&amp;Source!I33&amp;"=6/"&amp;"100"</f>
        <v>Объем: 0,06=6/100</v>
      </c>
    </row>
    <row r="78" spans="1:26" ht="14.25">
      <c r="A78" s="23"/>
      <c r="B78" s="55"/>
      <c r="C78" s="55" t="s">
        <v>640</v>
      </c>
      <c r="D78" s="37"/>
      <c r="E78" s="10"/>
      <c r="F78" s="38">
        <f>Source!AO33</f>
        <v>143.47999999999999</v>
      </c>
      <c r="G78" s="39" t="str">
        <f>Source!DG33</f>
        <v/>
      </c>
      <c r="H78" s="40">
        <f>ROUND(Source!AF33*Source!I33, 2)</f>
        <v>8.61</v>
      </c>
      <c r="I78" s="39"/>
      <c r="J78" s="39">
        <f>IF(Source!BA33&lt;&gt; 0, Source!BA33, 1)</f>
        <v>33.6</v>
      </c>
      <c r="K78" s="40">
        <f>Source!S33</f>
        <v>289.26</v>
      </c>
      <c r="L78" s="41"/>
      <c r="R78">
        <f>H78</f>
        <v>8.61</v>
      </c>
    </row>
    <row r="79" spans="1:26" ht="14.25">
      <c r="A79" s="23"/>
      <c r="B79" s="55"/>
      <c r="C79" s="55" t="s">
        <v>75</v>
      </c>
      <c r="D79" s="37"/>
      <c r="E79" s="10"/>
      <c r="F79" s="38">
        <f>Source!AM33</f>
        <v>2.5</v>
      </c>
      <c r="G79" s="39" t="str">
        <f>Source!DE33</f>
        <v/>
      </c>
      <c r="H79" s="40">
        <f>ROUND(Source!AD33*Source!I33, 2)</f>
        <v>0.15</v>
      </c>
      <c r="I79" s="39"/>
      <c r="J79" s="39">
        <f>IF(Source!BB33&lt;&gt; 0, Source!BB33, 1)</f>
        <v>14.94</v>
      </c>
      <c r="K79" s="40">
        <f>Source!Q33</f>
        <v>2.2400000000000002</v>
      </c>
      <c r="L79" s="41"/>
    </row>
    <row r="80" spans="1:26" ht="14.25">
      <c r="A80" s="23"/>
      <c r="B80" s="55"/>
      <c r="C80" s="55" t="s">
        <v>641</v>
      </c>
      <c r="D80" s="37"/>
      <c r="E80" s="10"/>
      <c r="F80" s="38">
        <f>Source!AN33</f>
        <v>1.08</v>
      </c>
      <c r="G80" s="39" t="str">
        <f>Source!DF33</f>
        <v/>
      </c>
      <c r="H80" s="42">
        <f>ROUND(Source!AE33*Source!I33, 2)</f>
        <v>0.06</v>
      </c>
      <c r="I80" s="39"/>
      <c r="J80" s="39">
        <f>IF(Source!BS33&lt;&gt; 0, Source!BS33, 1)</f>
        <v>33.6</v>
      </c>
      <c r="K80" s="42">
        <f>Source!R33</f>
        <v>2.1800000000000002</v>
      </c>
      <c r="L80" s="41"/>
      <c r="R80">
        <f>H80</f>
        <v>0.06</v>
      </c>
    </row>
    <row r="81" spans="1:26" ht="14.25">
      <c r="A81" s="23"/>
      <c r="B81" s="55"/>
      <c r="C81" s="55" t="s">
        <v>642</v>
      </c>
      <c r="D81" s="37" t="s">
        <v>643</v>
      </c>
      <c r="E81" s="10">
        <f>Source!BZ33</f>
        <v>91</v>
      </c>
      <c r="F81" s="58"/>
      <c r="G81" s="39"/>
      <c r="H81" s="40">
        <f>SUM(S76:S83)</f>
        <v>7.89</v>
      </c>
      <c r="I81" s="43"/>
      <c r="J81" s="36">
        <f>Source!AT33</f>
        <v>91</v>
      </c>
      <c r="K81" s="40">
        <f>SUM(T76:T83)</f>
        <v>265.20999999999998</v>
      </c>
      <c r="L81" s="41"/>
    </row>
    <row r="82" spans="1:26" ht="14.25">
      <c r="A82" s="23"/>
      <c r="B82" s="55"/>
      <c r="C82" s="55" t="s">
        <v>644</v>
      </c>
      <c r="D82" s="37" t="s">
        <v>643</v>
      </c>
      <c r="E82" s="10">
        <f>Source!CA33</f>
        <v>48</v>
      </c>
      <c r="F82" s="58"/>
      <c r="G82" s="39"/>
      <c r="H82" s="40">
        <f>SUM(U76:U83)</f>
        <v>4.16</v>
      </c>
      <c r="I82" s="43"/>
      <c r="J82" s="36">
        <f>Source!AU33</f>
        <v>48</v>
      </c>
      <c r="K82" s="40">
        <f>SUM(V76:V83)</f>
        <v>139.88999999999999</v>
      </c>
      <c r="L82" s="41"/>
    </row>
    <row r="83" spans="1:26" ht="14.25">
      <c r="A83" s="56"/>
      <c r="B83" s="57"/>
      <c r="C83" s="57" t="s">
        <v>645</v>
      </c>
      <c r="D83" s="44" t="s">
        <v>646</v>
      </c>
      <c r="E83" s="45">
        <f>Source!AQ33</f>
        <v>17.89</v>
      </c>
      <c r="F83" s="46"/>
      <c r="G83" s="47" t="str">
        <f>Source!DI33</f>
        <v/>
      </c>
      <c r="H83" s="48"/>
      <c r="I83" s="47"/>
      <c r="J83" s="47"/>
      <c r="K83" s="48"/>
      <c r="L83" s="49">
        <f>Source!U33</f>
        <v>1.0733999999999999</v>
      </c>
    </row>
    <row r="84" spans="1:26" ht="15">
      <c r="G84" s="72">
        <f>H78+H79+H81+H82</f>
        <v>20.81</v>
      </c>
      <c r="H84" s="72"/>
      <c r="J84" s="72">
        <f>K78+K79+K81+K82</f>
        <v>696.6</v>
      </c>
      <c r="K84" s="72"/>
      <c r="L84" s="50">
        <f>Source!U33</f>
        <v>1.0733999999999999</v>
      </c>
      <c r="O84" s="32">
        <f>G84</f>
        <v>20.81</v>
      </c>
      <c r="P84" s="32">
        <f>J84</f>
        <v>696.6</v>
      </c>
      <c r="Q84" s="32">
        <f>L84</f>
        <v>1.0733999999999999</v>
      </c>
      <c r="W84">
        <f>IF(Source!BI33&lt;=1,H78+H79+H81+H82, 0)</f>
        <v>20.81</v>
      </c>
      <c r="X84">
        <f>IF(Source!BI33=2,H78+H79+H81+H82, 0)</f>
        <v>0</v>
      </c>
      <c r="Y84">
        <f>IF(Source!BI33=3,H78+H79+H81+H82, 0)</f>
        <v>0</v>
      </c>
      <c r="Z84">
        <f>IF(Source!BI33=4,H78+H79+H81+H82, 0)</f>
        <v>0</v>
      </c>
    </row>
    <row r="86" spans="1:26" ht="15">
      <c r="A86" s="74" t="str">
        <f>CONCATENATE("Итого по разделу: ",IF(Source!G35&lt;&gt;"Новый раздел", Source!G35, ""))</f>
        <v>Итого по разделу: Демонтаж</v>
      </c>
      <c r="B86" s="74"/>
      <c r="C86" s="74"/>
      <c r="D86" s="74"/>
      <c r="E86" s="74"/>
      <c r="F86" s="74"/>
      <c r="G86" s="73">
        <f>SUM(O44:O85)</f>
        <v>662.62</v>
      </c>
      <c r="H86" s="73"/>
      <c r="I86" s="35"/>
      <c r="J86" s="73">
        <f>SUM(P44:P85)</f>
        <v>22110.219999999994</v>
      </c>
      <c r="K86" s="73"/>
      <c r="L86" s="50">
        <f>SUM(Q44:Q85)</f>
        <v>32.569920000000003</v>
      </c>
    </row>
    <row r="90" spans="1:26" ht="16.5">
      <c r="A90" s="75" t="str">
        <f>CONCATENATE("Раздел: ",IF(Source!G65&lt;&gt;"Новый раздел", Source!G65, ""))</f>
        <v>Раздел: Монтаж</v>
      </c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</row>
    <row r="92" spans="1:26" ht="16.5">
      <c r="A92" s="75" t="str">
        <f>CONCATENATE("Подраздел: ",IF(Source!G69&lt;&gt;"Новый подраздел", Source!G69, ""))</f>
        <v>Подраздел: стены</v>
      </c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</row>
    <row r="93" spans="1:26" ht="79.5">
      <c r="A93" s="23" t="str">
        <f>Source!E73</f>
        <v>1</v>
      </c>
      <c r="B93" s="55" t="s">
        <v>647</v>
      </c>
      <c r="C93" s="55" t="str">
        <f>Source!G73</f>
        <v>Антисептическая обработка каменных, бетонных, кирпичных и деревянных поверхностей биопиреном "Нортекс-Дезинфектор"</v>
      </c>
      <c r="D93" s="37" t="str">
        <f>Source!H73</f>
        <v>100 м2 обрабатываемой поверхности</v>
      </c>
      <c r="E93" s="10">
        <f>Source!I73</f>
        <v>1.2889999999999999</v>
      </c>
      <c r="F93" s="38">
        <f>Source!AL73+Source!AM73+Source!AO73</f>
        <v>249.45000000000002</v>
      </c>
      <c r="G93" s="39"/>
      <c r="H93" s="40"/>
      <c r="I93" s="39" t="str">
        <f>Source!BO73</f>
        <v>10-01-092-1</v>
      </c>
      <c r="J93" s="39"/>
      <c r="K93" s="40"/>
      <c r="L93" s="41"/>
      <c r="S93">
        <f>ROUND((Source!FX73/100)*((ROUND(Source!AF73*Source!I73, 2)+ROUND(Source!AE73*Source!I73, 2))), 2)</f>
        <v>72.98</v>
      </c>
      <c r="T93">
        <f>Source!X73</f>
        <v>2452.08</v>
      </c>
      <c r="U93">
        <f>ROUND((Source!FY73/100)*((ROUND(Source!AF73*Source!I73, 2)+ROUND(Source!AE73*Source!I73, 2))), 2)</f>
        <v>35.1</v>
      </c>
      <c r="V93">
        <f>Source!Y73</f>
        <v>1179.3699999999999</v>
      </c>
    </row>
    <row r="94" spans="1:26">
      <c r="C94" s="31" t="str">
        <f>"Объем: "&amp;Source!I73&amp;"=128,9/"&amp;"100"</f>
        <v>Объем: 1,289=128,9/100</v>
      </c>
    </row>
    <row r="95" spans="1:26" ht="14.25">
      <c r="A95" s="23"/>
      <c r="B95" s="55"/>
      <c r="C95" s="55" t="s">
        <v>640</v>
      </c>
      <c r="D95" s="37"/>
      <c r="E95" s="10"/>
      <c r="F95" s="38">
        <f>Source!AO73</f>
        <v>50.25</v>
      </c>
      <c r="G95" s="39" t="str">
        <f>Source!DG73</f>
        <v>)*1,15</v>
      </c>
      <c r="H95" s="40">
        <f>ROUND(Source!AF73*Source!I73, 2)</f>
        <v>74.489999999999995</v>
      </c>
      <c r="I95" s="39"/>
      <c r="J95" s="39">
        <f>IF(Source!BA73&lt;&gt; 0, Source!BA73, 1)</f>
        <v>33.6</v>
      </c>
      <c r="K95" s="40">
        <f>Source!S73</f>
        <v>2502.8000000000002</v>
      </c>
      <c r="L95" s="41"/>
      <c r="R95">
        <f>H95</f>
        <v>74.489999999999995</v>
      </c>
    </row>
    <row r="96" spans="1:26" ht="14.25">
      <c r="A96" s="23"/>
      <c r="B96" s="55"/>
      <c r="C96" s="55" t="s">
        <v>75</v>
      </c>
      <c r="D96" s="37"/>
      <c r="E96" s="10"/>
      <c r="F96" s="38">
        <f>Source!AM73</f>
        <v>44.74</v>
      </c>
      <c r="G96" s="39" t="str">
        <f>Source!DE73</f>
        <v/>
      </c>
      <c r="H96" s="40">
        <f>ROUND(Source!AD73*Source!I73, 2)</f>
        <v>57.67</v>
      </c>
      <c r="I96" s="39"/>
      <c r="J96" s="39">
        <f>IF(Source!BB73&lt;&gt; 0, Source!BB73, 1)</f>
        <v>6.08</v>
      </c>
      <c r="K96" s="40">
        <f>Source!Q73</f>
        <v>350.63</v>
      </c>
      <c r="L96" s="41"/>
    </row>
    <row r="97" spans="1:26" ht="14.25">
      <c r="A97" s="23"/>
      <c r="B97" s="55"/>
      <c r="C97" s="55" t="s">
        <v>641</v>
      </c>
      <c r="D97" s="37"/>
      <c r="E97" s="10"/>
      <c r="F97" s="38">
        <f>Source!AN73</f>
        <v>0.46</v>
      </c>
      <c r="G97" s="39" t="str">
        <f>Source!DF73</f>
        <v/>
      </c>
      <c r="H97" s="42">
        <f>ROUND(Source!AE73*Source!I73, 2)</f>
        <v>0.59</v>
      </c>
      <c r="I97" s="39"/>
      <c r="J97" s="39">
        <f>IF(Source!BS73&lt;&gt; 0, Source!BS73, 1)</f>
        <v>33.6</v>
      </c>
      <c r="K97" s="42">
        <f>Source!R73</f>
        <v>19.920000000000002</v>
      </c>
      <c r="L97" s="41"/>
      <c r="R97">
        <f>H97</f>
        <v>0.59</v>
      </c>
    </row>
    <row r="98" spans="1:26" ht="14.25">
      <c r="A98" s="23"/>
      <c r="B98" s="55"/>
      <c r="C98" s="55" t="s">
        <v>648</v>
      </c>
      <c r="D98" s="37"/>
      <c r="E98" s="10"/>
      <c r="F98" s="38">
        <f>Source!AL73</f>
        <v>154.46</v>
      </c>
      <c r="G98" s="39" t="str">
        <f>Source!DD73</f>
        <v/>
      </c>
      <c r="H98" s="40">
        <f>ROUND(Source!AC73*Source!I73, 2)</f>
        <v>199.1</v>
      </c>
      <c r="I98" s="39"/>
      <c r="J98" s="39">
        <f>IF(Source!BC73&lt;&gt; 0, Source!BC73, 1)</f>
        <v>10.49</v>
      </c>
      <c r="K98" s="40">
        <f>Source!P73</f>
        <v>2088.5500000000002</v>
      </c>
      <c r="L98" s="41"/>
    </row>
    <row r="99" spans="1:26" ht="14.25">
      <c r="A99" s="23"/>
      <c r="B99" s="55"/>
      <c r="C99" s="55" t="s">
        <v>642</v>
      </c>
      <c r="D99" s="37" t="s">
        <v>643</v>
      </c>
      <c r="E99" s="10">
        <f>Source!BZ73</f>
        <v>97.2</v>
      </c>
      <c r="F99" s="58"/>
      <c r="G99" s="39"/>
      <c r="H99" s="40">
        <f>SUM(S93:S101)</f>
        <v>72.98</v>
      </c>
      <c r="I99" s="43"/>
      <c r="J99" s="36">
        <f>Source!AT73</f>
        <v>97.2</v>
      </c>
      <c r="K99" s="40">
        <f>SUM(T93:T101)</f>
        <v>2452.08</v>
      </c>
      <c r="L99" s="41"/>
    </row>
    <row r="100" spans="1:26" ht="14.25">
      <c r="A100" s="23"/>
      <c r="B100" s="55"/>
      <c r="C100" s="55" t="s">
        <v>644</v>
      </c>
      <c r="D100" s="37" t="s">
        <v>643</v>
      </c>
      <c r="E100" s="10">
        <f>Source!CA73</f>
        <v>46.75</v>
      </c>
      <c r="F100" s="58"/>
      <c r="G100" s="39"/>
      <c r="H100" s="40">
        <f>SUM(U93:U101)</f>
        <v>35.1</v>
      </c>
      <c r="I100" s="43"/>
      <c r="J100" s="36">
        <f>Source!AU73</f>
        <v>46.75</v>
      </c>
      <c r="K100" s="40">
        <f>SUM(V93:V101)</f>
        <v>1179.3699999999999</v>
      </c>
      <c r="L100" s="41"/>
    </row>
    <row r="101" spans="1:26" ht="14.25">
      <c r="A101" s="56"/>
      <c r="B101" s="57"/>
      <c r="C101" s="57" t="s">
        <v>645</v>
      </c>
      <c r="D101" s="44" t="s">
        <v>646</v>
      </c>
      <c r="E101" s="45">
        <f>Source!AQ73</f>
        <v>5.94</v>
      </c>
      <c r="F101" s="46"/>
      <c r="G101" s="47" t="str">
        <f>Source!DI73</f>
        <v>)*1,15</v>
      </c>
      <c r="H101" s="48"/>
      <c r="I101" s="47"/>
      <c r="J101" s="47"/>
      <c r="K101" s="48"/>
      <c r="L101" s="49">
        <f>Source!U73</f>
        <v>8.8051589999999997</v>
      </c>
    </row>
    <row r="102" spans="1:26" ht="15">
      <c r="G102" s="72">
        <f>H95+H96+H98+H99+H100</f>
        <v>439.34000000000003</v>
      </c>
      <c r="H102" s="72"/>
      <c r="J102" s="72">
        <f>K95+K96+K98+K99+K100</f>
        <v>8573.43</v>
      </c>
      <c r="K102" s="72"/>
      <c r="L102" s="50">
        <f>Source!U73</f>
        <v>8.8051589999999997</v>
      </c>
      <c r="O102" s="32">
        <f>G102</f>
        <v>439.34000000000003</v>
      </c>
      <c r="P102" s="32">
        <f>J102</f>
        <v>8573.43</v>
      </c>
      <c r="Q102" s="32">
        <f>L102</f>
        <v>8.8051589999999997</v>
      </c>
      <c r="W102">
        <f>IF(Source!BI73&lt;=1,H95+H96+H98+H99+H100, 0)</f>
        <v>439.34000000000003</v>
      </c>
      <c r="X102">
        <f>IF(Source!BI73=2,H95+H96+H98+H99+H100, 0)</f>
        <v>0</v>
      </c>
      <c r="Y102">
        <f>IF(Source!BI73=3,H95+H96+H98+H99+H100, 0)</f>
        <v>0</v>
      </c>
      <c r="Z102">
        <f>IF(Source!BI73=4,H95+H96+H98+H99+H100, 0)</f>
        <v>0</v>
      </c>
    </row>
    <row r="103" spans="1:26" ht="79.5">
      <c r="A103" s="23" t="str">
        <f>Source!E74</f>
        <v>5</v>
      </c>
      <c r="B103" s="55" t="s">
        <v>649</v>
      </c>
      <c r="C103" s="55" t="str">
        <f>Source!G74</f>
        <v>Облицовка стен по системе «КНАУФ» по одинарному металлическому каркасу из ПН и ПС профилей гипсокартонными листами в один слой (С 625) оконным проемом</v>
      </c>
      <c r="D103" s="37" t="str">
        <f>Source!H74</f>
        <v>100 м2 стен (за вычетом проемов)</v>
      </c>
      <c r="E103" s="10">
        <f>Source!I74</f>
        <v>0.51</v>
      </c>
      <c r="F103" s="38">
        <f>Source!AL74+Source!AM74+Source!AO74</f>
        <v>6367.38</v>
      </c>
      <c r="G103" s="39"/>
      <c r="H103" s="40"/>
      <c r="I103" s="39" t="str">
        <f>Source!BO74</f>
        <v>10-05-009-1</v>
      </c>
      <c r="J103" s="39"/>
      <c r="K103" s="40"/>
      <c r="L103" s="41"/>
      <c r="S103">
        <f>ROUND((Source!FX74/100)*((ROUND(Source!AF74*Source!I74, 2)+ROUND(Source!AE74*Source!I74, 2))), 2)</f>
        <v>367.11</v>
      </c>
      <c r="T103">
        <f>Source!X74</f>
        <v>12335</v>
      </c>
      <c r="U103">
        <f>ROUND((Source!FY74/100)*((ROUND(Source!AF74*Source!I74, 2)+ROUND(Source!AE74*Source!I74, 2))), 2)</f>
        <v>176.57</v>
      </c>
      <c r="V103">
        <f>Source!Y74</f>
        <v>5932.73</v>
      </c>
    </row>
    <row r="104" spans="1:26">
      <c r="C104" s="31" t="str">
        <f>"Объем: "&amp;Source!I74&amp;"=51/"&amp;"100"</f>
        <v>Объем: 0,51=51/100</v>
      </c>
    </row>
    <row r="105" spans="1:26" ht="14.25">
      <c r="A105" s="23"/>
      <c r="B105" s="55"/>
      <c r="C105" s="55" t="s">
        <v>640</v>
      </c>
      <c r="D105" s="37"/>
      <c r="E105" s="10"/>
      <c r="F105" s="38">
        <f>Source!AO74</f>
        <v>643.97</v>
      </c>
      <c r="G105" s="39" t="str">
        <f>Source!DG74</f>
        <v>)*1,15</v>
      </c>
      <c r="H105" s="40">
        <f>ROUND(Source!AF74*Source!I74, 2)</f>
        <v>377.69</v>
      </c>
      <c r="I105" s="39"/>
      <c r="J105" s="39">
        <f>IF(Source!BA74&lt;&gt; 0, Source!BA74, 1)</f>
        <v>33.6</v>
      </c>
      <c r="K105" s="40">
        <f>Source!S74</f>
        <v>12690.33</v>
      </c>
      <c r="L105" s="41"/>
      <c r="R105">
        <f>H105</f>
        <v>377.69</v>
      </c>
    </row>
    <row r="106" spans="1:26" ht="14.25">
      <c r="A106" s="23"/>
      <c r="B106" s="55"/>
      <c r="C106" s="55" t="s">
        <v>75</v>
      </c>
      <c r="D106" s="37"/>
      <c r="E106" s="10"/>
      <c r="F106" s="38">
        <f>Source!AM74</f>
        <v>18.48</v>
      </c>
      <c r="G106" s="39" t="str">
        <f>Source!DE74</f>
        <v/>
      </c>
      <c r="H106" s="40">
        <f>ROUND(Source!AD74*Source!I74, 2)</f>
        <v>9.42</v>
      </c>
      <c r="I106" s="39"/>
      <c r="J106" s="39">
        <f>IF(Source!BB74&lt;&gt; 0, Source!BB74, 1)</f>
        <v>5.79</v>
      </c>
      <c r="K106" s="40">
        <f>Source!Q74</f>
        <v>54.57</v>
      </c>
      <c r="L106" s="41"/>
    </row>
    <row r="107" spans="1:26" ht="14.25">
      <c r="A107" s="23"/>
      <c r="B107" s="55"/>
      <c r="C107" s="55" t="s">
        <v>648</v>
      </c>
      <c r="D107" s="37"/>
      <c r="E107" s="10"/>
      <c r="F107" s="38">
        <f>Source!AL74</f>
        <v>5704.93</v>
      </c>
      <c r="G107" s="39" t="str">
        <f>Source!DD74</f>
        <v/>
      </c>
      <c r="H107" s="40">
        <f>ROUND(Source!AC74*Source!I74, 2)</f>
        <v>2909.51</v>
      </c>
      <c r="I107" s="39"/>
      <c r="J107" s="39">
        <f>IF(Source!BC74&lt;&gt; 0, Source!BC74, 1)</f>
        <v>6.97</v>
      </c>
      <c r="K107" s="40">
        <f>Source!P74</f>
        <v>20279.310000000001</v>
      </c>
      <c r="L107" s="41"/>
    </row>
    <row r="108" spans="1:26" ht="14.25">
      <c r="A108" s="23"/>
      <c r="B108" s="55"/>
      <c r="C108" s="55" t="s">
        <v>642</v>
      </c>
      <c r="D108" s="37" t="s">
        <v>643</v>
      </c>
      <c r="E108" s="10">
        <f>Source!BZ74</f>
        <v>97.2</v>
      </c>
      <c r="F108" s="58"/>
      <c r="G108" s="39"/>
      <c r="H108" s="40">
        <f>SUM(S103:S110)</f>
        <v>367.11</v>
      </c>
      <c r="I108" s="43"/>
      <c r="J108" s="36">
        <f>Source!AT74</f>
        <v>97.2</v>
      </c>
      <c r="K108" s="40">
        <f>SUM(T103:T110)</f>
        <v>12335</v>
      </c>
      <c r="L108" s="41"/>
    </row>
    <row r="109" spans="1:26" ht="14.25">
      <c r="A109" s="23"/>
      <c r="B109" s="55"/>
      <c r="C109" s="55" t="s">
        <v>644</v>
      </c>
      <c r="D109" s="37" t="s">
        <v>643</v>
      </c>
      <c r="E109" s="10">
        <f>Source!CA74</f>
        <v>46.75</v>
      </c>
      <c r="F109" s="58"/>
      <c r="G109" s="39"/>
      <c r="H109" s="40">
        <f>SUM(U103:U110)</f>
        <v>176.57</v>
      </c>
      <c r="I109" s="43"/>
      <c r="J109" s="36">
        <f>Source!AU74</f>
        <v>46.75</v>
      </c>
      <c r="K109" s="40">
        <f>SUM(V103:V110)</f>
        <v>5932.73</v>
      </c>
      <c r="L109" s="41"/>
    </row>
    <row r="110" spans="1:26" ht="14.25">
      <c r="A110" s="56"/>
      <c r="B110" s="57"/>
      <c r="C110" s="57" t="s">
        <v>645</v>
      </c>
      <c r="D110" s="44" t="s">
        <v>646</v>
      </c>
      <c r="E110" s="45">
        <f>Source!AQ74</f>
        <v>71</v>
      </c>
      <c r="F110" s="46"/>
      <c r="G110" s="47" t="str">
        <f>Source!DI74</f>
        <v>)*1,15</v>
      </c>
      <c r="H110" s="48"/>
      <c r="I110" s="47"/>
      <c r="J110" s="47"/>
      <c r="K110" s="48"/>
      <c r="L110" s="49">
        <f>Source!U74</f>
        <v>41.641499999999994</v>
      </c>
    </row>
    <row r="111" spans="1:26" ht="15">
      <c r="G111" s="72">
        <f>H105+H106+H107+H108+H109</f>
        <v>3840.3000000000006</v>
      </c>
      <c r="H111" s="72"/>
      <c r="J111" s="72">
        <f>K105+K106+K107+K108+K109</f>
        <v>51291.94</v>
      </c>
      <c r="K111" s="72"/>
      <c r="L111" s="50">
        <f>Source!U74</f>
        <v>41.641499999999994</v>
      </c>
      <c r="O111" s="32">
        <f>G111</f>
        <v>3840.3000000000006</v>
      </c>
      <c r="P111" s="32">
        <f>J111</f>
        <v>51291.94</v>
      </c>
      <c r="Q111" s="32">
        <f>L111</f>
        <v>41.641499999999994</v>
      </c>
      <c r="W111">
        <f>IF(Source!BI74&lt;=1,H105+H106+H107+H108+H109, 0)</f>
        <v>3840.3000000000006</v>
      </c>
      <c r="X111">
        <f>IF(Source!BI74=2,H105+H106+H107+H108+H109, 0)</f>
        <v>0</v>
      </c>
      <c r="Y111">
        <f>IF(Source!BI74=3,H105+H106+H107+H108+H109, 0)</f>
        <v>0</v>
      </c>
      <c r="Z111">
        <f>IF(Source!BI74=4,H105+H106+H107+H108+H109, 0)</f>
        <v>0</v>
      </c>
    </row>
    <row r="112" spans="1:26" ht="79.5">
      <c r="A112" s="23" t="str">
        <f>Source!E75</f>
        <v>7</v>
      </c>
      <c r="B112" s="55" t="s">
        <v>650</v>
      </c>
      <c r="C112" s="55" t="str">
        <f>Source!G75</f>
        <v>Заполнение каркаса перегородок утеплителем</v>
      </c>
      <c r="D112" s="37" t="str">
        <f>Source!H75</f>
        <v>100 м2 перегородок</v>
      </c>
      <c r="E112" s="10">
        <f>Source!I75</f>
        <v>0.51</v>
      </c>
      <c r="F112" s="38">
        <f>Source!AL75+Source!AM75+Source!AO75</f>
        <v>1509.57</v>
      </c>
      <c r="G112" s="39"/>
      <c r="H112" s="40"/>
      <c r="I112" s="39" t="str">
        <f>Source!BO75</f>
        <v>10-01-301-1</v>
      </c>
      <c r="J112" s="39"/>
      <c r="K112" s="40"/>
      <c r="L112" s="41"/>
      <c r="S112">
        <f>ROUND((Source!FX75/100)*((ROUND(Source!AF75*Source!I75, 2)+ROUND(Source!AE75*Source!I75, 2))), 2)</f>
        <v>116.19</v>
      </c>
      <c r="T112">
        <f>Source!X75</f>
        <v>3903.68</v>
      </c>
      <c r="U112">
        <f>ROUND((Source!FY75/100)*((ROUND(Source!AF75*Source!I75, 2)+ROUND(Source!AE75*Source!I75, 2))), 2)</f>
        <v>56.3</v>
      </c>
      <c r="V112">
        <f>Source!Y75</f>
        <v>1891.47</v>
      </c>
    </row>
    <row r="113" spans="1:26">
      <c r="C113" s="31" t="str">
        <f>"Объем: "&amp;Source!I75&amp;"=51/"&amp;"100"</f>
        <v>Объем: 0,51=51/100</v>
      </c>
    </row>
    <row r="114" spans="1:26" ht="14.25">
      <c r="A114" s="23"/>
      <c r="B114" s="55"/>
      <c r="C114" s="55" t="s">
        <v>640</v>
      </c>
      <c r="D114" s="37"/>
      <c r="E114" s="10"/>
      <c r="F114" s="38">
        <f>Source!AO75</f>
        <v>202.81</v>
      </c>
      <c r="G114" s="39" t="str">
        <f>Source!DG75</f>
        <v>)*1,15</v>
      </c>
      <c r="H114" s="40">
        <f>ROUND(Source!AF75*Source!I75, 2)</f>
        <v>118.95</v>
      </c>
      <c r="I114" s="39"/>
      <c r="J114" s="39">
        <f>IF(Source!BA75&lt;&gt; 0, Source!BA75, 1)</f>
        <v>33.6</v>
      </c>
      <c r="K114" s="40">
        <f>Source!S75</f>
        <v>3996.65</v>
      </c>
      <c r="L114" s="41"/>
      <c r="R114">
        <f>H114</f>
        <v>118.95</v>
      </c>
    </row>
    <row r="115" spans="1:26" ht="14.25">
      <c r="A115" s="23"/>
      <c r="B115" s="55"/>
      <c r="C115" s="55" t="s">
        <v>75</v>
      </c>
      <c r="D115" s="37"/>
      <c r="E115" s="10"/>
      <c r="F115" s="38">
        <f>Source!AM75</f>
        <v>30</v>
      </c>
      <c r="G115" s="39" t="str">
        <f>Source!DE75</f>
        <v/>
      </c>
      <c r="H115" s="40">
        <f>ROUND(Source!AD75*Source!I75, 2)</f>
        <v>15.3</v>
      </c>
      <c r="I115" s="39"/>
      <c r="J115" s="39">
        <f>IF(Source!BB75&lt;&gt; 0, Source!BB75, 1)</f>
        <v>10.31</v>
      </c>
      <c r="K115" s="40">
        <f>Source!Q75</f>
        <v>157.74</v>
      </c>
      <c r="L115" s="41"/>
    </row>
    <row r="116" spans="1:26" ht="14.25">
      <c r="A116" s="23"/>
      <c r="B116" s="55"/>
      <c r="C116" s="55" t="s">
        <v>641</v>
      </c>
      <c r="D116" s="37"/>
      <c r="E116" s="10"/>
      <c r="F116" s="38">
        <f>Source!AN75</f>
        <v>1.62</v>
      </c>
      <c r="G116" s="39" t="str">
        <f>Source!DF75</f>
        <v/>
      </c>
      <c r="H116" s="42">
        <f>ROUND(Source!AE75*Source!I75, 2)</f>
        <v>0.83</v>
      </c>
      <c r="I116" s="39"/>
      <c r="J116" s="39">
        <f>IF(Source!BS75&lt;&gt; 0, Source!BS75, 1)</f>
        <v>33.6</v>
      </c>
      <c r="K116" s="42">
        <f>Source!R75</f>
        <v>27.76</v>
      </c>
      <c r="L116" s="41"/>
      <c r="R116">
        <f>H116</f>
        <v>0.83</v>
      </c>
    </row>
    <row r="117" spans="1:26" ht="14.25">
      <c r="A117" s="23"/>
      <c r="B117" s="55"/>
      <c r="C117" s="55" t="s">
        <v>648</v>
      </c>
      <c r="D117" s="37"/>
      <c r="E117" s="10"/>
      <c r="F117" s="38">
        <f>Source!AL75</f>
        <v>1276.76</v>
      </c>
      <c r="G117" s="39" t="str">
        <f>Source!DD75</f>
        <v/>
      </c>
      <c r="H117" s="40">
        <f>ROUND(Source!AC75*Source!I75, 2)</f>
        <v>651.15</v>
      </c>
      <c r="I117" s="39"/>
      <c r="J117" s="39">
        <f>IF(Source!BC75&lt;&gt; 0, Source!BC75, 1)</f>
        <v>2.27</v>
      </c>
      <c r="K117" s="40">
        <f>Source!P75</f>
        <v>1478.11</v>
      </c>
      <c r="L117" s="41"/>
    </row>
    <row r="118" spans="1:26" ht="14.25">
      <c r="A118" s="23"/>
      <c r="B118" s="55"/>
      <c r="C118" s="55" t="s">
        <v>642</v>
      </c>
      <c r="D118" s="37" t="s">
        <v>643</v>
      </c>
      <c r="E118" s="10">
        <f>Source!BZ75</f>
        <v>97</v>
      </c>
      <c r="F118" s="58"/>
      <c r="G118" s="39"/>
      <c r="H118" s="40">
        <f>SUM(S112:S120)</f>
        <v>116.19</v>
      </c>
      <c r="I118" s="43"/>
      <c r="J118" s="36">
        <f>Source!AT75</f>
        <v>97</v>
      </c>
      <c r="K118" s="40">
        <f>SUM(T112:T120)</f>
        <v>3903.68</v>
      </c>
      <c r="L118" s="41"/>
    </row>
    <row r="119" spans="1:26" ht="14.25">
      <c r="A119" s="23"/>
      <c r="B119" s="55"/>
      <c r="C119" s="55" t="s">
        <v>644</v>
      </c>
      <c r="D119" s="37" t="s">
        <v>643</v>
      </c>
      <c r="E119" s="10">
        <f>Source!CA75</f>
        <v>47</v>
      </c>
      <c r="F119" s="58"/>
      <c r="G119" s="39"/>
      <c r="H119" s="40">
        <f>SUM(U112:U120)</f>
        <v>56.3</v>
      </c>
      <c r="I119" s="43"/>
      <c r="J119" s="36">
        <f>Source!AU75</f>
        <v>47</v>
      </c>
      <c r="K119" s="40">
        <f>SUM(V112:V120)</f>
        <v>1891.47</v>
      </c>
      <c r="L119" s="41"/>
    </row>
    <row r="120" spans="1:26" ht="14.25">
      <c r="A120" s="56"/>
      <c r="B120" s="57"/>
      <c r="C120" s="57" t="s">
        <v>645</v>
      </c>
      <c r="D120" s="44" t="s">
        <v>646</v>
      </c>
      <c r="E120" s="45">
        <f>Source!AQ75</f>
        <v>22.89</v>
      </c>
      <c r="F120" s="46"/>
      <c r="G120" s="47" t="str">
        <f>Source!DI75</f>
        <v>)*1,15</v>
      </c>
      <c r="H120" s="48"/>
      <c r="I120" s="47"/>
      <c r="J120" s="47"/>
      <c r="K120" s="48"/>
      <c r="L120" s="49">
        <f>Source!U75</f>
        <v>13.424985</v>
      </c>
    </row>
    <row r="121" spans="1:26" ht="15">
      <c r="G121" s="72">
        <f>H114+H115+H117+H118+H119</f>
        <v>957.88999999999987</v>
      </c>
      <c r="H121" s="72"/>
      <c r="J121" s="72">
        <f>K114+K115+K117+K118+K119</f>
        <v>11427.65</v>
      </c>
      <c r="K121" s="72"/>
      <c r="L121" s="50">
        <f>Source!U75</f>
        <v>13.424985</v>
      </c>
      <c r="O121" s="32">
        <f>G121</f>
        <v>957.88999999999987</v>
      </c>
      <c r="P121" s="32">
        <f>J121</f>
        <v>11427.65</v>
      </c>
      <c r="Q121" s="32">
        <f>L121</f>
        <v>13.424985</v>
      </c>
      <c r="W121">
        <f>IF(Source!BI75&lt;=1,H114+H115+H117+H118+H119, 0)</f>
        <v>957.88999999999987</v>
      </c>
      <c r="X121">
        <f>IF(Source!BI75=2,H114+H115+H117+H118+H119, 0)</f>
        <v>0</v>
      </c>
      <c r="Y121">
        <f>IF(Source!BI75=3,H114+H115+H117+H118+H119, 0)</f>
        <v>0</v>
      </c>
      <c r="Z121">
        <f>IF(Source!BI75=4,H114+H115+H117+H118+H119, 0)</f>
        <v>0</v>
      </c>
    </row>
    <row r="122" spans="1:26" ht="28.5">
      <c r="A122" s="56" t="str">
        <f>Source!E76</f>
        <v>8</v>
      </c>
      <c r="B122" s="57" t="str">
        <f>Source!F76</f>
        <v>104-0099</v>
      </c>
      <c r="C122" s="57" t="str">
        <f>Source!G76</f>
        <v>Плиты минераловатные «Лайт-Баттс» ROCKWOOL, толщина 50 мм</v>
      </c>
      <c r="D122" s="44" t="str">
        <f>Source!H76</f>
        <v>м2</v>
      </c>
      <c r="E122" s="45">
        <f>Source!I76</f>
        <v>51</v>
      </c>
      <c r="F122" s="46">
        <f>Source!AL76</f>
        <v>20.37</v>
      </c>
      <c r="G122" s="47" t="str">
        <f>Source!DD76</f>
        <v/>
      </c>
      <c r="H122" s="48">
        <f>ROUND(Source!AC76*Source!I76, 2)</f>
        <v>1038.8699999999999</v>
      </c>
      <c r="I122" s="47" t="str">
        <f>Source!BO76</f>
        <v>104-0099</v>
      </c>
      <c r="J122" s="47">
        <f>IF(Source!BC76&lt;&gt; 0, Source!BC76, 1)</f>
        <v>5.29</v>
      </c>
      <c r="K122" s="48">
        <f>Source!P76</f>
        <v>5495.62</v>
      </c>
      <c r="L122" s="53"/>
      <c r="S122">
        <f>ROUND((Source!FX76/100)*((ROUND(Source!AF76*Source!I76, 2)+ROUND(Source!AE76*Source!I76, 2))), 2)</f>
        <v>0</v>
      </c>
      <c r="T122">
        <f>Source!X76</f>
        <v>0</v>
      </c>
      <c r="U122">
        <f>ROUND((Source!FY76/100)*((ROUND(Source!AF76*Source!I76, 2)+ROUND(Source!AE76*Source!I76, 2))), 2)</f>
        <v>0</v>
      </c>
      <c r="V122">
        <f>Source!Y76</f>
        <v>0</v>
      </c>
    </row>
    <row r="123" spans="1:26" ht="15">
      <c r="G123" s="72">
        <f>H122</f>
        <v>1038.8699999999999</v>
      </c>
      <c r="H123" s="72"/>
      <c r="J123" s="72">
        <f>K122</f>
        <v>5495.62</v>
      </c>
      <c r="K123" s="72"/>
      <c r="L123" s="50">
        <f>Source!U76</f>
        <v>0</v>
      </c>
      <c r="O123" s="32">
        <f>G123</f>
        <v>1038.8699999999999</v>
      </c>
      <c r="P123" s="32">
        <f>J123</f>
        <v>5495.62</v>
      </c>
      <c r="Q123" s="32">
        <f>L123</f>
        <v>0</v>
      </c>
      <c r="W123">
        <f>IF(Source!BI76&lt;=1,H122, 0)</f>
        <v>1038.8699999999999</v>
      </c>
      <c r="X123">
        <f>IF(Source!BI76=2,H122, 0)</f>
        <v>0</v>
      </c>
      <c r="Y123">
        <f>IF(Source!BI76=3,H122, 0)</f>
        <v>0</v>
      </c>
      <c r="Z123">
        <f>IF(Source!BI76=4,H122, 0)</f>
        <v>0</v>
      </c>
    </row>
    <row r="124" spans="1:26" ht="79.5">
      <c r="A124" s="23" t="str">
        <f>Source!E77</f>
        <v>9</v>
      </c>
      <c r="B124" s="55" t="s">
        <v>651</v>
      </c>
      <c r="C124" s="55" t="str">
        <f>Source!G77</f>
        <v>Окраска поливинилацетатными водоэмульсионными составами улучшенная по сборным конструкциям стен, подготовленным под окраску</v>
      </c>
      <c r="D124" s="37" t="str">
        <f>Source!H77</f>
        <v>100 м2 окрашиваемой поверхности</v>
      </c>
      <c r="E124" s="10">
        <f>Source!I77</f>
        <v>0.51</v>
      </c>
      <c r="F124" s="38">
        <f>Source!AL77+Source!AM77+Source!AO77</f>
        <v>1295.04</v>
      </c>
      <c r="G124" s="39"/>
      <c r="H124" s="40"/>
      <c r="I124" s="39" t="str">
        <f>Source!BO77</f>
        <v>15-04-005-5</v>
      </c>
      <c r="J124" s="39"/>
      <c r="K124" s="40"/>
      <c r="L124" s="41"/>
      <c r="S124">
        <f>ROUND((Source!FX77/100)*((ROUND(Source!AF77*Source!I77, 2)+ROUND(Source!AE77*Source!I77, 2))), 2)</f>
        <v>120.39</v>
      </c>
      <c r="T124">
        <f>Source!X77</f>
        <v>4045.21</v>
      </c>
      <c r="U124">
        <f>ROUND((Source!FY77/100)*((ROUND(Source!AF77*Source!I77, 2)+ROUND(Source!AE77*Source!I77, 2))), 2)</f>
        <v>56.18</v>
      </c>
      <c r="V124">
        <f>Source!Y77</f>
        <v>1887.77</v>
      </c>
    </row>
    <row r="125" spans="1:26">
      <c r="C125" s="31" t="str">
        <f>"Объем: "&amp;Source!I77&amp;"=51/"&amp;"100"</f>
        <v>Объем: 0,51=51/100</v>
      </c>
    </row>
    <row r="126" spans="1:26" ht="14.25">
      <c r="A126" s="23"/>
      <c r="B126" s="55"/>
      <c r="C126" s="55" t="s">
        <v>640</v>
      </c>
      <c r="D126" s="37"/>
      <c r="E126" s="10"/>
      <c r="F126" s="38">
        <f>Source!AO77</f>
        <v>227.93</v>
      </c>
      <c r="G126" s="39" t="str">
        <f>Source!DG77</f>
        <v>)*1,15</v>
      </c>
      <c r="H126" s="40">
        <f>ROUND(Source!AF77*Source!I77, 2)</f>
        <v>133.68</v>
      </c>
      <c r="I126" s="39"/>
      <c r="J126" s="39">
        <f>IF(Source!BA77&lt;&gt; 0, Source!BA77, 1)</f>
        <v>33.6</v>
      </c>
      <c r="K126" s="40">
        <f>Source!S77</f>
        <v>4491.68</v>
      </c>
      <c r="L126" s="41"/>
      <c r="R126">
        <f>H126</f>
        <v>133.68</v>
      </c>
    </row>
    <row r="127" spans="1:26" ht="14.25">
      <c r="A127" s="23"/>
      <c r="B127" s="55"/>
      <c r="C127" s="55" t="s">
        <v>75</v>
      </c>
      <c r="D127" s="37"/>
      <c r="E127" s="10"/>
      <c r="F127" s="38">
        <f>Source!AM77</f>
        <v>9.0299999999999994</v>
      </c>
      <c r="G127" s="39" t="str">
        <f>Source!DE77</f>
        <v>)*1,25</v>
      </c>
      <c r="H127" s="40">
        <f>ROUND(Source!AD77*Source!I77, 2)</f>
        <v>5.76</v>
      </c>
      <c r="I127" s="39"/>
      <c r="J127" s="39">
        <f>IF(Source!BB77&lt;&gt; 0, Source!BB77, 1)</f>
        <v>10.84</v>
      </c>
      <c r="K127" s="40">
        <f>Source!Q77</f>
        <v>62.4</v>
      </c>
      <c r="L127" s="41"/>
    </row>
    <row r="128" spans="1:26" ht="14.25">
      <c r="A128" s="23"/>
      <c r="B128" s="55"/>
      <c r="C128" s="55" t="s">
        <v>641</v>
      </c>
      <c r="D128" s="37"/>
      <c r="E128" s="10"/>
      <c r="F128" s="38">
        <f>Source!AN77</f>
        <v>0.14000000000000001</v>
      </c>
      <c r="G128" s="39" t="str">
        <f>Source!DF77</f>
        <v>)*1,25</v>
      </c>
      <c r="H128" s="42">
        <f>ROUND(Source!AE77*Source!I77, 2)</f>
        <v>0.09</v>
      </c>
      <c r="I128" s="39"/>
      <c r="J128" s="39">
        <f>IF(Source!BS77&lt;&gt; 0, Source!BS77, 1)</f>
        <v>33.6</v>
      </c>
      <c r="K128" s="42">
        <f>Source!R77</f>
        <v>3</v>
      </c>
      <c r="L128" s="41"/>
      <c r="R128">
        <f>H128</f>
        <v>0.09</v>
      </c>
    </row>
    <row r="129" spans="1:26" ht="14.25">
      <c r="A129" s="23"/>
      <c r="B129" s="55"/>
      <c r="C129" s="55" t="s">
        <v>648</v>
      </c>
      <c r="D129" s="37"/>
      <c r="E129" s="10"/>
      <c r="F129" s="38">
        <f>Source!AL77</f>
        <v>1058.08</v>
      </c>
      <c r="G129" s="39" t="str">
        <f>Source!DD77</f>
        <v/>
      </c>
      <c r="H129" s="40">
        <f>ROUND(Source!AC77*Source!I77, 2)</f>
        <v>539.62</v>
      </c>
      <c r="I129" s="39"/>
      <c r="J129" s="39">
        <f>IF(Source!BC77&lt;&gt; 0, Source!BC77, 1)</f>
        <v>3.85</v>
      </c>
      <c r="K129" s="40">
        <f>Source!P77</f>
        <v>2077.54</v>
      </c>
      <c r="L129" s="41"/>
    </row>
    <row r="130" spans="1:26" ht="14.25">
      <c r="A130" s="23"/>
      <c r="B130" s="55"/>
      <c r="C130" s="55" t="s">
        <v>642</v>
      </c>
      <c r="D130" s="37" t="s">
        <v>643</v>
      </c>
      <c r="E130" s="10">
        <f>Source!BZ77</f>
        <v>90</v>
      </c>
      <c r="F130" s="58"/>
      <c r="G130" s="39"/>
      <c r="H130" s="40">
        <f>SUM(S124:S132)</f>
        <v>120.39</v>
      </c>
      <c r="I130" s="43"/>
      <c r="J130" s="36">
        <f>Source!AT77</f>
        <v>90</v>
      </c>
      <c r="K130" s="40">
        <f>SUM(T124:T132)</f>
        <v>4045.21</v>
      </c>
      <c r="L130" s="41"/>
    </row>
    <row r="131" spans="1:26" ht="14.25">
      <c r="A131" s="23"/>
      <c r="B131" s="55"/>
      <c r="C131" s="55" t="s">
        <v>644</v>
      </c>
      <c r="D131" s="37" t="s">
        <v>643</v>
      </c>
      <c r="E131" s="10">
        <f>Source!CA77</f>
        <v>42</v>
      </c>
      <c r="F131" s="58"/>
      <c r="G131" s="39"/>
      <c r="H131" s="40">
        <f>SUM(U124:U132)</f>
        <v>56.18</v>
      </c>
      <c r="I131" s="43"/>
      <c r="J131" s="36">
        <f>Source!AU77</f>
        <v>42</v>
      </c>
      <c r="K131" s="40">
        <f>SUM(V124:V132)</f>
        <v>1887.77</v>
      </c>
      <c r="L131" s="41"/>
    </row>
    <row r="132" spans="1:26" ht="14.25">
      <c r="A132" s="56"/>
      <c r="B132" s="57"/>
      <c r="C132" s="57" t="s">
        <v>645</v>
      </c>
      <c r="D132" s="44" t="s">
        <v>646</v>
      </c>
      <c r="E132" s="45">
        <f>Source!AQ77</f>
        <v>25.41</v>
      </c>
      <c r="F132" s="46"/>
      <c r="G132" s="47" t="str">
        <f>Source!DI77</f>
        <v>)*1,15</v>
      </c>
      <c r="H132" s="48"/>
      <c r="I132" s="47"/>
      <c r="J132" s="47"/>
      <c r="K132" s="48"/>
      <c r="L132" s="49">
        <f>Source!U77</f>
        <v>14.902965</v>
      </c>
    </row>
    <row r="133" spans="1:26" ht="15">
      <c r="G133" s="72">
        <f>H126+H127+H129+H130+H131</f>
        <v>855.62999999999988</v>
      </c>
      <c r="H133" s="72"/>
      <c r="J133" s="72">
        <f>K126+K127+K129+K130+K131</f>
        <v>12564.6</v>
      </c>
      <c r="K133" s="72"/>
      <c r="L133" s="50">
        <f>Source!U77</f>
        <v>14.902965</v>
      </c>
      <c r="O133" s="32">
        <f>G133</f>
        <v>855.62999999999988</v>
      </c>
      <c r="P133" s="32">
        <f>J133</f>
        <v>12564.6</v>
      </c>
      <c r="Q133" s="32">
        <f>L133</f>
        <v>14.902965</v>
      </c>
      <c r="W133">
        <f>IF(Source!BI77&lt;=1,H126+H127+H129+H130+H131, 0)</f>
        <v>855.62999999999988</v>
      </c>
      <c r="X133">
        <f>IF(Source!BI77=2,H126+H127+H129+H130+H131, 0)</f>
        <v>0</v>
      </c>
      <c r="Y133">
        <f>IF(Source!BI77=3,H126+H127+H129+H130+H131, 0)</f>
        <v>0</v>
      </c>
      <c r="Z133">
        <f>IF(Source!BI77=4,H126+H127+H129+H130+H131, 0)</f>
        <v>0</v>
      </c>
    </row>
    <row r="134" spans="1:26" ht="85.5">
      <c r="A134" s="23" t="str">
        <f>Source!E78</f>
        <v>10</v>
      </c>
      <c r="B134" s="55" t="s">
        <v>652</v>
      </c>
      <c r="C134" s="55" t="str">
        <f>Source!G78</f>
        <v>Сплошное выравнивание внутренних поверхностей (однослойное оштукатуривание)из сухих растворных смесей толщиной до 10 мм стен</v>
      </c>
      <c r="D134" s="37" t="str">
        <f>Source!H78</f>
        <v>100 м2 оштукатуриваемой поверхности</v>
      </c>
      <c r="E134" s="10">
        <f>Source!I78</f>
        <v>0.77900000000000003</v>
      </c>
      <c r="F134" s="38">
        <f>Source!AL78+Source!AM78+Source!AO78</f>
        <v>507.6</v>
      </c>
      <c r="G134" s="39"/>
      <c r="H134" s="40"/>
      <c r="I134" s="39" t="str">
        <f>Source!BO78</f>
        <v>15-02-019-3</v>
      </c>
      <c r="J134" s="39"/>
      <c r="K134" s="40"/>
      <c r="L134" s="41"/>
      <c r="S134">
        <f>ROUND((Source!FX78/100)*((ROUND(Source!AF78*Source!I78, 2)+ROUND(Source!AE78*Source!I78, 2))), 2)</f>
        <v>397.63</v>
      </c>
      <c r="T134">
        <f>Source!X78</f>
        <v>13360.38</v>
      </c>
      <c r="U134">
        <f>ROUND((Source!FY78/100)*((ROUND(Source!AF78*Source!I78, 2)+ROUND(Source!AE78*Source!I78, 2))), 2)</f>
        <v>185.56</v>
      </c>
      <c r="V134">
        <f>Source!Y78</f>
        <v>6234.85</v>
      </c>
    </row>
    <row r="135" spans="1:26">
      <c r="C135" s="31" t="str">
        <f>"Объем: "&amp;Source!I78&amp;"=77,9/"&amp;"100"</f>
        <v>Объем: 0,779=77,9/100</v>
      </c>
    </row>
    <row r="136" spans="1:26" ht="14.25">
      <c r="A136" s="23"/>
      <c r="B136" s="55"/>
      <c r="C136" s="55" t="s">
        <v>640</v>
      </c>
      <c r="D136" s="37"/>
      <c r="E136" s="10"/>
      <c r="F136" s="38">
        <f>Source!AO78</f>
        <v>476.35</v>
      </c>
      <c r="G136" s="39" t="str">
        <f>Source!DG78</f>
        <v>)*1,15</v>
      </c>
      <c r="H136" s="40">
        <f>ROUND(Source!AF78*Source!I78, 2)</f>
        <v>426.74</v>
      </c>
      <c r="I136" s="39"/>
      <c r="J136" s="39">
        <f>IF(Source!BA78&lt;&gt; 0, Source!BA78, 1)</f>
        <v>33.6</v>
      </c>
      <c r="K136" s="40">
        <f>Source!S78</f>
        <v>14338.4</v>
      </c>
      <c r="L136" s="41"/>
      <c r="R136">
        <f>H136</f>
        <v>426.74</v>
      </c>
    </row>
    <row r="137" spans="1:26" ht="14.25">
      <c r="A137" s="23"/>
      <c r="B137" s="55"/>
      <c r="C137" s="55" t="s">
        <v>75</v>
      </c>
      <c r="D137" s="37"/>
      <c r="E137" s="10"/>
      <c r="F137" s="38">
        <f>Source!AM78</f>
        <v>29.71</v>
      </c>
      <c r="G137" s="39" t="str">
        <f>Source!DE78</f>
        <v/>
      </c>
      <c r="H137" s="40">
        <f>ROUND(Source!AD78*Source!I78, 2)</f>
        <v>23.14</v>
      </c>
      <c r="I137" s="39"/>
      <c r="J137" s="39">
        <f>IF(Source!BB78&lt;&gt; 0, Source!BB78, 1)</f>
        <v>24.23</v>
      </c>
      <c r="K137" s="40">
        <f>Source!Q78</f>
        <v>560.78</v>
      </c>
      <c r="L137" s="41"/>
    </row>
    <row r="138" spans="1:26" ht="14.25">
      <c r="A138" s="23"/>
      <c r="B138" s="55"/>
      <c r="C138" s="55" t="s">
        <v>641</v>
      </c>
      <c r="D138" s="37"/>
      <c r="E138" s="10"/>
      <c r="F138" s="38">
        <f>Source!AN78</f>
        <v>19.350000000000001</v>
      </c>
      <c r="G138" s="39" t="str">
        <f>Source!DF78</f>
        <v/>
      </c>
      <c r="H138" s="42">
        <f>ROUND(Source!AE78*Source!I78, 2)</f>
        <v>15.07</v>
      </c>
      <c r="I138" s="39"/>
      <c r="J138" s="39">
        <f>IF(Source!BS78&lt;&gt; 0, Source!BS78, 1)</f>
        <v>33.6</v>
      </c>
      <c r="K138" s="42">
        <f>Source!R78</f>
        <v>506.47</v>
      </c>
      <c r="L138" s="41"/>
      <c r="R138">
        <f>H138</f>
        <v>15.07</v>
      </c>
    </row>
    <row r="139" spans="1:26" ht="14.25">
      <c r="A139" s="23"/>
      <c r="B139" s="55"/>
      <c r="C139" s="55" t="s">
        <v>648</v>
      </c>
      <c r="D139" s="37"/>
      <c r="E139" s="10"/>
      <c r="F139" s="38">
        <f>Source!AL78</f>
        <v>1.54</v>
      </c>
      <c r="G139" s="39" t="str">
        <f>Source!DD78</f>
        <v/>
      </c>
      <c r="H139" s="40">
        <f>ROUND(Source!AC78*Source!I78, 2)</f>
        <v>1.2</v>
      </c>
      <c r="I139" s="39"/>
      <c r="J139" s="39">
        <f>IF(Source!BC78&lt;&gt; 0, Source!BC78, 1)</f>
        <v>9.08</v>
      </c>
      <c r="K139" s="40">
        <f>Source!P78</f>
        <v>10.89</v>
      </c>
      <c r="L139" s="41"/>
    </row>
    <row r="140" spans="1:26" ht="14.25">
      <c r="A140" s="23"/>
      <c r="B140" s="55"/>
      <c r="C140" s="55" t="s">
        <v>642</v>
      </c>
      <c r="D140" s="37" t="s">
        <v>643</v>
      </c>
      <c r="E140" s="10">
        <f>Source!BZ78</f>
        <v>90</v>
      </c>
      <c r="F140" s="58"/>
      <c r="G140" s="39"/>
      <c r="H140" s="40">
        <f>SUM(S134:S143)</f>
        <v>397.63</v>
      </c>
      <c r="I140" s="43"/>
      <c r="J140" s="36">
        <f>Source!AT78</f>
        <v>90</v>
      </c>
      <c r="K140" s="40">
        <f>SUM(T134:T143)</f>
        <v>13360.38</v>
      </c>
      <c r="L140" s="41"/>
    </row>
    <row r="141" spans="1:26" ht="14.25">
      <c r="A141" s="23"/>
      <c r="B141" s="55"/>
      <c r="C141" s="55" t="s">
        <v>644</v>
      </c>
      <c r="D141" s="37" t="s">
        <v>643</v>
      </c>
      <c r="E141" s="10">
        <f>Source!CA78</f>
        <v>42</v>
      </c>
      <c r="F141" s="58"/>
      <c r="G141" s="39"/>
      <c r="H141" s="40">
        <f>SUM(U134:U143)</f>
        <v>185.56</v>
      </c>
      <c r="I141" s="43"/>
      <c r="J141" s="36">
        <f>Source!AU78</f>
        <v>42</v>
      </c>
      <c r="K141" s="40">
        <f>SUM(V134:V143)</f>
        <v>6234.85</v>
      </c>
      <c r="L141" s="41"/>
    </row>
    <row r="142" spans="1:26" ht="14.25">
      <c r="A142" s="23"/>
      <c r="B142" s="55"/>
      <c r="C142" s="55" t="s">
        <v>645</v>
      </c>
      <c r="D142" s="37" t="s">
        <v>646</v>
      </c>
      <c r="E142" s="10">
        <f>Source!AQ78</f>
        <v>51.89</v>
      </c>
      <c r="F142" s="38"/>
      <c r="G142" s="39" t="str">
        <f>Source!DI78</f>
        <v>)*1,15</v>
      </c>
      <c r="H142" s="40"/>
      <c r="I142" s="39"/>
      <c r="J142" s="39"/>
      <c r="K142" s="40"/>
      <c r="L142" s="51">
        <f>Source!U78</f>
        <v>46.485656499999997</v>
      </c>
    </row>
    <row r="143" spans="1:26" ht="14.25">
      <c r="A143" s="56" t="str">
        <f>Source!E79</f>
        <v>10,1</v>
      </c>
      <c r="B143" s="57" t="str">
        <f>Source!F79</f>
        <v>402-0077</v>
      </c>
      <c r="C143" s="57" t="str">
        <f>Source!G79</f>
        <v>Смесь штукатурная «Ротбанд», КНАУФ</v>
      </c>
      <c r="D143" s="44" t="str">
        <f>Source!H79</f>
        <v>кг</v>
      </c>
      <c r="E143" s="45">
        <f>Source!I79</f>
        <v>345.68875200000002</v>
      </c>
      <c r="F143" s="46">
        <f>Source!AL79+Source!AM79+Source!AO79</f>
        <v>2.09</v>
      </c>
      <c r="G143" s="52" t="s">
        <v>3</v>
      </c>
      <c r="H143" s="48">
        <f>ROUND(Source!AC79*Source!I79, 2)+ROUND(Source!AD79*Source!I79, 2)+ROUND(Source!AF79*Source!I79, 2)</f>
        <v>722.49</v>
      </c>
      <c r="I143" s="47"/>
      <c r="J143" s="47">
        <f>IF(Source!BC79&lt;&gt; 0, Source!BC79, 1)</f>
        <v>5.74</v>
      </c>
      <c r="K143" s="48">
        <f>Source!O79</f>
        <v>4147.09</v>
      </c>
      <c r="L143" s="53"/>
      <c r="S143">
        <f>ROUND((Source!FX79/100)*((ROUND(Source!AF79*Source!I79, 2)+ROUND(Source!AE79*Source!I79, 2))), 2)</f>
        <v>0</v>
      </c>
      <c r="T143">
        <f>Source!X79</f>
        <v>0</v>
      </c>
      <c r="U143">
        <f>ROUND((Source!FY79/100)*((ROUND(Source!AF79*Source!I79, 2)+ROUND(Source!AE79*Source!I79, 2))), 2)</f>
        <v>0</v>
      </c>
      <c r="V143">
        <f>Source!Y79</f>
        <v>0</v>
      </c>
      <c r="W143">
        <f>IF(Source!BI79&lt;=1,H143, 0)</f>
        <v>722.49</v>
      </c>
      <c r="X143">
        <f>IF(Source!BI79=2,H143, 0)</f>
        <v>0</v>
      </c>
      <c r="Y143">
        <f>IF(Source!BI79=3,H143, 0)</f>
        <v>0</v>
      </c>
      <c r="Z143">
        <f>IF(Source!BI79=4,H143, 0)</f>
        <v>0</v>
      </c>
    </row>
    <row r="144" spans="1:26" ht="15">
      <c r="G144" s="72">
        <f>H136+H137+H139+H140+H141+SUM(H143:H143)</f>
        <v>1756.76</v>
      </c>
      <c r="H144" s="72"/>
      <c r="J144" s="72">
        <f>K136+K137+K139+K140+K141+SUM(K143:K143)</f>
        <v>38652.39</v>
      </c>
      <c r="K144" s="72"/>
      <c r="L144" s="50">
        <f>Source!U78</f>
        <v>46.485656499999997</v>
      </c>
      <c r="O144" s="32">
        <f>G144</f>
        <v>1756.76</v>
      </c>
      <c r="P144" s="32">
        <f>J144</f>
        <v>38652.39</v>
      </c>
      <c r="Q144" s="32">
        <f>L144</f>
        <v>46.485656499999997</v>
      </c>
      <c r="W144">
        <f>IF(Source!BI78&lt;=1,H136+H137+H139+H140+H141, 0)</f>
        <v>1034.27</v>
      </c>
      <c r="X144">
        <f>IF(Source!BI78=2,H136+H137+H139+H140+H141, 0)</f>
        <v>0</v>
      </c>
      <c r="Y144">
        <f>IF(Source!BI78=3,H136+H137+H139+H140+H141, 0)</f>
        <v>0</v>
      </c>
      <c r="Z144">
        <f>IF(Source!BI78=4,H136+H137+H139+H140+H141, 0)</f>
        <v>0</v>
      </c>
    </row>
    <row r="145" spans="1:26" ht="79.5">
      <c r="A145" s="23" t="str">
        <f>Source!E80</f>
        <v>15</v>
      </c>
      <c r="B145" s="55" t="s">
        <v>653</v>
      </c>
      <c r="C145" s="55" t="str">
        <f>Source!G80</f>
        <v>Окраска поливинилацетатными водоэмульсионными составами улучшенная по штукатурке стен</v>
      </c>
      <c r="D145" s="37" t="str">
        <f>Source!H80</f>
        <v>100 м2 окрашиваемой поверхности</v>
      </c>
      <c r="E145" s="10">
        <f>Source!I80</f>
        <v>0.77900000000000003</v>
      </c>
      <c r="F145" s="38">
        <f>Source!AL80+Source!AM80+Source!AO80</f>
        <v>1654.11</v>
      </c>
      <c r="G145" s="39"/>
      <c r="H145" s="40"/>
      <c r="I145" s="39" t="str">
        <f>Source!BO80</f>
        <v>15-04-005-3</v>
      </c>
      <c r="J145" s="39"/>
      <c r="K145" s="40"/>
      <c r="L145" s="41"/>
      <c r="S145">
        <f>ROUND((Source!FX80/100)*((ROUND(Source!AF80*Source!I80, 2)+ROUND(Source!AE80*Source!I80, 2))), 2)</f>
        <v>310.49</v>
      </c>
      <c r="T145">
        <f>Source!X80</f>
        <v>10432.65</v>
      </c>
      <c r="U145">
        <f>ROUND((Source!FY80/100)*((ROUND(Source!AF80*Source!I80, 2)+ROUND(Source!AE80*Source!I80, 2))), 2)</f>
        <v>144.9</v>
      </c>
      <c r="V145">
        <f>Source!Y80</f>
        <v>4868.57</v>
      </c>
    </row>
    <row r="146" spans="1:26">
      <c r="C146" s="31" t="str">
        <f>"Объем: "&amp;Source!I80&amp;"=77,9/"&amp;"100"</f>
        <v>Объем: 0,779=77,9/100</v>
      </c>
    </row>
    <row r="147" spans="1:26" ht="14.25">
      <c r="A147" s="23"/>
      <c r="B147" s="55"/>
      <c r="C147" s="55" t="s">
        <v>640</v>
      </c>
      <c r="D147" s="37"/>
      <c r="E147" s="10"/>
      <c r="F147" s="38">
        <f>Source!AO80</f>
        <v>384.81</v>
      </c>
      <c r="G147" s="39" t="str">
        <f>Source!DG80</f>
        <v>)*1,15</v>
      </c>
      <c r="H147" s="40">
        <f>ROUND(Source!AF80*Source!I80, 2)</f>
        <v>344.73</v>
      </c>
      <c r="I147" s="39"/>
      <c r="J147" s="39">
        <f>IF(Source!BA80&lt;&gt; 0, Source!BA80, 1)</f>
        <v>33.6</v>
      </c>
      <c r="K147" s="40">
        <f>Source!S80</f>
        <v>11583</v>
      </c>
      <c r="L147" s="41"/>
      <c r="R147">
        <f>H147</f>
        <v>344.73</v>
      </c>
    </row>
    <row r="148" spans="1:26" ht="14.25">
      <c r="A148" s="23"/>
      <c r="B148" s="55"/>
      <c r="C148" s="55" t="s">
        <v>75</v>
      </c>
      <c r="D148" s="37"/>
      <c r="E148" s="10"/>
      <c r="F148" s="38">
        <f>Source!AM80</f>
        <v>13.7</v>
      </c>
      <c r="G148" s="39" t="str">
        <f>Source!DE80</f>
        <v>)*1,25</v>
      </c>
      <c r="H148" s="40">
        <f>ROUND(Source!AD80*Source!I80, 2)</f>
        <v>13.34</v>
      </c>
      <c r="I148" s="39"/>
      <c r="J148" s="39">
        <f>IF(Source!BB80&lt;&gt; 0, Source!BB80, 1)</f>
        <v>10.89</v>
      </c>
      <c r="K148" s="40">
        <f>Source!Q80</f>
        <v>145.28</v>
      </c>
      <c r="L148" s="41"/>
    </row>
    <row r="149" spans="1:26" ht="14.25">
      <c r="A149" s="23"/>
      <c r="B149" s="55"/>
      <c r="C149" s="55" t="s">
        <v>641</v>
      </c>
      <c r="D149" s="37"/>
      <c r="E149" s="10"/>
      <c r="F149" s="38">
        <f>Source!AN80</f>
        <v>0.27</v>
      </c>
      <c r="G149" s="39" t="str">
        <f>Source!DF80</f>
        <v>)*1,25</v>
      </c>
      <c r="H149" s="42">
        <f>ROUND(Source!AE80*Source!I80, 2)</f>
        <v>0.26</v>
      </c>
      <c r="I149" s="39"/>
      <c r="J149" s="39">
        <f>IF(Source!BS80&lt;&gt; 0, Source!BS80, 1)</f>
        <v>33.6</v>
      </c>
      <c r="K149" s="42">
        <f>Source!R80</f>
        <v>8.83</v>
      </c>
      <c r="L149" s="41"/>
      <c r="R149">
        <f>H149</f>
        <v>0.26</v>
      </c>
    </row>
    <row r="150" spans="1:26" ht="14.25">
      <c r="A150" s="23"/>
      <c r="B150" s="55"/>
      <c r="C150" s="55" t="s">
        <v>648</v>
      </c>
      <c r="D150" s="37"/>
      <c r="E150" s="10"/>
      <c r="F150" s="38">
        <f>Source!AL80</f>
        <v>1255.5999999999999</v>
      </c>
      <c r="G150" s="39" t="str">
        <f>Source!DD80</f>
        <v/>
      </c>
      <c r="H150" s="40">
        <f>ROUND(Source!AC80*Source!I80, 2)</f>
        <v>978.11</v>
      </c>
      <c r="I150" s="39"/>
      <c r="J150" s="39">
        <f>IF(Source!BC80&lt;&gt; 0, Source!BC80, 1)</f>
        <v>3.98</v>
      </c>
      <c r="K150" s="40">
        <f>Source!P80</f>
        <v>3892.89</v>
      </c>
      <c r="L150" s="41"/>
    </row>
    <row r="151" spans="1:26" ht="14.25">
      <c r="A151" s="23"/>
      <c r="B151" s="55"/>
      <c r="C151" s="55" t="s">
        <v>642</v>
      </c>
      <c r="D151" s="37" t="s">
        <v>643</v>
      </c>
      <c r="E151" s="10">
        <f>Source!BZ80</f>
        <v>90</v>
      </c>
      <c r="F151" s="58"/>
      <c r="G151" s="39"/>
      <c r="H151" s="40">
        <f>SUM(S145:S153)</f>
        <v>310.49</v>
      </c>
      <c r="I151" s="43"/>
      <c r="J151" s="36">
        <f>Source!AT80</f>
        <v>90</v>
      </c>
      <c r="K151" s="40">
        <f>SUM(T145:T153)</f>
        <v>10432.65</v>
      </c>
      <c r="L151" s="41"/>
    </row>
    <row r="152" spans="1:26" ht="14.25">
      <c r="A152" s="23"/>
      <c r="B152" s="55"/>
      <c r="C152" s="55" t="s">
        <v>644</v>
      </c>
      <c r="D152" s="37" t="s">
        <v>643</v>
      </c>
      <c r="E152" s="10">
        <f>Source!CA80</f>
        <v>42</v>
      </c>
      <c r="F152" s="58"/>
      <c r="G152" s="39"/>
      <c r="H152" s="40">
        <f>SUM(U145:U153)</f>
        <v>144.9</v>
      </c>
      <c r="I152" s="43"/>
      <c r="J152" s="36">
        <f>Source!AU80</f>
        <v>42</v>
      </c>
      <c r="K152" s="40">
        <f>SUM(V145:V153)</f>
        <v>4868.57</v>
      </c>
      <c r="L152" s="41"/>
    </row>
    <row r="153" spans="1:26" ht="14.25">
      <c r="A153" s="56"/>
      <c r="B153" s="57"/>
      <c r="C153" s="57" t="s">
        <v>645</v>
      </c>
      <c r="D153" s="44" t="s">
        <v>646</v>
      </c>
      <c r="E153" s="45">
        <f>Source!AQ80</f>
        <v>42.9</v>
      </c>
      <c r="F153" s="46"/>
      <c r="G153" s="47" t="str">
        <f>Source!DI80</f>
        <v>)*1,15</v>
      </c>
      <c r="H153" s="48"/>
      <c r="I153" s="47"/>
      <c r="J153" s="47"/>
      <c r="K153" s="48"/>
      <c r="L153" s="49">
        <f>Source!U80</f>
        <v>38.431964999999998</v>
      </c>
    </row>
    <row r="154" spans="1:26" ht="15">
      <c r="G154" s="72">
        <f>H147+H148+H150+H151+H152</f>
        <v>1791.5700000000002</v>
      </c>
      <c r="H154" s="72"/>
      <c r="J154" s="72">
        <f>K147+K148+K150+K151+K152</f>
        <v>30922.39</v>
      </c>
      <c r="K154" s="72"/>
      <c r="L154" s="50">
        <f>Source!U80</f>
        <v>38.431964999999998</v>
      </c>
      <c r="O154" s="32">
        <f>G154</f>
        <v>1791.5700000000002</v>
      </c>
      <c r="P154" s="32">
        <f>J154</f>
        <v>30922.39</v>
      </c>
      <c r="Q154" s="32">
        <f>L154</f>
        <v>38.431964999999998</v>
      </c>
      <c r="W154">
        <f>IF(Source!BI80&lt;=1,H147+H148+H150+H151+H152, 0)</f>
        <v>1791.5700000000002</v>
      </c>
      <c r="X154">
        <f>IF(Source!BI80=2,H147+H148+H150+H151+H152, 0)</f>
        <v>0</v>
      </c>
      <c r="Y154">
        <f>IF(Source!BI80=3,H147+H148+H150+H151+H152, 0)</f>
        <v>0</v>
      </c>
      <c r="Z154">
        <f>IF(Source!BI80=4,H147+H148+H150+H151+H152, 0)</f>
        <v>0</v>
      </c>
    </row>
    <row r="155" spans="1:26" ht="79.5">
      <c r="A155" s="23" t="str">
        <f>Source!E81</f>
        <v>17</v>
      </c>
      <c r="B155" s="55" t="s">
        <v>654</v>
      </c>
      <c r="C155" s="55" t="str">
        <f>Source!G81</f>
        <v>Укладка лаг по плитам перекрытий</v>
      </c>
      <c r="D155" s="37" t="str">
        <f>Source!H81</f>
        <v>100 м2 пола</v>
      </c>
      <c r="E155" s="10">
        <f>Source!I81</f>
        <v>0.90800000000000003</v>
      </c>
      <c r="F155" s="38">
        <f>Source!AL81+Source!AM81+Source!AO81</f>
        <v>2068.7799999999997</v>
      </c>
      <c r="G155" s="39"/>
      <c r="H155" s="40"/>
      <c r="I155" s="39" t="str">
        <f>Source!BO81</f>
        <v>11-01-012-3</v>
      </c>
      <c r="J155" s="39"/>
      <c r="K155" s="40"/>
      <c r="L155" s="41"/>
      <c r="S155">
        <f>ROUND((Source!FX81/100)*((ROUND(Source!AF81*Source!I81, 2)+ROUND(Source!AE81*Source!I81, 2))), 2)</f>
        <v>323.75</v>
      </c>
      <c r="T155">
        <f>Source!X81</f>
        <v>10877.89</v>
      </c>
      <c r="U155">
        <f>ROUND((Source!FY81/100)*((ROUND(Source!AF81*Source!I81, 2)+ROUND(Source!AE81*Source!I81, 2))), 2)</f>
        <v>176.3</v>
      </c>
      <c r="V155">
        <f>Source!Y81</f>
        <v>5923.6</v>
      </c>
    </row>
    <row r="156" spans="1:26">
      <c r="C156" s="31" t="str">
        <f>"Объем: "&amp;Source!I81&amp;"=90,8/"&amp;"100"</f>
        <v>Объем: 0,908=90,8/100</v>
      </c>
    </row>
    <row r="157" spans="1:26" ht="14.25">
      <c r="A157" s="23"/>
      <c r="B157" s="55"/>
      <c r="C157" s="55" t="s">
        <v>640</v>
      </c>
      <c r="D157" s="37"/>
      <c r="E157" s="10"/>
      <c r="F157" s="38">
        <f>Source!AO81</f>
        <v>304.86</v>
      </c>
      <c r="G157" s="39" t="str">
        <f>Source!DG81</f>
        <v>)*1,15</v>
      </c>
      <c r="H157" s="40">
        <f>ROUND(Source!AF81*Source!I81, 2)</f>
        <v>318.33</v>
      </c>
      <c r="I157" s="39"/>
      <c r="J157" s="39">
        <f>IF(Source!BA81&lt;&gt; 0, Source!BA81, 1)</f>
        <v>33.6</v>
      </c>
      <c r="K157" s="40">
        <f>Source!S81</f>
        <v>10696.05</v>
      </c>
      <c r="L157" s="41"/>
      <c r="R157">
        <f>H157</f>
        <v>318.33</v>
      </c>
    </row>
    <row r="158" spans="1:26" ht="14.25">
      <c r="A158" s="23"/>
      <c r="B158" s="55"/>
      <c r="C158" s="55" t="s">
        <v>75</v>
      </c>
      <c r="D158" s="37"/>
      <c r="E158" s="10"/>
      <c r="F158" s="38">
        <f>Source!AM81</f>
        <v>28.6</v>
      </c>
      <c r="G158" s="39" t="str">
        <f>Source!DE81</f>
        <v/>
      </c>
      <c r="H158" s="40">
        <f>ROUND(Source!AD81*Source!I81, 2)</f>
        <v>25.97</v>
      </c>
      <c r="I158" s="39"/>
      <c r="J158" s="39">
        <f>IF(Source!BB81&lt;&gt; 0, Source!BB81, 1)</f>
        <v>11.52</v>
      </c>
      <c r="K158" s="40">
        <f>Source!Q81</f>
        <v>299.16000000000003</v>
      </c>
      <c r="L158" s="41"/>
    </row>
    <row r="159" spans="1:26" ht="14.25">
      <c r="A159" s="23"/>
      <c r="B159" s="55"/>
      <c r="C159" s="55" t="s">
        <v>641</v>
      </c>
      <c r="D159" s="37"/>
      <c r="E159" s="10"/>
      <c r="F159" s="38">
        <f>Source!AN81</f>
        <v>2.4300000000000002</v>
      </c>
      <c r="G159" s="39" t="str">
        <f>Source!DF81</f>
        <v/>
      </c>
      <c r="H159" s="42">
        <f>ROUND(Source!AE81*Source!I81, 2)</f>
        <v>2.21</v>
      </c>
      <c r="I159" s="39"/>
      <c r="J159" s="39">
        <f>IF(Source!BS81&lt;&gt; 0, Source!BS81, 1)</f>
        <v>33.6</v>
      </c>
      <c r="K159" s="42">
        <f>Source!R81</f>
        <v>74.14</v>
      </c>
      <c r="L159" s="41"/>
      <c r="R159">
        <f>H159</f>
        <v>2.21</v>
      </c>
    </row>
    <row r="160" spans="1:26" ht="14.25">
      <c r="A160" s="23"/>
      <c r="B160" s="55"/>
      <c r="C160" s="55" t="s">
        <v>648</v>
      </c>
      <c r="D160" s="37"/>
      <c r="E160" s="10"/>
      <c r="F160" s="38">
        <f>Source!AL81</f>
        <v>1735.32</v>
      </c>
      <c r="G160" s="39" t="str">
        <f>Source!DD81</f>
        <v/>
      </c>
      <c r="H160" s="40">
        <f>ROUND(Source!AC81*Source!I81, 2)</f>
        <v>1575.67</v>
      </c>
      <c r="I160" s="39"/>
      <c r="J160" s="39">
        <f>IF(Source!BC81&lt;&gt; 0, Source!BC81, 1)</f>
        <v>4.22</v>
      </c>
      <c r="K160" s="40">
        <f>Source!P81</f>
        <v>6649.33</v>
      </c>
      <c r="L160" s="41"/>
    </row>
    <row r="161" spans="1:26" ht="14.25">
      <c r="A161" s="23"/>
      <c r="B161" s="55"/>
      <c r="C161" s="55" t="s">
        <v>642</v>
      </c>
      <c r="D161" s="37" t="s">
        <v>643</v>
      </c>
      <c r="E161" s="10">
        <f>Source!BZ81</f>
        <v>101</v>
      </c>
      <c r="F161" s="58"/>
      <c r="G161" s="39"/>
      <c r="H161" s="40">
        <f>SUM(S155:S163)</f>
        <v>323.75</v>
      </c>
      <c r="I161" s="43"/>
      <c r="J161" s="36">
        <f>Source!AT81</f>
        <v>101</v>
      </c>
      <c r="K161" s="40">
        <f>SUM(T155:T163)</f>
        <v>10877.89</v>
      </c>
      <c r="L161" s="41"/>
    </row>
    <row r="162" spans="1:26" ht="14.25">
      <c r="A162" s="23"/>
      <c r="B162" s="55"/>
      <c r="C162" s="55" t="s">
        <v>644</v>
      </c>
      <c r="D162" s="37" t="s">
        <v>643</v>
      </c>
      <c r="E162" s="10">
        <f>Source!CA81</f>
        <v>55</v>
      </c>
      <c r="F162" s="58"/>
      <c r="G162" s="39"/>
      <c r="H162" s="40">
        <f>SUM(U155:U163)</f>
        <v>176.3</v>
      </c>
      <c r="I162" s="43"/>
      <c r="J162" s="36">
        <f>Source!AU81</f>
        <v>55</v>
      </c>
      <c r="K162" s="40">
        <f>SUM(V155:V163)</f>
        <v>5923.6</v>
      </c>
      <c r="L162" s="41"/>
    </row>
    <row r="163" spans="1:26" ht="14.25">
      <c r="A163" s="56"/>
      <c r="B163" s="57"/>
      <c r="C163" s="57" t="s">
        <v>645</v>
      </c>
      <c r="D163" s="44" t="s">
        <v>646</v>
      </c>
      <c r="E163" s="45">
        <f>Source!AQ81</f>
        <v>35.74</v>
      </c>
      <c r="F163" s="46"/>
      <c r="G163" s="47" t="str">
        <f>Source!DI81</f>
        <v>)*1,15</v>
      </c>
      <c r="H163" s="48"/>
      <c r="I163" s="47"/>
      <c r="J163" s="47"/>
      <c r="K163" s="48"/>
      <c r="L163" s="49">
        <f>Source!U81</f>
        <v>37.319707999999999</v>
      </c>
    </row>
    <row r="164" spans="1:26" ht="15">
      <c r="G164" s="72">
        <f>H157+H158+H160+H161+H162</f>
        <v>2420.0200000000004</v>
      </c>
      <c r="H164" s="72"/>
      <c r="J164" s="72">
        <f>K157+K158+K160+K161+K162</f>
        <v>34446.03</v>
      </c>
      <c r="K164" s="72"/>
      <c r="L164" s="50">
        <f>Source!U81</f>
        <v>37.319707999999999</v>
      </c>
      <c r="O164" s="32">
        <f>G164</f>
        <v>2420.0200000000004</v>
      </c>
      <c r="P164" s="32">
        <f>J164</f>
        <v>34446.03</v>
      </c>
      <c r="Q164" s="32">
        <f>L164</f>
        <v>37.319707999999999</v>
      </c>
      <c r="W164">
        <f>IF(Source!BI81&lt;=1,H157+H158+H160+H161+H162, 0)</f>
        <v>2420.0200000000004</v>
      </c>
      <c r="X164">
        <f>IF(Source!BI81=2,H157+H158+H160+H161+H162, 0)</f>
        <v>0</v>
      </c>
      <c r="Y164">
        <f>IF(Source!BI81=3,H157+H158+H160+H161+H162, 0)</f>
        <v>0</v>
      </c>
      <c r="Z164">
        <f>IF(Source!BI81=4,H157+H158+H160+H161+H162, 0)</f>
        <v>0</v>
      </c>
    </row>
    <row r="165" spans="1:26" ht="28.5">
      <c r="A165" s="23" t="str">
        <f>Source!E82</f>
        <v>18</v>
      </c>
      <c r="B165" s="55" t="str">
        <f>Source!F82</f>
        <v>57-8-3</v>
      </c>
      <c r="C165" s="55" t="str">
        <f>Source!G82</f>
        <v>Смена простильных дощатых полов с полной сменой досок</v>
      </c>
      <c r="D165" s="37" t="str">
        <f>Source!H82</f>
        <v>100 м2 пола</v>
      </c>
      <c r="E165" s="10">
        <f>Source!I82</f>
        <v>0.90800000000000003</v>
      </c>
      <c r="F165" s="38">
        <f>Source!AL82+Source!AM82+Source!AO82</f>
        <v>5584.57</v>
      </c>
      <c r="G165" s="39"/>
      <c r="H165" s="40"/>
      <c r="I165" s="39" t="str">
        <f>Source!BO82</f>
        <v>57-8-3</v>
      </c>
      <c r="J165" s="39"/>
      <c r="K165" s="40"/>
      <c r="L165" s="41"/>
      <c r="S165">
        <f>ROUND((Source!FX82/100)*((ROUND(Source!AF82*Source!I82, 2)+ROUND(Source!AE82*Source!I82, 2))), 2)</f>
        <v>410.93</v>
      </c>
      <c r="T165">
        <f>Source!X82</f>
        <v>13807.21</v>
      </c>
      <c r="U165">
        <f>ROUND((Source!FY82/100)*((ROUND(Source!AF82*Source!I82, 2)+ROUND(Source!AE82*Source!I82, 2))), 2)</f>
        <v>226.24</v>
      </c>
      <c r="V165">
        <f>Source!Y82</f>
        <v>7601.72</v>
      </c>
    </row>
    <row r="166" spans="1:26">
      <c r="C166" s="31" t="str">
        <f>"Объем: "&amp;Source!I82&amp;"=90,8/"&amp;"100"</f>
        <v>Объем: 0,908=90,8/100</v>
      </c>
    </row>
    <row r="167" spans="1:26" ht="14.25">
      <c r="A167" s="23"/>
      <c r="B167" s="55"/>
      <c r="C167" s="55" t="s">
        <v>640</v>
      </c>
      <c r="D167" s="37"/>
      <c r="E167" s="10"/>
      <c r="F167" s="38">
        <f>Source!AO82</f>
        <v>502.15</v>
      </c>
      <c r="G167" s="39" t="str">
        <f>Source!DG82</f>
        <v/>
      </c>
      <c r="H167" s="40">
        <f>ROUND(Source!AF82*Source!I82, 2)</f>
        <v>455.95</v>
      </c>
      <c r="I167" s="39"/>
      <c r="J167" s="39">
        <f>IF(Source!BA82&lt;&gt; 0, Source!BA82, 1)</f>
        <v>33.6</v>
      </c>
      <c r="K167" s="40">
        <f>Source!S82</f>
        <v>15319.99</v>
      </c>
      <c r="L167" s="41"/>
      <c r="R167">
        <f>H167</f>
        <v>455.95</v>
      </c>
    </row>
    <row r="168" spans="1:26" ht="14.25">
      <c r="A168" s="23"/>
      <c r="B168" s="55"/>
      <c r="C168" s="55" t="s">
        <v>75</v>
      </c>
      <c r="D168" s="37"/>
      <c r="E168" s="10"/>
      <c r="F168" s="38">
        <f>Source!AM82</f>
        <v>75.709999999999994</v>
      </c>
      <c r="G168" s="39" t="str">
        <f>Source!DE82</f>
        <v/>
      </c>
      <c r="H168" s="40">
        <f>ROUND(Source!AD82*Source!I82, 2)</f>
        <v>68.739999999999995</v>
      </c>
      <c r="I168" s="39"/>
      <c r="J168" s="39">
        <f>IF(Source!BB82&lt;&gt; 0, Source!BB82, 1)</f>
        <v>11.52</v>
      </c>
      <c r="K168" s="40">
        <f>Source!Q82</f>
        <v>791.94</v>
      </c>
      <c r="L168" s="41"/>
    </row>
    <row r="169" spans="1:26" ht="14.25">
      <c r="A169" s="23"/>
      <c r="B169" s="55"/>
      <c r="C169" s="55" t="s">
        <v>641</v>
      </c>
      <c r="D169" s="37"/>
      <c r="E169" s="10"/>
      <c r="F169" s="38">
        <f>Source!AN82</f>
        <v>6.35</v>
      </c>
      <c r="G169" s="39" t="str">
        <f>Source!DF82</f>
        <v/>
      </c>
      <c r="H169" s="42">
        <f>ROUND(Source!AE82*Source!I82, 2)</f>
        <v>5.77</v>
      </c>
      <c r="I169" s="39"/>
      <c r="J169" s="39">
        <f>IF(Source!BS82&lt;&gt; 0, Source!BS82, 1)</f>
        <v>33.6</v>
      </c>
      <c r="K169" s="42">
        <f>Source!R82</f>
        <v>193.73</v>
      </c>
      <c r="L169" s="41"/>
      <c r="R169">
        <f>H169</f>
        <v>5.77</v>
      </c>
    </row>
    <row r="170" spans="1:26" ht="14.25">
      <c r="A170" s="23"/>
      <c r="B170" s="55"/>
      <c r="C170" s="55" t="s">
        <v>648</v>
      </c>
      <c r="D170" s="37"/>
      <c r="E170" s="10"/>
      <c r="F170" s="38">
        <f>Source!AL82</f>
        <v>5006.71</v>
      </c>
      <c r="G170" s="39" t="str">
        <f>Source!DD82</f>
        <v/>
      </c>
      <c r="H170" s="40">
        <f>ROUND(Source!AC82*Source!I82, 2)</f>
        <v>4546.09</v>
      </c>
      <c r="I170" s="39"/>
      <c r="J170" s="39">
        <f>IF(Source!BC82&lt;&gt; 0, Source!BC82, 1)</f>
        <v>6.17</v>
      </c>
      <c r="K170" s="40">
        <f>Source!P82</f>
        <v>28049.39</v>
      </c>
      <c r="L170" s="41"/>
    </row>
    <row r="171" spans="1:26" ht="14.25">
      <c r="A171" s="23"/>
      <c r="B171" s="55"/>
      <c r="C171" s="55" t="s">
        <v>642</v>
      </c>
      <c r="D171" s="37" t="s">
        <v>643</v>
      </c>
      <c r="E171" s="10">
        <f>Source!BZ82</f>
        <v>89</v>
      </c>
      <c r="F171" s="58"/>
      <c r="G171" s="39"/>
      <c r="H171" s="40">
        <f>SUM(S165:S174)</f>
        <v>410.93</v>
      </c>
      <c r="I171" s="43"/>
      <c r="J171" s="36">
        <f>Source!AT82</f>
        <v>89</v>
      </c>
      <c r="K171" s="40">
        <f>SUM(T165:T174)</f>
        <v>13807.21</v>
      </c>
      <c r="L171" s="41"/>
    </row>
    <row r="172" spans="1:26" ht="14.25">
      <c r="A172" s="23"/>
      <c r="B172" s="55"/>
      <c r="C172" s="55" t="s">
        <v>644</v>
      </c>
      <c r="D172" s="37" t="s">
        <v>643</v>
      </c>
      <c r="E172" s="10">
        <f>Source!CA82</f>
        <v>49</v>
      </c>
      <c r="F172" s="58"/>
      <c r="G172" s="39"/>
      <c r="H172" s="40">
        <f>SUM(U165:U174)</f>
        <v>226.24</v>
      </c>
      <c r="I172" s="43"/>
      <c r="J172" s="36">
        <f>Source!AU82</f>
        <v>49</v>
      </c>
      <c r="K172" s="40">
        <f>SUM(V165:V174)</f>
        <v>7601.72</v>
      </c>
      <c r="L172" s="41"/>
    </row>
    <row r="173" spans="1:26" ht="14.25">
      <c r="A173" s="23"/>
      <c r="B173" s="55"/>
      <c r="C173" s="55" t="s">
        <v>645</v>
      </c>
      <c r="D173" s="37" t="s">
        <v>646</v>
      </c>
      <c r="E173" s="10">
        <f>Source!AQ82</f>
        <v>62.07</v>
      </c>
      <c r="F173" s="38"/>
      <c r="G173" s="39" t="str">
        <f>Source!DI82</f>
        <v/>
      </c>
      <c r="H173" s="40"/>
      <c r="I173" s="39"/>
      <c r="J173" s="39"/>
      <c r="K173" s="40"/>
      <c r="L173" s="51">
        <f>Source!U82</f>
        <v>56.359560000000002</v>
      </c>
    </row>
    <row r="174" spans="1:26" ht="14.25">
      <c r="A174" s="56" t="str">
        <f>Source!E83</f>
        <v>18,1</v>
      </c>
      <c r="B174" s="57" t="str">
        <f>Source!F83</f>
        <v>509-9900</v>
      </c>
      <c r="C174" s="57" t="str">
        <f>Source!G83</f>
        <v>Строительный мусор</v>
      </c>
      <c r="D174" s="44" t="str">
        <f>Source!H83</f>
        <v>т</v>
      </c>
      <c r="E174" s="45">
        <f>Source!I83</f>
        <v>1.6888799999999999</v>
      </c>
      <c r="F174" s="46">
        <f>Source!AL83+Source!AM83+Source!AO83</f>
        <v>0</v>
      </c>
      <c r="G174" s="52" t="s">
        <v>3</v>
      </c>
      <c r="H174" s="48">
        <f>ROUND(Source!AC83*Source!I83, 2)+ROUND(Source!AD83*Source!I83, 2)+ROUND(Source!AF83*Source!I83, 2)</f>
        <v>0</v>
      </c>
      <c r="I174" s="47"/>
      <c r="J174" s="47">
        <f>IF(Source!BC83&lt;&gt; 0, Source!BC83, 1)</f>
        <v>1</v>
      </c>
      <c r="K174" s="48">
        <f>Source!O83</f>
        <v>0</v>
      </c>
      <c r="L174" s="53"/>
      <c r="S174">
        <f>ROUND((Source!FX83/100)*((ROUND(Source!AF83*Source!I83, 2)+ROUND(Source!AE83*Source!I83, 2))), 2)</f>
        <v>0</v>
      </c>
      <c r="T174">
        <f>Source!X83</f>
        <v>0</v>
      </c>
      <c r="U174">
        <f>ROUND((Source!FY83/100)*((ROUND(Source!AF83*Source!I83, 2)+ROUND(Source!AE83*Source!I83, 2))), 2)</f>
        <v>0</v>
      </c>
      <c r="V174">
        <f>Source!Y83</f>
        <v>0</v>
      </c>
      <c r="W174">
        <f>IF(Source!BI83&lt;=1,H174, 0)</f>
        <v>0</v>
      </c>
      <c r="X174">
        <f>IF(Source!BI83=2,H174, 0)</f>
        <v>0</v>
      </c>
      <c r="Y174">
        <f>IF(Source!BI83=3,H174, 0)</f>
        <v>0</v>
      </c>
      <c r="Z174">
        <f>IF(Source!BI83=4,H174, 0)</f>
        <v>0</v>
      </c>
    </row>
    <row r="175" spans="1:26" ht="15">
      <c r="G175" s="72">
        <f>H167+H168+H170+H171+H172+SUM(H174:H174)</f>
        <v>5707.95</v>
      </c>
      <c r="H175" s="72"/>
      <c r="J175" s="72">
        <f>K167+K168+K170+K171+K172+SUM(K174:K174)</f>
        <v>65570.25</v>
      </c>
      <c r="K175" s="72"/>
      <c r="L175" s="50">
        <f>Source!U82</f>
        <v>56.359560000000002</v>
      </c>
      <c r="O175" s="32">
        <f>G175</f>
        <v>5707.95</v>
      </c>
      <c r="P175" s="32">
        <f>J175</f>
        <v>65570.25</v>
      </c>
      <c r="Q175" s="32">
        <f>L175</f>
        <v>56.359560000000002</v>
      </c>
      <c r="W175">
        <f>IF(Source!BI82&lt;=1,H167+H168+H170+H171+H172, 0)</f>
        <v>5707.95</v>
      </c>
      <c r="X175">
        <f>IF(Source!BI82=2,H167+H168+H170+H171+H172, 0)</f>
        <v>0</v>
      </c>
      <c r="Y175">
        <f>IF(Source!BI82=3,H167+H168+H170+H171+H172, 0)</f>
        <v>0</v>
      </c>
      <c r="Z175">
        <f>IF(Source!BI82=4,H167+H168+H170+H171+H172, 0)</f>
        <v>0</v>
      </c>
    </row>
    <row r="176" spans="1:26" ht="79.5">
      <c r="A176" s="23" t="str">
        <f>Source!E84</f>
        <v>20</v>
      </c>
      <c r="B176" s="55" t="s">
        <v>655</v>
      </c>
      <c r="C176" s="55" t="str">
        <f>Source!G84</f>
        <v>Устройство оснований полов из фанеры в один слой площадью свыше 20 м2</v>
      </c>
      <c r="D176" s="37" t="str">
        <f>Source!H84</f>
        <v>100 м2 пола</v>
      </c>
      <c r="E176" s="10">
        <f>Source!I84</f>
        <v>0.90800000000000003</v>
      </c>
      <c r="F176" s="38">
        <f>Source!AL84+Source!AM84+Source!AO84</f>
        <v>6214.5300000000007</v>
      </c>
      <c r="G176" s="39"/>
      <c r="H176" s="40"/>
      <c r="I176" s="39" t="str">
        <f>Source!BO84</f>
        <v>11-01-053-2</v>
      </c>
      <c r="J176" s="39"/>
      <c r="K176" s="40"/>
      <c r="L176" s="41"/>
      <c r="S176">
        <f>ROUND((Source!FX84/100)*((ROUND(Source!AF84*Source!I84, 2)+ROUND(Source!AE84*Source!I84, 2))), 2)</f>
        <v>331.16</v>
      </c>
      <c r="T176">
        <f>Source!X84</f>
        <v>11126.85</v>
      </c>
      <c r="U176">
        <f>ROUND((Source!FY84/100)*((ROUND(Source!AF84*Source!I84, 2)+ROUND(Source!AE84*Source!I84, 2))), 2)</f>
        <v>180.33</v>
      </c>
      <c r="V176">
        <f>Source!Y84</f>
        <v>6059.17</v>
      </c>
    </row>
    <row r="177" spans="1:26">
      <c r="C177" s="31" t="str">
        <f>"Объем: "&amp;Source!I84&amp;"=90,8/"&amp;"100"</f>
        <v>Объем: 0,908=90,8/100</v>
      </c>
    </row>
    <row r="178" spans="1:26" ht="14.25">
      <c r="A178" s="23"/>
      <c r="B178" s="55"/>
      <c r="C178" s="55" t="s">
        <v>640</v>
      </c>
      <c r="D178" s="37"/>
      <c r="E178" s="10"/>
      <c r="F178" s="38">
        <f>Source!AO84</f>
        <v>255.39</v>
      </c>
      <c r="G178" s="39" t="str">
        <f>Source!DG84</f>
        <v>)*1,15</v>
      </c>
      <c r="H178" s="40">
        <f>ROUND(Source!AF84*Source!I84, 2)</f>
        <v>266.68</v>
      </c>
      <c r="I178" s="39"/>
      <c r="J178" s="39">
        <f>IF(Source!BA84&lt;&gt; 0, Source!BA84, 1)</f>
        <v>33.6</v>
      </c>
      <c r="K178" s="40">
        <f>Source!S84</f>
        <v>8960.39</v>
      </c>
      <c r="L178" s="41"/>
      <c r="R178">
        <f>H178</f>
        <v>266.68</v>
      </c>
    </row>
    <row r="179" spans="1:26" ht="14.25">
      <c r="A179" s="23"/>
      <c r="B179" s="55"/>
      <c r="C179" s="55" t="s">
        <v>75</v>
      </c>
      <c r="D179" s="37"/>
      <c r="E179" s="10"/>
      <c r="F179" s="38">
        <f>Source!AM84</f>
        <v>375.46</v>
      </c>
      <c r="G179" s="39" t="str">
        <f>Source!DE84</f>
        <v/>
      </c>
      <c r="H179" s="40">
        <f>ROUND(Source!AD84*Source!I84, 2)</f>
        <v>340.92</v>
      </c>
      <c r="I179" s="39"/>
      <c r="J179" s="39">
        <f>IF(Source!BB84&lt;&gt; 0, Source!BB84, 1)</f>
        <v>10.86</v>
      </c>
      <c r="K179" s="40">
        <f>Source!Q84</f>
        <v>3702.37</v>
      </c>
      <c r="L179" s="41"/>
    </row>
    <row r="180" spans="1:26" ht="14.25">
      <c r="A180" s="23"/>
      <c r="B180" s="55"/>
      <c r="C180" s="55" t="s">
        <v>641</v>
      </c>
      <c r="D180" s="37"/>
      <c r="E180" s="10"/>
      <c r="F180" s="38">
        <f>Source!AN84</f>
        <v>67.400000000000006</v>
      </c>
      <c r="G180" s="39" t="str">
        <f>Source!DF84</f>
        <v/>
      </c>
      <c r="H180" s="42">
        <f>ROUND(Source!AE84*Source!I84, 2)</f>
        <v>61.2</v>
      </c>
      <c r="I180" s="39"/>
      <c r="J180" s="39">
        <f>IF(Source!BS84&lt;&gt; 0, Source!BS84, 1)</f>
        <v>33.6</v>
      </c>
      <c r="K180" s="42">
        <f>Source!R84</f>
        <v>2056.29</v>
      </c>
      <c r="L180" s="41"/>
      <c r="R180">
        <f>H180</f>
        <v>61.2</v>
      </c>
    </row>
    <row r="181" spans="1:26" ht="14.25">
      <c r="A181" s="23"/>
      <c r="B181" s="55"/>
      <c r="C181" s="55" t="s">
        <v>648</v>
      </c>
      <c r="D181" s="37"/>
      <c r="E181" s="10"/>
      <c r="F181" s="38">
        <f>Source!AL84</f>
        <v>5583.68</v>
      </c>
      <c r="G181" s="39" t="str">
        <f>Source!DD84</f>
        <v/>
      </c>
      <c r="H181" s="40">
        <f>ROUND(Source!AC84*Source!I84, 2)</f>
        <v>5069.9799999999996</v>
      </c>
      <c r="I181" s="39"/>
      <c r="J181" s="39">
        <f>IF(Source!BC84&lt;&gt; 0, Source!BC84, 1)</f>
        <v>6.62</v>
      </c>
      <c r="K181" s="40">
        <f>Source!P84</f>
        <v>33563.279999999999</v>
      </c>
      <c r="L181" s="41"/>
    </row>
    <row r="182" spans="1:26" ht="14.25">
      <c r="A182" s="23"/>
      <c r="B182" s="55"/>
      <c r="C182" s="55" t="s">
        <v>642</v>
      </c>
      <c r="D182" s="37" t="s">
        <v>643</v>
      </c>
      <c r="E182" s="10">
        <f>Source!BZ84</f>
        <v>101</v>
      </c>
      <c r="F182" s="58"/>
      <c r="G182" s="39"/>
      <c r="H182" s="40">
        <f>SUM(S176:S184)</f>
        <v>331.16</v>
      </c>
      <c r="I182" s="43"/>
      <c r="J182" s="36">
        <f>Source!AT84</f>
        <v>101</v>
      </c>
      <c r="K182" s="40">
        <f>SUM(T176:T184)</f>
        <v>11126.85</v>
      </c>
      <c r="L182" s="41"/>
    </row>
    <row r="183" spans="1:26" ht="14.25">
      <c r="A183" s="23"/>
      <c r="B183" s="55"/>
      <c r="C183" s="55" t="s">
        <v>644</v>
      </c>
      <c r="D183" s="37" t="s">
        <v>643</v>
      </c>
      <c r="E183" s="10">
        <f>Source!CA84</f>
        <v>55</v>
      </c>
      <c r="F183" s="58"/>
      <c r="G183" s="39"/>
      <c r="H183" s="40">
        <f>SUM(U176:U184)</f>
        <v>180.33</v>
      </c>
      <c r="I183" s="43"/>
      <c r="J183" s="36">
        <f>Source!AU84</f>
        <v>55</v>
      </c>
      <c r="K183" s="40">
        <f>SUM(V176:V184)</f>
        <v>6059.17</v>
      </c>
      <c r="L183" s="41"/>
    </row>
    <row r="184" spans="1:26" ht="14.25">
      <c r="A184" s="56"/>
      <c r="B184" s="57"/>
      <c r="C184" s="57" t="s">
        <v>645</v>
      </c>
      <c r="D184" s="44" t="s">
        <v>646</v>
      </c>
      <c r="E184" s="45">
        <f>Source!AQ84</f>
        <v>31.26</v>
      </c>
      <c r="F184" s="46"/>
      <c r="G184" s="47" t="str">
        <f>Source!DI84</f>
        <v>)*1,15</v>
      </c>
      <c r="H184" s="48"/>
      <c r="I184" s="47"/>
      <c r="J184" s="47"/>
      <c r="K184" s="48"/>
      <c r="L184" s="49">
        <f>Source!U84</f>
        <v>32.641691999999999</v>
      </c>
    </row>
    <row r="185" spans="1:26" ht="15">
      <c r="G185" s="72">
        <f>H178+H179+H181+H182+H183</f>
        <v>6189.07</v>
      </c>
      <c r="H185" s="72"/>
      <c r="J185" s="72">
        <f>K178+K179+K181+K182+K183</f>
        <v>63412.05999999999</v>
      </c>
      <c r="K185" s="72"/>
      <c r="L185" s="50">
        <f>Source!U84</f>
        <v>32.641691999999999</v>
      </c>
      <c r="O185" s="32">
        <f>G185</f>
        <v>6189.07</v>
      </c>
      <c r="P185" s="32">
        <f>J185</f>
        <v>63412.05999999999</v>
      </c>
      <c r="Q185" s="32">
        <f>L185</f>
        <v>32.641691999999999</v>
      </c>
      <c r="W185">
        <f>IF(Source!BI84&lt;=1,H178+H179+H181+H182+H183, 0)</f>
        <v>6189.07</v>
      </c>
      <c r="X185">
        <f>IF(Source!BI84=2,H178+H179+H181+H182+H183, 0)</f>
        <v>0</v>
      </c>
      <c r="Y185">
        <f>IF(Source!BI84=3,H178+H179+H181+H182+H183, 0)</f>
        <v>0</v>
      </c>
      <c r="Z185">
        <f>IF(Source!BI84=4,H178+H179+H181+H182+H183, 0)</f>
        <v>0</v>
      </c>
    </row>
    <row r="186" spans="1:26" ht="79.5">
      <c r="A186" s="23" t="str">
        <f>Source!E85</f>
        <v>22</v>
      </c>
      <c r="B186" s="55" t="s">
        <v>656</v>
      </c>
      <c r="C186" s="55" t="str">
        <f>Source!G85</f>
        <v>Устройство покрытий из линолеума на клее «Бустилат»</v>
      </c>
      <c r="D186" s="37" t="str">
        <f>Source!H85</f>
        <v>100 м2 покрытия</v>
      </c>
      <c r="E186" s="10">
        <f>Source!I85</f>
        <v>0.90800000000000003</v>
      </c>
      <c r="F186" s="38">
        <f>Source!AL85+Source!AM85+Source!AO85</f>
        <v>7888.38</v>
      </c>
      <c r="G186" s="39"/>
      <c r="H186" s="40"/>
      <c r="I186" s="39" t="str">
        <f>Source!BO85</f>
        <v>11-01-036-1</v>
      </c>
      <c r="J186" s="39"/>
      <c r="K186" s="40"/>
      <c r="L186" s="41"/>
      <c r="S186">
        <f>ROUND((Source!FX85/100)*((ROUND(Source!AF85*Source!I85, 2)+ROUND(Source!AE85*Source!I85, 2))), 2)</f>
        <v>377.01</v>
      </c>
      <c r="T186">
        <f>Source!X85</f>
        <v>12667.69</v>
      </c>
      <c r="U186">
        <f>ROUND((Source!FY85/100)*((ROUND(Source!AF85*Source!I85, 2)+ROUND(Source!AE85*Source!I85, 2))), 2)</f>
        <v>205.3</v>
      </c>
      <c r="V186">
        <f>Source!Y85</f>
        <v>6898.25</v>
      </c>
    </row>
    <row r="187" spans="1:26">
      <c r="C187" s="31" t="str">
        <f>"Объем: "&amp;Source!I85&amp;"=90,8/"&amp;"100"</f>
        <v>Объем: 0,908=90,8/100</v>
      </c>
    </row>
    <row r="188" spans="1:26" ht="14.25">
      <c r="A188" s="23"/>
      <c r="B188" s="55"/>
      <c r="C188" s="55" t="s">
        <v>640</v>
      </c>
      <c r="D188" s="37"/>
      <c r="E188" s="10"/>
      <c r="F188" s="38">
        <f>Source!AO85</f>
        <v>352.34</v>
      </c>
      <c r="G188" s="39" t="str">
        <f>Source!DG85</f>
        <v>)*1,15</v>
      </c>
      <c r="H188" s="40">
        <f>ROUND(Source!AF85*Source!I85, 2)</f>
        <v>367.91</v>
      </c>
      <c r="I188" s="39"/>
      <c r="J188" s="39">
        <f>IF(Source!BA85&lt;&gt; 0, Source!BA85, 1)</f>
        <v>33.6</v>
      </c>
      <c r="K188" s="40">
        <f>Source!S85</f>
        <v>12361.89</v>
      </c>
      <c r="L188" s="41"/>
      <c r="R188">
        <f>H188</f>
        <v>367.91</v>
      </c>
    </row>
    <row r="189" spans="1:26" ht="14.25">
      <c r="A189" s="23"/>
      <c r="B189" s="55"/>
      <c r="C189" s="55" t="s">
        <v>75</v>
      </c>
      <c r="D189" s="37"/>
      <c r="E189" s="10"/>
      <c r="F189" s="38">
        <f>Source!AM85</f>
        <v>54.53</v>
      </c>
      <c r="G189" s="39" t="str">
        <f>Source!DE85</f>
        <v>)*1,25</v>
      </c>
      <c r="H189" s="40">
        <f>ROUND(Source!AD85*Source!I85, 2)</f>
        <v>61.89</v>
      </c>
      <c r="I189" s="39"/>
      <c r="J189" s="39">
        <f>IF(Source!BB85&lt;&gt; 0, Source!BB85, 1)</f>
        <v>11.55</v>
      </c>
      <c r="K189" s="40">
        <f>Source!Q85</f>
        <v>714.85</v>
      </c>
      <c r="L189" s="41"/>
    </row>
    <row r="190" spans="1:26" ht="14.25">
      <c r="A190" s="23"/>
      <c r="B190" s="55"/>
      <c r="C190" s="55" t="s">
        <v>641</v>
      </c>
      <c r="D190" s="37"/>
      <c r="E190" s="10"/>
      <c r="F190" s="38">
        <f>Source!AN85</f>
        <v>4.7300000000000004</v>
      </c>
      <c r="G190" s="39" t="str">
        <f>Source!DF85</f>
        <v>)*1,25</v>
      </c>
      <c r="H190" s="42">
        <f>ROUND(Source!AE85*Source!I85, 2)</f>
        <v>5.37</v>
      </c>
      <c r="I190" s="39"/>
      <c r="J190" s="39">
        <f>IF(Source!BS85&lt;&gt; 0, Source!BS85, 1)</f>
        <v>33.6</v>
      </c>
      <c r="K190" s="42">
        <f>Source!R85</f>
        <v>180.38</v>
      </c>
      <c r="L190" s="41"/>
      <c r="R190">
        <f>H190</f>
        <v>5.37</v>
      </c>
    </row>
    <row r="191" spans="1:26" ht="14.25">
      <c r="A191" s="23"/>
      <c r="B191" s="55"/>
      <c r="C191" s="55" t="s">
        <v>648</v>
      </c>
      <c r="D191" s="37"/>
      <c r="E191" s="10"/>
      <c r="F191" s="38">
        <f>Source!AL85</f>
        <v>7481.51</v>
      </c>
      <c r="G191" s="39" t="str">
        <f>Source!DD85</f>
        <v/>
      </c>
      <c r="H191" s="40">
        <f>ROUND(Source!AC85*Source!I85, 2)</f>
        <v>6793.21</v>
      </c>
      <c r="I191" s="39"/>
      <c r="J191" s="39">
        <f>IF(Source!BC85&lt;&gt; 0, Source!BC85, 1)</f>
        <v>2.9</v>
      </c>
      <c r="K191" s="40">
        <f>Source!P85</f>
        <v>19700.310000000001</v>
      </c>
      <c r="L191" s="41"/>
    </row>
    <row r="192" spans="1:26" ht="14.25">
      <c r="A192" s="23"/>
      <c r="B192" s="55"/>
      <c r="C192" s="55" t="s">
        <v>642</v>
      </c>
      <c r="D192" s="37" t="s">
        <v>643</v>
      </c>
      <c r="E192" s="10">
        <f>Source!BZ85</f>
        <v>101</v>
      </c>
      <c r="F192" s="58"/>
      <c r="G192" s="39"/>
      <c r="H192" s="40">
        <f>SUM(S186:S196)</f>
        <v>377.01</v>
      </c>
      <c r="I192" s="43"/>
      <c r="J192" s="36">
        <f>Source!AT85</f>
        <v>101</v>
      </c>
      <c r="K192" s="40">
        <f>SUM(T186:T196)</f>
        <v>12667.69</v>
      </c>
      <c r="L192" s="41"/>
    </row>
    <row r="193" spans="1:26" ht="14.25">
      <c r="A193" s="23"/>
      <c r="B193" s="55"/>
      <c r="C193" s="55" t="s">
        <v>644</v>
      </c>
      <c r="D193" s="37" t="s">
        <v>643</v>
      </c>
      <c r="E193" s="10">
        <f>Source!CA85</f>
        <v>55</v>
      </c>
      <c r="F193" s="58"/>
      <c r="G193" s="39"/>
      <c r="H193" s="40">
        <f>SUM(U186:U196)</f>
        <v>205.3</v>
      </c>
      <c r="I193" s="43"/>
      <c r="J193" s="36">
        <f>Source!AU85</f>
        <v>55</v>
      </c>
      <c r="K193" s="40">
        <f>SUM(V186:V196)</f>
        <v>6898.25</v>
      </c>
      <c r="L193" s="41"/>
    </row>
    <row r="194" spans="1:26" ht="14.25">
      <c r="A194" s="23"/>
      <c r="B194" s="55"/>
      <c r="C194" s="55" t="s">
        <v>645</v>
      </c>
      <c r="D194" s="37" t="s">
        <v>646</v>
      </c>
      <c r="E194" s="10">
        <f>Source!AQ85</f>
        <v>42.4</v>
      </c>
      <c r="F194" s="38"/>
      <c r="G194" s="39" t="str">
        <f>Source!DI85</f>
        <v>)*1,15</v>
      </c>
      <c r="H194" s="40"/>
      <c r="I194" s="39"/>
      <c r="J194" s="39"/>
      <c r="K194" s="40"/>
      <c r="L194" s="51">
        <f>Source!U85</f>
        <v>44.274079999999998</v>
      </c>
    </row>
    <row r="195" spans="1:26" ht="42.75">
      <c r="A195" s="23" t="str">
        <f>Source!E86</f>
        <v>22,2</v>
      </c>
      <c r="B195" s="55" t="str">
        <f>Source!F86</f>
        <v>101-0562</v>
      </c>
      <c r="C195" s="55" t="str">
        <f>Source!G86</f>
        <v>Линолеум поливинилхлоридный на теплоизолирующей подоснове марок ПР-ВТ, ВК-ВТ, ЭК-ВТ</v>
      </c>
      <c r="D195" s="37" t="str">
        <f>Source!H86</f>
        <v>м2</v>
      </c>
      <c r="E195" s="10">
        <f>Source!I86</f>
        <v>-92.616</v>
      </c>
      <c r="F195" s="38">
        <f>Source!AL86+Source!AM86+Source!AO86</f>
        <v>67.8</v>
      </c>
      <c r="G195" s="54" t="s">
        <v>3</v>
      </c>
      <c r="H195" s="40">
        <f>ROUND(Source!AC86*Source!I86, 2)+ROUND(Source!AD86*Source!I86, 2)+ROUND(Source!AF86*Source!I86, 2)</f>
        <v>-6279.36</v>
      </c>
      <c r="I195" s="39"/>
      <c r="J195" s="39">
        <f>IF(Source!BC86&lt;&gt; 0, Source!BC86, 1)</f>
        <v>2.72</v>
      </c>
      <c r="K195" s="40">
        <f>Source!O86</f>
        <v>-17079.87</v>
      </c>
      <c r="L195" s="41"/>
      <c r="S195">
        <f>ROUND((Source!FX86/100)*((ROUND(Source!AF86*Source!I86, 2)+ROUND(Source!AE86*Source!I86, 2))), 2)</f>
        <v>0</v>
      </c>
      <c r="T195">
        <f>Source!X86</f>
        <v>0</v>
      </c>
      <c r="U195">
        <f>ROUND((Source!FY86/100)*((ROUND(Source!AF86*Source!I86, 2)+ROUND(Source!AE86*Source!I86, 2))), 2)</f>
        <v>0</v>
      </c>
      <c r="V195">
        <f>Source!Y86</f>
        <v>0</v>
      </c>
      <c r="W195">
        <f>IF(Source!BI86&lt;=1,H195, 0)</f>
        <v>-6279.36</v>
      </c>
      <c r="X195">
        <f>IF(Source!BI86=2,H195, 0)</f>
        <v>0</v>
      </c>
      <c r="Y195">
        <f>IF(Source!BI86=3,H195, 0)</f>
        <v>0</v>
      </c>
      <c r="Z195">
        <f>IF(Source!BI86=4,H195, 0)</f>
        <v>0</v>
      </c>
    </row>
    <row r="196" spans="1:26" ht="42.75">
      <c r="A196" s="56" t="str">
        <f>Source!E87</f>
        <v>22,3</v>
      </c>
      <c r="B196" s="57" t="str">
        <f>Source!F87</f>
        <v>цена постовщика</v>
      </c>
      <c r="C196" s="57" t="str">
        <f>Source!G87</f>
        <v>Рулонное покрытие Sagama Dynamico 6мм</v>
      </c>
      <c r="D196" s="44" t="str">
        <f>Source!H87</f>
        <v>м2</v>
      </c>
      <c r="E196" s="45">
        <f>Source!I87</f>
        <v>92.616</v>
      </c>
      <c r="F196" s="46">
        <f>Source!AL87+Source!AM87+Source!AO87</f>
        <v>1625</v>
      </c>
      <c r="G196" s="52" t="s">
        <v>3</v>
      </c>
      <c r="H196" s="48">
        <f>ROUND(Source!AC87*Source!I87, 2)+ROUND(Source!AD87*Source!I87, 2)+ROUND(Source!AF87*Source!I87, 2)</f>
        <v>150501</v>
      </c>
      <c r="I196" s="47"/>
      <c r="J196" s="47">
        <f>IF(Source!BC87&lt;&gt; 0, Source!BC87, 1)</f>
        <v>1</v>
      </c>
      <c r="K196" s="48">
        <f>Source!O87</f>
        <v>150501</v>
      </c>
      <c r="L196" s="53"/>
      <c r="S196">
        <f>ROUND((Source!FX87/100)*((ROUND(Source!AF87*Source!I87, 2)+ROUND(Source!AE87*Source!I87, 2))), 2)</f>
        <v>0</v>
      </c>
      <c r="T196">
        <f>Source!X87</f>
        <v>0</v>
      </c>
      <c r="U196">
        <f>ROUND((Source!FY87/100)*((ROUND(Source!AF87*Source!I87, 2)+ROUND(Source!AE87*Source!I87, 2))), 2)</f>
        <v>0</v>
      </c>
      <c r="V196">
        <f>Source!Y87</f>
        <v>0</v>
      </c>
      <c r="W196">
        <f>IF(Source!BI87&lt;=1,H196, 0)</f>
        <v>150501</v>
      </c>
      <c r="X196">
        <f>IF(Source!BI87=2,H196, 0)</f>
        <v>0</v>
      </c>
      <c r="Y196">
        <f>IF(Source!BI87=3,H196, 0)</f>
        <v>0</v>
      </c>
      <c r="Z196">
        <f>IF(Source!BI87=4,H196, 0)</f>
        <v>0</v>
      </c>
    </row>
    <row r="197" spans="1:26" ht="15">
      <c r="G197" s="72">
        <f>H188+H189+H191+H192+H193+SUM(H195:H196)</f>
        <v>152026.96000000002</v>
      </c>
      <c r="H197" s="72"/>
      <c r="J197" s="72">
        <f>K188+K189+K191+K192+K193+SUM(K195:K196)</f>
        <v>185764.12</v>
      </c>
      <c r="K197" s="72"/>
      <c r="L197" s="50">
        <f>Source!U85</f>
        <v>44.274079999999998</v>
      </c>
      <c r="O197" s="32">
        <f>G197</f>
        <v>152026.96000000002</v>
      </c>
      <c r="P197" s="32">
        <f>J197</f>
        <v>185764.12</v>
      </c>
      <c r="Q197" s="32">
        <f>L197</f>
        <v>44.274079999999998</v>
      </c>
      <c r="W197">
        <f>IF(Source!BI85&lt;=1,H188+H189+H191+H192+H193, 0)</f>
        <v>7805.3200000000006</v>
      </c>
      <c r="X197">
        <f>IF(Source!BI85=2,H188+H189+H191+H192+H193, 0)</f>
        <v>0</v>
      </c>
      <c r="Y197">
        <f>IF(Source!BI85=3,H188+H189+H191+H192+H193, 0)</f>
        <v>0</v>
      </c>
      <c r="Z197">
        <f>IF(Source!BI85=4,H188+H189+H191+H192+H193, 0)</f>
        <v>0</v>
      </c>
    </row>
    <row r="198" spans="1:26" ht="42.75">
      <c r="A198" s="56" t="str">
        <f>Source!E88</f>
        <v>23</v>
      </c>
      <c r="B198" s="57" t="str">
        <f>Source!F88</f>
        <v>116-0360</v>
      </c>
      <c r="C198" s="57" t="str">
        <f>Source!G88</f>
        <v>Спортивный комплекс: 3 турника, 3 шведских стенки; размеры 2900х1900х2500 мм</v>
      </c>
      <c r="D198" s="44" t="str">
        <f>Source!H88</f>
        <v>компл.</v>
      </c>
      <c r="E198" s="45">
        <f>Source!I88</f>
        <v>1</v>
      </c>
      <c r="F198" s="46">
        <f>Source!AL88</f>
        <v>8473.51</v>
      </c>
      <c r="G198" s="47" t="str">
        <f>Source!DD88</f>
        <v/>
      </c>
      <c r="H198" s="48">
        <f>ROUND(Source!AC88*Source!I88, 2)</f>
        <v>8473.51</v>
      </c>
      <c r="I198" s="47" t="str">
        <f>Source!BO88</f>
        <v>116-0360</v>
      </c>
      <c r="J198" s="47">
        <f>IF(Source!BC88&lt;&gt; 0, Source!BC88, 1)</f>
        <v>5.84</v>
      </c>
      <c r="K198" s="48">
        <f>Source!P88</f>
        <v>49485.3</v>
      </c>
      <c r="L198" s="53"/>
      <c r="S198">
        <f>ROUND((Source!FX88/100)*((ROUND(Source!AF88*Source!I88, 2)+ROUND(Source!AE88*Source!I88, 2))), 2)</f>
        <v>0</v>
      </c>
      <c r="T198">
        <f>Source!X88</f>
        <v>0</v>
      </c>
      <c r="U198">
        <f>ROUND((Source!FY88/100)*((ROUND(Source!AF88*Source!I88, 2)+ROUND(Source!AE88*Source!I88, 2))), 2)</f>
        <v>0</v>
      </c>
      <c r="V198">
        <f>Source!Y88</f>
        <v>0</v>
      </c>
    </row>
    <row r="199" spans="1:26" ht="15">
      <c r="G199" s="72">
        <f>H198</f>
        <v>8473.51</v>
      </c>
      <c r="H199" s="72"/>
      <c r="J199" s="72">
        <f>K198</f>
        <v>49485.3</v>
      </c>
      <c r="K199" s="72"/>
      <c r="L199" s="50">
        <f>Source!U88</f>
        <v>0</v>
      </c>
      <c r="O199" s="32">
        <f>G199</f>
        <v>8473.51</v>
      </c>
      <c r="P199" s="32">
        <f>J199</f>
        <v>49485.3</v>
      </c>
      <c r="Q199" s="32">
        <f>L199</f>
        <v>0</v>
      </c>
      <c r="W199">
        <f>IF(Source!BI88&lt;=1,H198, 0)</f>
        <v>8473.51</v>
      </c>
      <c r="X199">
        <f>IF(Source!BI88=2,H198, 0)</f>
        <v>0</v>
      </c>
      <c r="Y199">
        <f>IF(Source!BI88=3,H198, 0)</f>
        <v>0</v>
      </c>
      <c r="Z199">
        <f>IF(Source!BI88=4,H198, 0)</f>
        <v>0</v>
      </c>
    </row>
    <row r="200" spans="1:26" ht="93.75">
      <c r="A200" s="56" t="str">
        <f>Source!E89</f>
        <v>24</v>
      </c>
      <c r="B200" s="57" t="s">
        <v>657</v>
      </c>
      <c r="C200" s="57" t="str">
        <f>Source!G89</f>
        <v>Стеллаж для спортивного инвентаря</v>
      </c>
      <c r="D200" s="44" t="str">
        <f>Source!H89</f>
        <v>шт.</v>
      </c>
      <c r="E200" s="45">
        <f>Source!I89</f>
        <v>1</v>
      </c>
      <c r="F200" s="46">
        <f>Source!AL89</f>
        <v>15148.89</v>
      </c>
      <c r="G200" s="47" t="str">
        <f>Source!DD89</f>
        <v/>
      </c>
      <c r="H200" s="48">
        <f>ROUND(Source!AC89*Source!I89, 2)</f>
        <v>15148.89</v>
      </c>
      <c r="I200" s="47" t="str">
        <f>Source!BO89</f>
        <v/>
      </c>
      <c r="J200" s="47">
        <f>IF(Source!BC89&lt;&gt; 0, Source!BC89, 1)</f>
        <v>1</v>
      </c>
      <c r="K200" s="48">
        <f>Source!P89</f>
        <v>15148.89</v>
      </c>
      <c r="L200" s="53"/>
      <c r="S200">
        <f>ROUND((Source!FX89/100)*((ROUND(Source!AF89*Source!I89, 2)+ROUND(Source!AE89*Source!I89, 2))), 2)</f>
        <v>0</v>
      </c>
      <c r="T200">
        <f>Source!X89</f>
        <v>0</v>
      </c>
      <c r="U200">
        <f>ROUND((Source!FY89/100)*((ROUND(Source!AF89*Source!I89, 2)+ROUND(Source!AE89*Source!I89, 2))), 2)</f>
        <v>0</v>
      </c>
      <c r="V200">
        <f>Source!Y89</f>
        <v>0</v>
      </c>
    </row>
    <row r="201" spans="1:26" ht="15">
      <c r="G201" s="72">
        <f>H200</f>
        <v>15148.89</v>
      </c>
      <c r="H201" s="72"/>
      <c r="J201" s="72">
        <f>K200</f>
        <v>15148.89</v>
      </c>
      <c r="K201" s="72"/>
      <c r="L201" s="50">
        <f>Source!U89</f>
        <v>0</v>
      </c>
      <c r="O201" s="32">
        <f>G201</f>
        <v>15148.89</v>
      </c>
      <c r="P201" s="32">
        <f>J201</f>
        <v>15148.89</v>
      </c>
      <c r="Q201" s="32">
        <f>L201</f>
        <v>0</v>
      </c>
      <c r="W201">
        <f>IF(Source!BI89&lt;=1,H200, 0)</f>
        <v>15148.89</v>
      </c>
      <c r="X201">
        <f>IF(Source!BI89=2,H200, 0)</f>
        <v>0</v>
      </c>
      <c r="Y201">
        <f>IF(Source!BI89=3,H200, 0)</f>
        <v>0</v>
      </c>
      <c r="Z201">
        <f>IF(Source!BI89=4,H200, 0)</f>
        <v>0</v>
      </c>
    </row>
    <row r="203" spans="1:26" ht="15">
      <c r="A203" s="74" t="str">
        <f>CONCATENATE("Итого по подразделу: ",IF(Source!G91&lt;&gt;"Новый подраздел", Source!G91, ""))</f>
        <v>Итого по подразделу: стены</v>
      </c>
      <c r="B203" s="74"/>
      <c r="C203" s="74"/>
      <c r="D203" s="74"/>
      <c r="E203" s="74"/>
      <c r="F203" s="74"/>
      <c r="G203" s="73">
        <f>SUM(O92:O202)</f>
        <v>200646.76</v>
      </c>
      <c r="H203" s="73"/>
      <c r="I203" s="35"/>
      <c r="J203" s="73">
        <f>SUM(P92:P202)</f>
        <v>572754.67000000004</v>
      </c>
      <c r="K203" s="73"/>
      <c r="L203" s="50">
        <f>SUM(Q92:Q202)</f>
        <v>334.28727049999998</v>
      </c>
    </row>
    <row r="207" spans="1:26" ht="15">
      <c r="A207" s="74" t="str">
        <f>CONCATENATE("Итого по разделу: ",IF(Source!G121&lt;&gt;"Новый раздел", Source!G121, ""))</f>
        <v>Итого по разделу: Монтаж</v>
      </c>
      <c r="B207" s="74"/>
      <c r="C207" s="74"/>
      <c r="D207" s="74"/>
      <c r="E207" s="74"/>
      <c r="F207" s="74"/>
      <c r="G207" s="73">
        <f>SUM(O90:O206)</f>
        <v>200646.76</v>
      </c>
      <c r="H207" s="73"/>
      <c r="I207" s="35"/>
      <c r="J207" s="73">
        <f>SUM(P90:P206)</f>
        <v>572754.67000000004</v>
      </c>
      <c r="K207" s="73"/>
      <c r="L207" s="50">
        <f>SUM(Q90:Q206)</f>
        <v>334.28727049999998</v>
      </c>
    </row>
    <row r="211" spans="1:26" ht="16.5">
      <c r="A211" s="75" t="str">
        <f>CONCATENATE("Раздел: ",IF(Source!G151&lt;&gt;"Новый раздел", Source!G151, ""))</f>
        <v>Раздел: Потолок</v>
      </c>
      <c r="B211" s="75"/>
      <c r="C211" s="75"/>
      <c r="D211" s="75"/>
      <c r="E211" s="75"/>
      <c r="F211" s="75"/>
      <c r="G211" s="75"/>
      <c r="H211" s="75"/>
      <c r="I211" s="75"/>
      <c r="J211" s="75"/>
      <c r="K211" s="75"/>
      <c r="L211" s="75"/>
    </row>
    <row r="212" spans="1:26" ht="71.25">
      <c r="A212" s="23" t="str">
        <f>Source!E155</f>
        <v>1</v>
      </c>
      <c r="B212" s="55" t="str">
        <f>Source!F155</f>
        <v>62-41-1</v>
      </c>
      <c r="C212" s="55" t="str">
        <f>Source!G155</f>
        <v>Очистка вручную поверхности фасадов от перхлорвиниловых и масляных красок с земли и лесов</v>
      </c>
      <c r="D212" s="37" t="str">
        <f>Source!H155</f>
        <v>100 м2 расчищенной поверхности</v>
      </c>
      <c r="E212" s="10">
        <f>Source!I155</f>
        <v>0.90800000000000003</v>
      </c>
      <c r="F212" s="38">
        <f>Source!AL155+Source!AM155+Source!AO155</f>
        <v>162.24</v>
      </c>
      <c r="G212" s="39"/>
      <c r="H212" s="40"/>
      <c r="I212" s="39" t="str">
        <f>Source!BO155</f>
        <v>62-41-1</v>
      </c>
      <c r="J212" s="39"/>
      <c r="K212" s="40"/>
      <c r="L212" s="41"/>
      <c r="S212">
        <f>ROUND((Source!FX155/100)*((ROUND(Source!AF155*Source!I155, 2)+ROUND(Source!AE155*Source!I155, 2))), 2)</f>
        <v>132.58000000000001</v>
      </c>
      <c r="T212">
        <f>Source!X155</f>
        <v>4454.78</v>
      </c>
      <c r="U212">
        <f>ROUND((Source!FY155/100)*((ROUND(Source!AF155*Source!I155, 2)+ROUND(Source!AE155*Source!I155, 2))), 2)</f>
        <v>67.760000000000005</v>
      </c>
      <c r="V212">
        <f>Source!Y155</f>
        <v>2276.89</v>
      </c>
    </row>
    <row r="213" spans="1:26">
      <c r="C213" s="31" t="str">
        <f>"Объем: "&amp;Source!I155&amp;"=90,8/"&amp;"100"</f>
        <v>Объем: 0,908=90,8/100</v>
      </c>
    </row>
    <row r="214" spans="1:26" ht="14.25">
      <c r="A214" s="23"/>
      <c r="B214" s="55"/>
      <c r="C214" s="55" t="s">
        <v>640</v>
      </c>
      <c r="D214" s="37"/>
      <c r="E214" s="10"/>
      <c r="F214" s="38">
        <f>Source!AO155</f>
        <v>162.24</v>
      </c>
      <c r="G214" s="39" t="str">
        <f>Source!DG155</f>
        <v/>
      </c>
      <c r="H214" s="40">
        <f>ROUND(Source!AF155*Source!I155, 2)</f>
        <v>147.31</v>
      </c>
      <c r="I214" s="39"/>
      <c r="J214" s="39">
        <f>IF(Source!BA155&lt;&gt; 0, Source!BA155, 1)</f>
        <v>33.6</v>
      </c>
      <c r="K214" s="40">
        <f>Source!S155</f>
        <v>4949.75</v>
      </c>
      <c r="L214" s="41"/>
      <c r="R214">
        <f>H214</f>
        <v>147.31</v>
      </c>
    </row>
    <row r="215" spans="1:26" ht="14.25">
      <c r="A215" s="23"/>
      <c r="B215" s="55"/>
      <c r="C215" s="55" t="s">
        <v>642</v>
      </c>
      <c r="D215" s="37" t="s">
        <v>643</v>
      </c>
      <c r="E215" s="10">
        <f>Source!BZ155</f>
        <v>90</v>
      </c>
      <c r="F215" s="58"/>
      <c r="G215" s="39"/>
      <c r="H215" s="40">
        <f>SUM(S212:S217)</f>
        <v>132.58000000000001</v>
      </c>
      <c r="I215" s="43"/>
      <c r="J215" s="36">
        <f>Source!AT155</f>
        <v>90</v>
      </c>
      <c r="K215" s="40">
        <f>SUM(T212:T217)</f>
        <v>4454.78</v>
      </c>
      <c r="L215" s="41"/>
    </row>
    <row r="216" spans="1:26" ht="14.25">
      <c r="A216" s="23"/>
      <c r="B216" s="55"/>
      <c r="C216" s="55" t="s">
        <v>644</v>
      </c>
      <c r="D216" s="37" t="s">
        <v>643</v>
      </c>
      <c r="E216" s="10">
        <f>Source!CA155</f>
        <v>46</v>
      </c>
      <c r="F216" s="58"/>
      <c r="G216" s="39"/>
      <c r="H216" s="40">
        <f>SUM(U212:U217)</f>
        <v>67.760000000000005</v>
      </c>
      <c r="I216" s="43"/>
      <c r="J216" s="36">
        <f>Source!AU155</f>
        <v>46</v>
      </c>
      <c r="K216" s="40">
        <f>SUM(V212:V217)</f>
        <v>2276.89</v>
      </c>
      <c r="L216" s="41"/>
    </row>
    <row r="217" spans="1:26" ht="14.25">
      <c r="A217" s="56"/>
      <c r="B217" s="57"/>
      <c r="C217" s="57" t="s">
        <v>645</v>
      </c>
      <c r="D217" s="44" t="s">
        <v>646</v>
      </c>
      <c r="E217" s="45">
        <f>Source!AQ155</f>
        <v>20.8</v>
      </c>
      <c r="F217" s="46"/>
      <c r="G217" s="47" t="str">
        <f>Source!DI155</f>
        <v/>
      </c>
      <c r="H217" s="48"/>
      <c r="I217" s="47"/>
      <c r="J217" s="47"/>
      <c r="K217" s="48"/>
      <c r="L217" s="49">
        <f>Source!U155</f>
        <v>18.886400000000002</v>
      </c>
    </row>
    <row r="218" spans="1:26" ht="15">
      <c r="G218" s="72">
        <f>H214+H215+H216</f>
        <v>347.65</v>
      </c>
      <c r="H218" s="72"/>
      <c r="J218" s="72">
        <f>K214+K215+K216</f>
        <v>11681.419999999998</v>
      </c>
      <c r="K218" s="72"/>
      <c r="L218" s="50">
        <f>Source!U155</f>
        <v>18.886400000000002</v>
      </c>
      <c r="O218" s="32">
        <f>G218</f>
        <v>347.65</v>
      </c>
      <c r="P218" s="32">
        <f>J218</f>
        <v>11681.419999999998</v>
      </c>
      <c r="Q218" s="32">
        <f>L218</f>
        <v>18.886400000000002</v>
      </c>
      <c r="W218">
        <f>IF(Source!BI155&lt;=1,H214+H215+H216, 0)</f>
        <v>347.65</v>
      </c>
      <c r="X218">
        <f>IF(Source!BI155=2,H214+H215+H216, 0)</f>
        <v>0</v>
      </c>
      <c r="Y218">
        <f>IF(Source!BI155=3,H214+H215+H216, 0)</f>
        <v>0</v>
      </c>
      <c r="Z218">
        <f>IF(Source!BI155=4,H214+H215+H216, 0)</f>
        <v>0</v>
      </c>
    </row>
    <row r="219" spans="1:26" ht="79.5">
      <c r="A219" s="23" t="str">
        <f>Source!E156</f>
        <v>3</v>
      </c>
      <c r="B219" s="55" t="s">
        <v>647</v>
      </c>
      <c r="C219" s="55" t="str">
        <f>Source!G156</f>
        <v>Антисептическая обработка каменных, бетонных, кирпичных и деревянных поверхностей биопиреном "Нортекс-Дезинфектор"</v>
      </c>
      <c r="D219" s="37" t="str">
        <f>Source!H156</f>
        <v>100 м2 обрабатываемой поверхности</v>
      </c>
      <c r="E219" s="10">
        <f>Source!I156</f>
        <v>0.90800000000000003</v>
      </c>
      <c r="F219" s="38">
        <f>Source!AL156+Source!AM156+Source!AO156</f>
        <v>249.45000000000002</v>
      </c>
      <c r="G219" s="39"/>
      <c r="H219" s="40"/>
      <c r="I219" s="39" t="str">
        <f>Source!BO156</f>
        <v>10-01-092-1</v>
      </c>
      <c r="J219" s="39"/>
      <c r="K219" s="40"/>
      <c r="L219" s="41"/>
      <c r="S219">
        <f>ROUND((Source!FX156/100)*((ROUND(Source!AF156*Source!I156, 2)+ROUND(Source!AE156*Source!I156, 2))), 2)</f>
        <v>51.3</v>
      </c>
      <c r="T219">
        <f>Source!X156</f>
        <v>1723.75</v>
      </c>
      <c r="U219">
        <f>ROUND((Source!FY156/100)*((ROUND(Source!AF156*Source!I156, 2)+ROUND(Source!AE156*Source!I156, 2))), 2)</f>
        <v>24.86</v>
      </c>
      <c r="V219">
        <f>Source!Y156</f>
        <v>835.22</v>
      </c>
    </row>
    <row r="220" spans="1:26">
      <c r="C220" s="31" t="str">
        <f>"Объем: "&amp;Source!I156&amp;"=90,8/"&amp;"100"</f>
        <v>Объем: 0,908=90,8/100</v>
      </c>
    </row>
    <row r="221" spans="1:26" ht="14.25">
      <c r="A221" s="23"/>
      <c r="B221" s="55"/>
      <c r="C221" s="55" t="s">
        <v>640</v>
      </c>
      <c r="D221" s="37"/>
      <c r="E221" s="10"/>
      <c r="F221" s="38">
        <f>Source!AO156</f>
        <v>50.25</v>
      </c>
      <c r="G221" s="39" t="str">
        <f>Source!DG156</f>
        <v>)*1,15</v>
      </c>
      <c r="H221" s="40">
        <f>ROUND(Source!AF156*Source!I156, 2)</f>
        <v>52.47</v>
      </c>
      <c r="I221" s="39"/>
      <c r="J221" s="39">
        <f>IF(Source!BA156&lt;&gt; 0, Source!BA156, 1)</f>
        <v>33.6</v>
      </c>
      <c r="K221" s="40">
        <f>Source!S156</f>
        <v>1763.03</v>
      </c>
      <c r="L221" s="41"/>
      <c r="R221">
        <f>H221</f>
        <v>52.47</v>
      </c>
    </row>
    <row r="222" spans="1:26" ht="14.25">
      <c r="A222" s="23"/>
      <c r="B222" s="55"/>
      <c r="C222" s="55" t="s">
        <v>75</v>
      </c>
      <c r="D222" s="37"/>
      <c r="E222" s="10"/>
      <c r="F222" s="38">
        <f>Source!AM156</f>
        <v>44.74</v>
      </c>
      <c r="G222" s="39" t="str">
        <f>Source!DE156</f>
        <v/>
      </c>
      <c r="H222" s="40">
        <f>ROUND(Source!AD156*Source!I156, 2)</f>
        <v>40.619999999999997</v>
      </c>
      <c r="I222" s="39"/>
      <c r="J222" s="39">
        <f>IF(Source!BB156&lt;&gt; 0, Source!BB156, 1)</f>
        <v>6.08</v>
      </c>
      <c r="K222" s="40">
        <f>Source!Q156</f>
        <v>246.99</v>
      </c>
      <c r="L222" s="41"/>
    </row>
    <row r="223" spans="1:26" ht="14.25">
      <c r="A223" s="23"/>
      <c r="B223" s="55"/>
      <c r="C223" s="55" t="s">
        <v>641</v>
      </c>
      <c r="D223" s="37"/>
      <c r="E223" s="10"/>
      <c r="F223" s="38">
        <f>Source!AN156</f>
        <v>0.46</v>
      </c>
      <c r="G223" s="39" t="str">
        <f>Source!DF156</f>
        <v/>
      </c>
      <c r="H223" s="42">
        <f>ROUND(Source!AE156*Source!I156, 2)</f>
        <v>0.42</v>
      </c>
      <c r="I223" s="39"/>
      <c r="J223" s="39">
        <f>IF(Source!BS156&lt;&gt; 0, Source!BS156, 1)</f>
        <v>33.6</v>
      </c>
      <c r="K223" s="42">
        <f>Source!R156</f>
        <v>14.03</v>
      </c>
      <c r="L223" s="41"/>
      <c r="R223">
        <f>H223</f>
        <v>0.42</v>
      </c>
    </row>
    <row r="224" spans="1:26" ht="14.25">
      <c r="A224" s="23"/>
      <c r="B224" s="55"/>
      <c r="C224" s="55" t="s">
        <v>648</v>
      </c>
      <c r="D224" s="37"/>
      <c r="E224" s="10"/>
      <c r="F224" s="38">
        <f>Source!AL156</f>
        <v>154.46</v>
      </c>
      <c r="G224" s="39" t="str">
        <f>Source!DD156</f>
        <v/>
      </c>
      <c r="H224" s="40">
        <f>ROUND(Source!AC156*Source!I156, 2)</f>
        <v>140.25</v>
      </c>
      <c r="I224" s="39"/>
      <c r="J224" s="39">
        <f>IF(Source!BC156&lt;&gt; 0, Source!BC156, 1)</f>
        <v>10.49</v>
      </c>
      <c r="K224" s="40">
        <f>Source!P156</f>
        <v>1471.22</v>
      </c>
      <c r="L224" s="41"/>
    </row>
    <row r="225" spans="1:26" ht="14.25">
      <c r="A225" s="23"/>
      <c r="B225" s="55"/>
      <c r="C225" s="55" t="s">
        <v>642</v>
      </c>
      <c r="D225" s="37" t="s">
        <v>643</v>
      </c>
      <c r="E225" s="10">
        <f>Source!BZ156</f>
        <v>97</v>
      </c>
      <c r="F225" s="58"/>
      <c r="G225" s="39"/>
      <c r="H225" s="40">
        <f>SUM(S219:S227)</f>
        <v>51.3</v>
      </c>
      <c r="I225" s="43"/>
      <c r="J225" s="36">
        <f>Source!AT156</f>
        <v>97</v>
      </c>
      <c r="K225" s="40">
        <f>SUM(T219:T227)</f>
        <v>1723.75</v>
      </c>
      <c r="L225" s="41"/>
    </row>
    <row r="226" spans="1:26" ht="14.25">
      <c r="A226" s="23"/>
      <c r="B226" s="55"/>
      <c r="C226" s="55" t="s">
        <v>644</v>
      </c>
      <c r="D226" s="37" t="s">
        <v>643</v>
      </c>
      <c r="E226" s="10">
        <f>Source!CA156</f>
        <v>47</v>
      </c>
      <c r="F226" s="58"/>
      <c r="G226" s="39"/>
      <c r="H226" s="40">
        <f>SUM(U219:U227)</f>
        <v>24.86</v>
      </c>
      <c r="I226" s="43"/>
      <c r="J226" s="36">
        <f>Source!AU156</f>
        <v>47</v>
      </c>
      <c r="K226" s="40">
        <f>SUM(V219:V227)</f>
        <v>835.22</v>
      </c>
      <c r="L226" s="41"/>
    </row>
    <row r="227" spans="1:26" ht="14.25">
      <c r="A227" s="56"/>
      <c r="B227" s="57"/>
      <c r="C227" s="57" t="s">
        <v>645</v>
      </c>
      <c r="D227" s="44" t="s">
        <v>646</v>
      </c>
      <c r="E227" s="45">
        <f>Source!AQ156</f>
        <v>5.94</v>
      </c>
      <c r="F227" s="46"/>
      <c r="G227" s="47" t="str">
        <f>Source!DI156</f>
        <v>)*1,15</v>
      </c>
      <c r="H227" s="48"/>
      <c r="I227" s="47"/>
      <c r="J227" s="47"/>
      <c r="K227" s="48"/>
      <c r="L227" s="49">
        <f>Source!U156</f>
        <v>6.2025480000000002</v>
      </c>
    </row>
    <row r="228" spans="1:26" ht="15">
      <c r="G228" s="72">
        <f>H221+H222+H224+H225+H226</f>
        <v>309.5</v>
      </c>
      <c r="H228" s="72"/>
      <c r="J228" s="72">
        <f>K221+K222+K224+K225+K226</f>
        <v>6040.21</v>
      </c>
      <c r="K228" s="72"/>
      <c r="L228" s="50">
        <f>Source!U156</f>
        <v>6.2025480000000002</v>
      </c>
      <c r="O228" s="32">
        <f>G228</f>
        <v>309.5</v>
      </c>
      <c r="P228" s="32">
        <f>J228</f>
        <v>6040.21</v>
      </c>
      <c r="Q228" s="32">
        <f>L228</f>
        <v>6.2025480000000002</v>
      </c>
      <c r="W228">
        <f>IF(Source!BI156&lt;=1,H221+H222+H224+H225+H226, 0)</f>
        <v>309.5</v>
      </c>
      <c r="X228">
        <f>IF(Source!BI156=2,H221+H222+H224+H225+H226, 0)</f>
        <v>0</v>
      </c>
      <c r="Y228">
        <f>IF(Source!BI156=3,H221+H222+H224+H225+H226, 0)</f>
        <v>0</v>
      </c>
      <c r="Z228">
        <f>IF(Source!BI156=4,H221+H222+H224+H225+H226, 0)</f>
        <v>0</v>
      </c>
    </row>
    <row r="229" spans="1:26" ht="79.5">
      <c r="A229" s="23" t="str">
        <f>Source!E157</f>
        <v>5</v>
      </c>
      <c r="B229" s="55" t="s">
        <v>658</v>
      </c>
      <c r="C229" s="55" t="str">
        <f>Source!G157</f>
        <v>Окраска поливинилацетатными водоэмульсионными составами улучшенная по штукатурке потолков</v>
      </c>
      <c r="D229" s="37" t="str">
        <f>Source!H157</f>
        <v>100 м2 окрашиваемой поверхности</v>
      </c>
      <c r="E229" s="10">
        <f>Source!I157</f>
        <v>0.90800000000000003</v>
      </c>
      <c r="F229" s="38">
        <f>Source!AL157+Source!AM157+Source!AO157</f>
        <v>1863.71</v>
      </c>
      <c r="G229" s="39"/>
      <c r="H229" s="40"/>
      <c r="I229" s="39" t="str">
        <f>Source!BO157</f>
        <v>15-04-005-4</v>
      </c>
      <c r="J229" s="39"/>
      <c r="K229" s="40"/>
      <c r="L229" s="41"/>
      <c r="S229">
        <f>ROUND((Source!FX157/100)*((ROUND(Source!AF157*Source!I157, 2)+ROUND(Source!AE157*Source!I157, 2))), 2)</f>
        <v>454.59</v>
      </c>
      <c r="T229">
        <f>Source!X157</f>
        <v>15274.07</v>
      </c>
      <c r="U229">
        <f>ROUND((Source!FY157/100)*((ROUND(Source!AF157*Source!I157, 2)+ROUND(Source!AE157*Source!I157, 2))), 2)</f>
        <v>212.14</v>
      </c>
      <c r="V229">
        <f>Source!Y157</f>
        <v>7127.9</v>
      </c>
    </row>
    <row r="230" spans="1:26">
      <c r="C230" s="31" t="str">
        <f>"Объем: "&amp;Source!I157&amp;"=90,8/"&amp;"100"</f>
        <v>Объем: 0,908=90,8/100</v>
      </c>
    </row>
    <row r="231" spans="1:26" ht="14.25">
      <c r="A231" s="23"/>
      <c r="B231" s="55"/>
      <c r="C231" s="55" t="s">
        <v>640</v>
      </c>
      <c r="D231" s="37"/>
      <c r="E231" s="10"/>
      <c r="F231" s="38">
        <f>Source!AO157</f>
        <v>483.48</v>
      </c>
      <c r="G231" s="39" t="str">
        <f>Source!DG157</f>
        <v>)*1,15</v>
      </c>
      <c r="H231" s="40">
        <f>ROUND(Source!AF157*Source!I157, 2)</f>
        <v>504.85</v>
      </c>
      <c r="I231" s="39"/>
      <c r="J231" s="39">
        <f>IF(Source!BA157&lt;&gt; 0, Source!BA157, 1)</f>
        <v>33.6</v>
      </c>
      <c r="K231" s="40">
        <f>Source!S157</f>
        <v>16962.95</v>
      </c>
      <c r="L231" s="41"/>
      <c r="R231">
        <f>H231</f>
        <v>504.85</v>
      </c>
    </row>
    <row r="232" spans="1:26" ht="14.25">
      <c r="A232" s="23"/>
      <c r="B232" s="55"/>
      <c r="C232" s="55" t="s">
        <v>75</v>
      </c>
      <c r="D232" s="37"/>
      <c r="E232" s="10"/>
      <c r="F232" s="38">
        <f>Source!AM157</f>
        <v>14.57</v>
      </c>
      <c r="G232" s="39" t="str">
        <f>Source!DE157</f>
        <v/>
      </c>
      <c r="H232" s="40">
        <f>ROUND(Source!AD157*Source!I157, 2)</f>
        <v>13.23</v>
      </c>
      <c r="I232" s="39"/>
      <c r="J232" s="39">
        <f>IF(Source!BB157&lt;&gt; 0, Source!BB157, 1)</f>
        <v>10.88</v>
      </c>
      <c r="K232" s="40">
        <f>Source!Q157</f>
        <v>143.94</v>
      </c>
      <c r="L232" s="41"/>
    </row>
    <row r="233" spans="1:26" ht="14.25">
      <c r="A233" s="23"/>
      <c r="B233" s="55"/>
      <c r="C233" s="55" t="s">
        <v>641</v>
      </c>
      <c r="D233" s="37"/>
      <c r="E233" s="10"/>
      <c r="F233" s="38">
        <f>Source!AN157</f>
        <v>0.27</v>
      </c>
      <c r="G233" s="39" t="str">
        <f>Source!DF157</f>
        <v/>
      </c>
      <c r="H233" s="42">
        <f>ROUND(Source!AE157*Source!I157, 2)</f>
        <v>0.25</v>
      </c>
      <c r="I233" s="39"/>
      <c r="J233" s="39">
        <f>IF(Source!BS157&lt;&gt; 0, Source!BS157, 1)</f>
        <v>33.6</v>
      </c>
      <c r="K233" s="42">
        <f>Source!R157</f>
        <v>8.24</v>
      </c>
      <c r="L233" s="41"/>
      <c r="R233">
        <f>H233</f>
        <v>0.25</v>
      </c>
    </row>
    <row r="234" spans="1:26" ht="14.25">
      <c r="A234" s="23"/>
      <c r="B234" s="55"/>
      <c r="C234" s="55" t="s">
        <v>648</v>
      </c>
      <c r="D234" s="37"/>
      <c r="E234" s="10"/>
      <c r="F234" s="38">
        <f>Source!AL157</f>
        <v>1365.66</v>
      </c>
      <c r="G234" s="39" t="str">
        <f>Source!DD157</f>
        <v/>
      </c>
      <c r="H234" s="40">
        <f>ROUND(Source!AC157*Source!I157, 2)</f>
        <v>1240.02</v>
      </c>
      <c r="I234" s="39"/>
      <c r="J234" s="39">
        <f>IF(Source!BC157&lt;&gt; 0, Source!BC157, 1)</f>
        <v>3.98</v>
      </c>
      <c r="K234" s="40">
        <f>Source!P157</f>
        <v>4935.28</v>
      </c>
      <c r="L234" s="41"/>
    </row>
    <row r="235" spans="1:26" ht="14.25">
      <c r="A235" s="23"/>
      <c r="B235" s="55"/>
      <c r="C235" s="55" t="s">
        <v>642</v>
      </c>
      <c r="D235" s="37" t="s">
        <v>643</v>
      </c>
      <c r="E235" s="10">
        <f>Source!BZ157</f>
        <v>90</v>
      </c>
      <c r="F235" s="58"/>
      <c r="G235" s="39"/>
      <c r="H235" s="40">
        <f>SUM(S229:S237)</f>
        <v>454.59</v>
      </c>
      <c r="I235" s="43"/>
      <c r="J235" s="36">
        <f>Source!AT157</f>
        <v>90</v>
      </c>
      <c r="K235" s="40">
        <f>SUM(T229:T237)</f>
        <v>15274.07</v>
      </c>
      <c r="L235" s="41"/>
    </row>
    <row r="236" spans="1:26" ht="14.25">
      <c r="A236" s="23"/>
      <c r="B236" s="55"/>
      <c r="C236" s="55" t="s">
        <v>644</v>
      </c>
      <c r="D236" s="37" t="s">
        <v>643</v>
      </c>
      <c r="E236" s="10">
        <f>Source!CA157</f>
        <v>42</v>
      </c>
      <c r="F236" s="58"/>
      <c r="G236" s="39"/>
      <c r="H236" s="40">
        <f>SUM(U229:U237)</f>
        <v>212.14</v>
      </c>
      <c r="I236" s="43"/>
      <c r="J236" s="36">
        <f>Source!AU157</f>
        <v>42</v>
      </c>
      <c r="K236" s="40">
        <f>SUM(V229:V237)</f>
        <v>7127.9</v>
      </c>
      <c r="L236" s="41"/>
    </row>
    <row r="237" spans="1:26" ht="14.25">
      <c r="A237" s="56"/>
      <c r="B237" s="57"/>
      <c r="C237" s="57" t="s">
        <v>645</v>
      </c>
      <c r="D237" s="44" t="s">
        <v>646</v>
      </c>
      <c r="E237" s="45">
        <f>Source!AQ157</f>
        <v>53.9</v>
      </c>
      <c r="F237" s="46"/>
      <c r="G237" s="47" t="str">
        <f>Source!DI157</f>
        <v>)*1,15</v>
      </c>
      <c r="H237" s="48"/>
      <c r="I237" s="47"/>
      <c r="J237" s="47"/>
      <c r="K237" s="48"/>
      <c r="L237" s="49">
        <f>Source!U157</f>
        <v>56.282379999999996</v>
      </c>
    </row>
    <row r="238" spans="1:26" ht="15">
      <c r="G238" s="72">
        <f>H231+H232+H234+H235+H236</f>
        <v>2424.83</v>
      </c>
      <c r="H238" s="72"/>
      <c r="J238" s="72">
        <f>K231+K232+K234+K235+K236</f>
        <v>44444.14</v>
      </c>
      <c r="K238" s="72"/>
      <c r="L238" s="50">
        <f>Source!U157</f>
        <v>56.282379999999996</v>
      </c>
      <c r="O238" s="32">
        <f>G238</f>
        <v>2424.83</v>
      </c>
      <c r="P238" s="32">
        <f>J238</f>
        <v>44444.14</v>
      </c>
      <c r="Q238" s="32">
        <f>L238</f>
        <v>56.282379999999996</v>
      </c>
      <c r="W238">
        <f>IF(Source!BI157&lt;=1,H231+H232+H234+H235+H236, 0)</f>
        <v>2424.83</v>
      </c>
      <c r="X238">
        <f>IF(Source!BI157=2,H231+H232+H234+H235+H236, 0)</f>
        <v>0</v>
      </c>
      <c r="Y238">
        <f>IF(Source!BI157=3,H231+H232+H234+H235+H236, 0)</f>
        <v>0</v>
      </c>
      <c r="Z238">
        <f>IF(Source!BI157=4,H231+H232+H234+H235+H236, 0)</f>
        <v>0</v>
      </c>
    </row>
    <row r="240" spans="1:26" ht="15">
      <c r="A240" s="74" t="str">
        <f>CONCATENATE("Итого по разделу: ",IF(Source!G159&lt;&gt;"Новый раздел", Source!G159, ""))</f>
        <v>Итого по разделу: Потолок</v>
      </c>
      <c r="B240" s="74"/>
      <c r="C240" s="74"/>
      <c r="D240" s="74"/>
      <c r="E240" s="74"/>
      <c r="F240" s="74"/>
      <c r="G240" s="73">
        <f>SUM(O211:O239)</f>
        <v>3081.98</v>
      </c>
      <c r="H240" s="73"/>
      <c r="I240" s="35"/>
      <c r="J240" s="73">
        <f>SUM(P211:P239)</f>
        <v>62165.77</v>
      </c>
      <c r="K240" s="73"/>
      <c r="L240" s="50">
        <f>SUM(Q211:Q239)</f>
        <v>81.371328000000005</v>
      </c>
    </row>
    <row r="244" spans="1:26" ht="16.5">
      <c r="A244" s="75" t="str">
        <f>CONCATENATE("Раздел: ",IF(Source!G189&lt;&gt;"Новый раздел", Source!G189, ""))</f>
        <v>Раздел: Оконный блок</v>
      </c>
      <c r="B244" s="75"/>
      <c r="C244" s="75"/>
      <c r="D244" s="75"/>
      <c r="E244" s="75"/>
      <c r="F244" s="75"/>
      <c r="G244" s="75"/>
      <c r="H244" s="75"/>
      <c r="I244" s="75"/>
      <c r="J244" s="75"/>
      <c r="K244" s="75"/>
      <c r="L244" s="75"/>
    </row>
    <row r="245" spans="1:26" ht="79.5">
      <c r="A245" s="23" t="str">
        <f>Source!E193</f>
        <v>1</v>
      </c>
      <c r="B245" s="55" t="s">
        <v>659</v>
      </c>
      <c r="C245" s="55" t="str">
        <f>Source!G193</f>
        <v>Пробивка проемов в конструкциях из кирпича</v>
      </c>
      <c r="D245" s="37" t="str">
        <f>Source!H193</f>
        <v>1 м3</v>
      </c>
      <c r="E245" s="10">
        <f>Source!I193</f>
        <v>1.53</v>
      </c>
      <c r="F245" s="38">
        <f>Source!AL193+Source!AM193+Source!AO193</f>
        <v>236.36</v>
      </c>
      <c r="G245" s="39"/>
      <c r="H245" s="40"/>
      <c r="I245" s="39" t="str">
        <f>Source!BO193</f>
        <v>46-03-007-3</v>
      </c>
      <c r="J245" s="39"/>
      <c r="K245" s="40"/>
      <c r="L245" s="41"/>
      <c r="S245">
        <f>ROUND((Source!FX193/100)*((ROUND(Source!AF193*Source!I193, 2)+ROUND(Source!AE193*Source!I193, 2))), 2)</f>
        <v>240.22</v>
      </c>
      <c r="T245">
        <f>Source!X193</f>
        <v>8071.17</v>
      </c>
      <c r="U245">
        <f>ROUND((Source!FY193/100)*((ROUND(Source!AF193*Source!I193, 2)+ROUND(Source!AE193*Source!I193, 2))), 2)</f>
        <v>137.6</v>
      </c>
      <c r="V245">
        <f>Source!Y193</f>
        <v>4623.29</v>
      </c>
    </row>
    <row r="246" spans="1:26" ht="14.25">
      <c r="A246" s="23"/>
      <c r="B246" s="55"/>
      <c r="C246" s="55" t="s">
        <v>640</v>
      </c>
      <c r="D246" s="37"/>
      <c r="E246" s="10"/>
      <c r="F246" s="38">
        <f>Source!AO193</f>
        <v>110.33</v>
      </c>
      <c r="G246" s="39" t="str">
        <f>Source!DG193</f>
        <v>)*1,15</v>
      </c>
      <c r="H246" s="40">
        <f>ROUND(Source!AF193*Source!I193, 2)</f>
        <v>194.13</v>
      </c>
      <c r="I246" s="39"/>
      <c r="J246" s="39">
        <f>IF(Source!BA193&lt;&gt; 0, Source!BA193, 1)</f>
        <v>33.6</v>
      </c>
      <c r="K246" s="40">
        <f>Source!S193</f>
        <v>6522.62</v>
      </c>
      <c r="L246" s="41"/>
      <c r="R246">
        <f>H246</f>
        <v>194.13</v>
      </c>
    </row>
    <row r="247" spans="1:26" ht="14.25">
      <c r="A247" s="23"/>
      <c r="B247" s="55"/>
      <c r="C247" s="55" t="s">
        <v>75</v>
      </c>
      <c r="D247" s="37"/>
      <c r="E247" s="10"/>
      <c r="F247" s="38">
        <f>Source!AM193</f>
        <v>126.03</v>
      </c>
      <c r="G247" s="39" t="str">
        <f>Source!DE193</f>
        <v/>
      </c>
      <c r="H247" s="40">
        <f>ROUND(Source!AD193*Source!I193, 2)</f>
        <v>192.83</v>
      </c>
      <c r="I247" s="39"/>
      <c r="J247" s="39">
        <f>IF(Source!BB193&lt;&gt; 0, Source!BB193, 1)</f>
        <v>11.07</v>
      </c>
      <c r="K247" s="40">
        <f>Source!Q193</f>
        <v>2134.58</v>
      </c>
      <c r="L247" s="41"/>
    </row>
    <row r="248" spans="1:26" ht="14.25">
      <c r="A248" s="23"/>
      <c r="B248" s="55"/>
      <c r="C248" s="55" t="s">
        <v>641</v>
      </c>
      <c r="D248" s="37"/>
      <c r="E248" s="10"/>
      <c r="F248" s="38">
        <f>Source!AN193</f>
        <v>25.55</v>
      </c>
      <c r="G248" s="39" t="str">
        <f>Source!DF193</f>
        <v/>
      </c>
      <c r="H248" s="42">
        <f>ROUND(Source!AE193*Source!I193, 2)</f>
        <v>39.090000000000003</v>
      </c>
      <c r="I248" s="39"/>
      <c r="J248" s="39">
        <f>IF(Source!BS193&lt;&gt; 0, Source!BS193, 1)</f>
        <v>33.6</v>
      </c>
      <c r="K248" s="42">
        <f>Source!R193</f>
        <v>1313.47</v>
      </c>
      <c r="L248" s="41"/>
      <c r="R248">
        <f>H248</f>
        <v>39.090000000000003</v>
      </c>
    </row>
    <row r="249" spans="1:26" ht="14.25">
      <c r="A249" s="23"/>
      <c r="B249" s="55"/>
      <c r="C249" s="55" t="s">
        <v>642</v>
      </c>
      <c r="D249" s="37" t="s">
        <v>643</v>
      </c>
      <c r="E249" s="10">
        <f>Source!BZ193</f>
        <v>103</v>
      </c>
      <c r="F249" s="58"/>
      <c r="G249" s="39"/>
      <c r="H249" s="40">
        <f>SUM(S245:S251)</f>
        <v>240.22</v>
      </c>
      <c r="I249" s="43"/>
      <c r="J249" s="36">
        <f>Source!AT193</f>
        <v>103</v>
      </c>
      <c r="K249" s="40">
        <f>SUM(T245:T251)</f>
        <v>8071.17</v>
      </c>
      <c r="L249" s="41"/>
    </row>
    <row r="250" spans="1:26" ht="14.25">
      <c r="A250" s="23"/>
      <c r="B250" s="55"/>
      <c r="C250" s="55" t="s">
        <v>644</v>
      </c>
      <c r="D250" s="37" t="s">
        <v>643</v>
      </c>
      <c r="E250" s="10">
        <f>Source!CA193</f>
        <v>59</v>
      </c>
      <c r="F250" s="58"/>
      <c r="G250" s="39"/>
      <c r="H250" s="40">
        <f>SUM(U245:U251)</f>
        <v>137.6</v>
      </c>
      <c r="I250" s="43"/>
      <c r="J250" s="36">
        <f>Source!AU193</f>
        <v>59</v>
      </c>
      <c r="K250" s="40">
        <f>SUM(V245:V251)</f>
        <v>4623.29</v>
      </c>
      <c r="L250" s="41"/>
    </row>
    <row r="251" spans="1:26" ht="14.25">
      <c r="A251" s="56"/>
      <c r="B251" s="57"/>
      <c r="C251" s="57" t="s">
        <v>645</v>
      </c>
      <c r="D251" s="44" t="s">
        <v>646</v>
      </c>
      <c r="E251" s="45">
        <f>Source!AQ193</f>
        <v>12.3</v>
      </c>
      <c r="F251" s="46"/>
      <c r="G251" s="47" t="str">
        <f>Source!DI193</f>
        <v>)*1,15</v>
      </c>
      <c r="H251" s="48"/>
      <c r="I251" s="47"/>
      <c r="J251" s="47"/>
      <c r="K251" s="48"/>
      <c r="L251" s="49">
        <f>Source!U193</f>
        <v>21.641849999999998</v>
      </c>
    </row>
    <row r="252" spans="1:26" ht="15">
      <c r="G252" s="72">
        <f>H246+H247+H249+H250</f>
        <v>764.78000000000009</v>
      </c>
      <c r="H252" s="72"/>
      <c r="J252" s="72">
        <f>K246+K247+K249+K250</f>
        <v>21351.660000000003</v>
      </c>
      <c r="K252" s="72"/>
      <c r="L252" s="50">
        <f>Source!U193</f>
        <v>21.641849999999998</v>
      </c>
      <c r="O252" s="32">
        <f>G252</f>
        <v>764.78000000000009</v>
      </c>
      <c r="P252" s="32">
        <f>J252</f>
        <v>21351.660000000003</v>
      </c>
      <c r="Q252" s="32">
        <f>L252</f>
        <v>21.641849999999998</v>
      </c>
      <c r="W252">
        <f>IF(Source!BI193&lt;=1,H246+H247+H249+H250, 0)</f>
        <v>764.78000000000009</v>
      </c>
      <c r="X252">
        <f>IF(Source!BI193=2,H246+H247+H249+H250, 0)</f>
        <v>0</v>
      </c>
      <c r="Y252">
        <f>IF(Source!BI193=3,H246+H247+H249+H250, 0)</f>
        <v>0</v>
      </c>
      <c r="Z252">
        <f>IF(Source!BI193=4,H246+H247+H249+H250, 0)</f>
        <v>0</v>
      </c>
    </row>
    <row r="253" spans="1:26" ht="79.5">
      <c r="A253" s="23" t="str">
        <f>Source!E194</f>
        <v>2</v>
      </c>
      <c r="B253" s="55" t="s">
        <v>660</v>
      </c>
      <c r="C253" s="55" t="str">
        <f>Source!G194</f>
        <v>Установка в жилых и общественных зданиях оконных блоков из ПВХ профилей глухих с площадью проема до 2 м2</v>
      </c>
      <c r="D253" s="37" t="str">
        <f>Source!H194</f>
        <v>100 м2 проемов</v>
      </c>
      <c r="E253" s="10">
        <f>Source!I194</f>
        <v>0.02</v>
      </c>
      <c r="F253" s="38">
        <f>Source!AL194+Source!AM194+Source!AO194</f>
        <v>175916.66999999998</v>
      </c>
      <c r="G253" s="39"/>
      <c r="H253" s="40"/>
      <c r="I253" s="39" t="str">
        <f>Source!BO194</f>
        <v>10-01-034-1</v>
      </c>
      <c r="J253" s="39"/>
      <c r="K253" s="40"/>
      <c r="L253" s="41"/>
      <c r="S253">
        <f>ROUND((Source!FX194/100)*((ROUND(Source!AF194*Source!I194, 2)+ROUND(Source!AE194*Source!I194, 2))), 2)</f>
        <v>33.76</v>
      </c>
      <c r="T253">
        <f>Source!X194</f>
        <v>1134.19</v>
      </c>
      <c r="U253">
        <f>ROUND((Source!FY194/100)*((ROUND(Source!AF194*Source!I194, 2)+ROUND(Source!AE194*Source!I194, 2))), 2)</f>
        <v>16.36</v>
      </c>
      <c r="V253">
        <f>Source!Y194</f>
        <v>549.55999999999995</v>
      </c>
    </row>
    <row r="254" spans="1:26">
      <c r="C254" s="31" t="str">
        <f>"Объем: "&amp;Source!I194&amp;"=2/"&amp;"100"</f>
        <v>Объем: 0,02=2/100</v>
      </c>
    </row>
    <row r="255" spans="1:26" ht="14.25">
      <c r="A255" s="23"/>
      <c r="B255" s="55"/>
      <c r="C255" s="55" t="s">
        <v>640</v>
      </c>
      <c r="D255" s="37"/>
      <c r="E255" s="10"/>
      <c r="F255" s="38">
        <f>Source!AO194</f>
        <v>1492.36</v>
      </c>
      <c r="G255" s="39" t="str">
        <f>Source!DG194</f>
        <v>)*1,15</v>
      </c>
      <c r="H255" s="40">
        <f>ROUND(Source!AF194*Source!I194, 2)</f>
        <v>34.32</v>
      </c>
      <c r="I255" s="39"/>
      <c r="J255" s="39">
        <f>IF(Source!BA194&lt;&gt; 0, Source!BA194, 1)</f>
        <v>33.6</v>
      </c>
      <c r="K255" s="40">
        <f>Source!S194</f>
        <v>1153.3</v>
      </c>
      <c r="L255" s="41"/>
      <c r="R255">
        <f>H255</f>
        <v>34.32</v>
      </c>
    </row>
    <row r="256" spans="1:26" ht="14.25">
      <c r="A256" s="23"/>
      <c r="B256" s="55"/>
      <c r="C256" s="55" t="s">
        <v>75</v>
      </c>
      <c r="D256" s="37"/>
      <c r="E256" s="10"/>
      <c r="F256" s="38">
        <f>Source!AM194</f>
        <v>427.09</v>
      </c>
      <c r="G256" s="39" t="str">
        <f>Source!DE194</f>
        <v/>
      </c>
      <c r="H256" s="40">
        <f>ROUND(Source!AD194*Source!I194, 2)</f>
        <v>8.5399999999999991</v>
      </c>
      <c r="I256" s="39"/>
      <c r="J256" s="39">
        <f>IF(Source!BB194&lt;&gt; 0, Source!BB194, 1)</f>
        <v>11.14</v>
      </c>
      <c r="K256" s="40">
        <f>Source!Q194</f>
        <v>95.16</v>
      </c>
      <c r="L256" s="41"/>
    </row>
    <row r="257" spans="1:26" ht="14.25">
      <c r="A257" s="23"/>
      <c r="B257" s="55"/>
      <c r="C257" s="55" t="s">
        <v>641</v>
      </c>
      <c r="D257" s="37"/>
      <c r="E257" s="10"/>
      <c r="F257" s="38">
        <f>Source!AN194</f>
        <v>23.76</v>
      </c>
      <c r="G257" s="39" t="str">
        <f>Source!DF194</f>
        <v/>
      </c>
      <c r="H257" s="42">
        <f>ROUND(Source!AE194*Source!I194, 2)</f>
        <v>0.48</v>
      </c>
      <c r="I257" s="39"/>
      <c r="J257" s="39">
        <f>IF(Source!BS194&lt;&gt; 0, Source!BS194, 1)</f>
        <v>33.6</v>
      </c>
      <c r="K257" s="42">
        <f>Source!R194</f>
        <v>15.97</v>
      </c>
      <c r="L257" s="41"/>
      <c r="R257">
        <f>H257</f>
        <v>0.48</v>
      </c>
    </row>
    <row r="258" spans="1:26" ht="14.25">
      <c r="A258" s="23"/>
      <c r="B258" s="55"/>
      <c r="C258" s="55" t="s">
        <v>648</v>
      </c>
      <c r="D258" s="37"/>
      <c r="E258" s="10"/>
      <c r="F258" s="38">
        <f>Source!AL194</f>
        <v>173997.22</v>
      </c>
      <c r="G258" s="39" t="str">
        <f>Source!DD194</f>
        <v/>
      </c>
      <c r="H258" s="40">
        <f>ROUND(Source!AC194*Source!I194, 2)</f>
        <v>3479.94</v>
      </c>
      <c r="I258" s="39"/>
      <c r="J258" s="39">
        <f>IF(Source!BC194&lt;&gt; 0, Source!BC194, 1)</f>
        <v>1.77</v>
      </c>
      <c r="K258" s="40">
        <f>Source!P194</f>
        <v>6159.5</v>
      </c>
      <c r="L258" s="41"/>
    </row>
    <row r="259" spans="1:26" ht="14.25">
      <c r="A259" s="23"/>
      <c r="B259" s="55"/>
      <c r="C259" s="55" t="s">
        <v>642</v>
      </c>
      <c r="D259" s="37" t="s">
        <v>643</v>
      </c>
      <c r="E259" s="10">
        <f>Source!BZ194</f>
        <v>97</v>
      </c>
      <c r="F259" s="58"/>
      <c r="G259" s="39"/>
      <c r="H259" s="40">
        <f>SUM(S253:S263)</f>
        <v>33.76</v>
      </c>
      <c r="I259" s="43"/>
      <c r="J259" s="36">
        <f>Source!AT194</f>
        <v>97</v>
      </c>
      <c r="K259" s="40">
        <f>SUM(T253:T263)</f>
        <v>1134.19</v>
      </c>
      <c r="L259" s="41"/>
    </row>
    <row r="260" spans="1:26" ht="14.25">
      <c r="A260" s="23"/>
      <c r="B260" s="55"/>
      <c r="C260" s="55" t="s">
        <v>644</v>
      </c>
      <c r="D260" s="37" t="s">
        <v>643</v>
      </c>
      <c r="E260" s="10">
        <f>Source!CA194</f>
        <v>47</v>
      </c>
      <c r="F260" s="58"/>
      <c r="G260" s="39"/>
      <c r="H260" s="40">
        <f>SUM(U253:U263)</f>
        <v>16.36</v>
      </c>
      <c r="I260" s="43"/>
      <c r="J260" s="36">
        <f>Source!AU194</f>
        <v>47</v>
      </c>
      <c r="K260" s="40">
        <f>SUM(V253:V263)</f>
        <v>549.55999999999995</v>
      </c>
      <c r="L260" s="41"/>
    </row>
    <row r="261" spans="1:26" ht="14.25">
      <c r="A261" s="23"/>
      <c r="B261" s="55"/>
      <c r="C261" s="55" t="s">
        <v>645</v>
      </c>
      <c r="D261" s="37" t="s">
        <v>646</v>
      </c>
      <c r="E261" s="10">
        <f>Source!AQ194</f>
        <v>170.75</v>
      </c>
      <c r="F261" s="38"/>
      <c r="G261" s="39" t="str">
        <f>Source!DI194</f>
        <v>)*1,15</v>
      </c>
      <c r="H261" s="40"/>
      <c r="I261" s="39"/>
      <c r="J261" s="39"/>
      <c r="K261" s="40"/>
      <c r="L261" s="51">
        <f>Source!U194</f>
        <v>3.9272499999999999</v>
      </c>
    </row>
    <row r="262" spans="1:26" ht="57">
      <c r="A262" s="23" t="str">
        <f>Source!E195</f>
        <v>2,1</v>
      </c>
      <c r="B262" s="55" t="str">
        <f>Source!F195</f>
        <v>203-0938</v>
      </c>
      <c r="C262" s="55" t="str">
        <f>Source!G195</f>
        <v>Блок оконный пластиковый глухой, одностворчатый с однокамерным стеклопакетом (24 мм), площадью до 2 м2</v>
      </c>
      <c r="D262" s="37" t="str">
        <f>Source!H195</f>
        <v>м2</v>
      </c>
      <c r="E262" s="10">
        <f>Source!I195</f>
        <v>-2</v>
      </c>
      <c r="F262" s="38">
        <f>Source!AL195+Source!AM195+Source!AO195</f>
        <v>1630.31</v>
      </c>
      <c r="G262" s="54" t="s">
        <v>3</v>
      </c>
      <c r="H262" s="40">
        <f>ROUND(Source!AC195*Source!I195, 2)+ROUND(Source!AD195*Source!I195, 2)+ROUND(Source!AF195*Source!I195, 2)</f>
        <v>-3260.62</v>
      </c>
      <c r="I262" s="39"/>
      <c r="J262" s="39">
        <f>IF(Source!BC195&lt;&gt; 0, Source!BC195, 1)</f>
        <v>1.6</v>
      </c>
      <c r="K262" s="40">
        <f>Source!O195</f>
        <v>-5216.99</v>
      </c>
      <c r="L262" s="41"/>
      <c r="S262">
        <f>ROUND((Source!FX195/100)*((ROUND(Source!AF195*Source!I195, 2)+ROUND(Source!AE195*Source!I195, 2))), 2)</f>
        <v>0</v>
      </c>
      <c r="T262">
        <f>Source!X195</f>
        <v>0</v>
      </c>
      <c r="U262">
        <f>ROUND((Source!FY195/100)*((ROUND(Source!AF195*Source!I195, 2)+ROUND(Source!AE195*Source!I195, 2))), 2)</f>
        <v>0</v>
      </c>
      <c r="V262">
        <f>Source!Y195</f>
        <v>0</v>
      </c>
      <c r="W262">
        <f>IF(Source!BI195&lt;=1,H262, 0)</f>
        <v>-3260.62</v>
      </c>
      <c r="X262">
        <f>IF(Source!BI195=2,H262, 0)</f>
        <v>0</v>
      </c>
      <c r="Y262">
        <f>IF(Source!BI195=3,H262, 0)</f>
        <v>0</v>
      </c>
      <c r="Z262">
        <f>IF(Source!BI195=4,H262, 0)</f>
        <v>0</v>
      </c>
    </row>
    <row r="263" spans="1:26" ht="42.75">
      <c r="A263" s="56" t="str">
        <f>Source!E196</f>
        <v>2,2</v>
      </c>
      <c r="B263" s="57" t="str">
        <f>Source!F196</f>
        <v>цена постовщика</v>
      </c>
      <c r="C263" s="57" t="str">
        <f>Source!G196</f>
        <v>окно пластиковое двустворчатое,двухкамерное стеклопакетом</v>
      </c>
      <c r="D263" s="44" t="str">
        <f>Source!H196</f>
        <v/>
      </c>
      <c r="E263" s="45">
        <f>Source!I196</f>
        <v>1</v>
      </c>
      <c r="F263" s="46">
        <f>Source!AL196+Source!AM196+Source!AO196</f>
        <v>18000</v>
      </c>
      <c r="G263" s="52" t="s">
        <v>3</v>
      </c>
      <c r="H263" s="48">
        <f>ROUND(Source!AC196*Source!I196, 2)+ROUND(Source!AD196*Source!I196, 2)+ROUND(Source!AF196*Source!I196, 2)</f>
        <v>18000</v>
      </c>
      <c r="I263" s="47"/>
      <c r="J263" s="47">
        <f>IF(Source!BC196&lt;&gt; 0, Source!BC196, 1)</f>
        <v>1</v>
      </c>
      <c r="K263" s="48">
        <f>Source!O196</f>
        <v>18000</v>
      </c>
      <c r="L263" s="53"/>
      <c r="S263">
        <f>ROUND((Source!FX196/100)*((ROUND(Source!AF196*Source!I196, 2)+ROUND(Source!AE196*Source!I196, 2))), 2)</f>
        <v>0</v>
      </c>
      <c r="T263">
        <f>Source!X196</f>
        <v>0</v>
      </c>
      <c r="U263">
        <f>ROUND((Source!FY196/100)*((ROUND(Source!AF196*Source!I196, 2)+ROUND(Source!AE196*Source!I196, 2))), 2)</f>
        <v>0</v>
      </c>
      <c r="V263">
        <f>Source!Y196</f>
        <v>0</v>
      </c>
      <c r="W263">
        <f>IF(Source!BI196&lt;=1,H263, 0)</f>
        <v>18000</v>
      </c>
      <c r="X263">
        <f>IF(Source!BI196=2,H263, 0)</f>
        <v>0</v>
      </c>
      <c r="Y263">
        <f>IF(Source!BI196=3,H263, 0)</f>
        <v>0</v>
      </c>
      <c r="Z263">
        <f>IF(Source!BI196=4,H263, 0)</f>
        <v>0</v>
      </c>
    </row>
    <row r="264" spans="1:26" ht="15">
      <c r="G264" s="72">
        <f>H255+H256+H258+H259+H260+SUM(H262:H263)</f>
        <v>18312.300000000003</v>
      </c>
      <c r="H264" s="72"/>
      <c r="J264" s="72">
        <f>K255+K256+K258+K259+K260+SUM(K262:K263)</f>
        <v>21874.720000000001</v>
      </c>
      <c r="K264" s="72"/>
      <c r="L264" s="50">
        <f>Source!U194</f>
        <v>3.9272499999999999</v>
      </c>
      <c r="O264" s="32">
        <f>G264</f>
        <v>18312.300000000003</v>
      </c>
      <c r="P264" s="32">
        <f>J264</f>
        <v>21874.720000000001</v>
      </c>
      <c r="Q264" s="32">
        <f>L264</f>
        <v>3.9272499999999999</v>
      </c>
      <c r="W264">
        <f>IF(Source!BI194&lt;=1,H255+H256+H258+H259+H260, 0)</f>
        <v>3572.9200000000005</v>
      </c>
      <c r="X264">
        <f>IF(Source!BI194=2,H255+H256+H258+H259+H260, 0)</f>
        <v>0</v>
      </c>
      <c r="Y264">
        <f>IF(Source!BI194=3,H255+H256+H258+H259+H260, 0)</f>
        <v>0</v>
      </c>
      <c r="Z264">
        <f>IF(Source!BI194=4,H255+H256+H258+H259+H260, 0)</f>
        <v>0</v>
      </c>
    </row>
    <row r="265" spans="1:26" ht="79.5">
      <c r="A265" s="23" t="str">
        <f>Source!E197</f>
        <v>4</v>
      </c>
      <c r="B265" s="55" t="s">
        <v>661</v>
      </c>
      <c r="C265" s="55" t="str">
        <f>Source!G197</f>
        <v>Облицовка оконных и дверных откосов декоративным бумажно-слоистым пластиком или листами из синтетических материалов на клее</v>
      </c>
      <c r="D265" s="37" t="str">
        <f>Source!H197</f>
        <v>100 м2 облицовки</v>
      </c>
      <c r="E265" s="10">
        <f>Source!I197</f>
        <v>1.2E-2</v>
      </c>
      <c r="F265" s="38">
        <f>Source!AL197+Source!AM197+Source!AO197</f>
        <v>2053.38</v>
      </c>
      <c r="G265" s="39"/>
      <c r="H265" s="40"/>
      <c r="I265" s="39" t="str">
        <f>Source!BO197</f>
        <v>15-01-050-4</v>
      </c>
      <c r="J265" s="39"/>
      <c r="K265" s="40"/>
      <c r="L265" s="41"/>
      <c r="S265">
        <f>ROUND((Source!FX197/100)*((ROUND(Source!AF197*Source!I197, 2)+ROUND(Source!AE197*Source!I197, 2))), 2)</f>
        <v>18.989999999999998</v>
      </c>
      <c r="T265">
        <f>Source!X197</f>
        <v>638.13</v>
      </c>
      <c r="U265">
        <f>ROUND((Source!FY197/100)*((ROUND(Source!AF197*Source!I197, 2)+ROUND(Source!AE197*Source!I197, 2))), 2)</f>
        <v>8.86</v>
      </c>
      <c r="V265">
        <f>Source!Y197</f>
        <v>297.79000000000002</v>
      </c>
    </row>
    <row r="266" spans="1:26">
      <c r="C266" s="31" t="str">
        <f>"Объем: "&amp;Source!I197&amp;"=1,2/"&amp;"100"</f>
        <v>Объем: 0,012=1,2/100</v>
      </c>
    </row>
    <row r="267" spans="1:26" ht="14.25">
      <c r="A267" s="23"/>
      <c r="B267" s="55"/>
      <c r="C267" s="55" t="s">
        <v>640</v>
      </c>
      <c r="D267" s="37"/>
      <c r="E267" s="10"/>
      <c r="F267" s="38">
        <f>Source!AO197</f>
        <v>1528.19</v>
      </c>
      <c r="G267" s="39" t="str">
        <f>Source!DG197</f>
        <v>)*1,15</v>
      </c>
      <c r="H267" s="40">
        <f>ROUND(Source!AF197*Source!I197, 2)</f>
        <v>21.09</v>
      </c>
      <c r="I267" s="39"/>
      <c r="J267" s="39">
        <f>IF(Source!BA197&lt;&gt; 0, Source!BA197, 1)</f>
        <v>33.6</v>
      </c>
      <c r="K267" s="40">
        <f>Source!S197</f>
        <v>708.59</v>
      </c>
      <c r="L267" s="41"/>
      <c r="R267">
        <f>H267</f>
        <v>21.09</v>
      </c>
    </row>
    <row r="268" spans="1:26" ht="14.25">
      <c r="A268" s="23"/>
      <c r="B268" s="55"/>
      <c r="C268" s="55" t="s">
        <v>75</v>
      </c>
      <c r="D268" s="37"/>
      <c r="E268" s="10"/>
      <c r="F268" s="38">
        <f>Source!AM197</f>
        <v>46.33</v>
      </c>
      <c r="G268" s="39" t="str">
        <f>Source!DE197</f>
        <v/>
      </c>
      <c r="H268" s="40">
        <f>ROUND(Source!AD197*Source!I197, 2)</f>
        <v>0.56000000000000005</v>
      </c>
      <c r="I268" s="39"/>
      <c r="J268" s="39">
        <f>IF(Source!BB197&lt;&gt; 0, Source!BB197, 1)</f>
        <v>10.92</v>
      </c>
      <c r="K268" s="40">
        <f>Source!Q197</f>
        <v>6.07</v>
      </c>
      <c r="L268" s="41"/>
    </row>
    <row r="269" spans="1:26" ht="14.25">
      <c r="A269" s="23"/>
      <c r="B269" s="55"/>
      <c r="C269" s="55" t="s">
        <v>641</v>
      </c>
      <c r="D269" s="37"/>
      <c r="E269" s="10"/>
      <c r="F269" s="38">
        <f>Source!AN197</f>
        <v>1.08</v>
      </c>
      <c r="G269" s="39" t="str">
        <f>Source!DF197</f>
        <v/>
      </c>
      <c r="H269" s="42">
        <f>ROUND(Source!AE197*Source!I197, 2)</f>
        <v>0.01</v>
      </c>
      <c r="I269" s="39"/>
      <c r="J269" s="39">
        <f>IF(Source!BS197&lt;&gt; 0, Source!BS197, 1)</f>
        <v>33.6</v>
      </c>
      <c r="K269" s="42">
        <f>Source!R197</f>
        <v>0.44</v>
      </c>
      <c r="L269" s="41"/>
      <c r="R269">
        <f>H269</f>
        <v>0.01</v>
      </c>
    </row>
    <row r="270" spans="1:26" ht="14.25">
      <c r="A270" s="23"/>
      <c r="B270" s="55"/>
      <c r="C270" s="55" t="s">
        <v>648</v>
      </c>
      <c r="D270" s="37"/>
      <c r="E270" s="10"/>
      <c r="F270" s="38">
        <f>Source!AL197</f>
        <v>478.86</v>
      </c>
      <c r="G270" s="39" t="str">
        <f>Source!DD197</f>
        <v/>
      </c>
      <c r="H270" s="40">
        <f>ROUND(Source!AC197*Source!I197, 2)</f>
        <v>5.75</v>
      </c>
      <c r="I270" s="39"/>
      <c r="J270" s="39">
        <f>IF(Source!BC197&lt;&gt; 0, Source!BC197, 1)</f>
        <v>3.4</v>
      </c>
      <c r="K270" s="40">
        <f>Source!P197</f>
        <v>19.54</v>
      </c>
      <c r="L270" s="41"/>
    </row>
    <row r="271" spans="1:26" ht="14.25">
      <c r="A271" s="23"/>
      <c r="B271" s="55"/>
      <c r="C271" s="55" t="s">
        <v>642</v>
      </c>
      <c r="D271" s="37" t="s">
        <v>643</v>
      </c>
      <c r="E271" s="10">
        <f>Source!BZ197</f>
        <v>90</v>
      </c>
      <c r="F271" s="58"/>
      <c r="G271" s="39"/>
      <c r="H271" s="40">
        <f>SUM(S265:S274)</f>
        <v>18.989999999999998</v>
      </c>
      <c r="I271" s="43"/>
      <c r="J271" s="36">
        <f>Source!AT197</f>
        <v>90</v>
      </c>
      <c r="K271" s="40">
        <f>SUM(T265:T274)</f>
        <v>638.13</v>
      </c>
      <c r="L271" s="41"/>
    </row>
    <row r="272" spans="1:26" ht="14.25">
      <c r="A272" s="23"/>
      <c r="B272" s="55"/>
      <c r="C272" s="55" t="s">
        <v>644</v>
      </c>
      <c r="D272" s="37" t="s">
        <v>643</v>
      </c>
      <c r="E272" s="10">
        <f>Source!CA197</f>
        <v>42</v>
      </c>
      <c r="F272" s="58"/>
      <c r="G272" s="39"/>
      <c r="H272" s="40">
        <f>SUM(U265:U274)</f>
        <v>8.86</v>
      </c>
      <c r="I272" s="43"/>
      <c r="J272" s="36">
        <f>Source!AU197</f>
        <v>42</v>
      </c>
      <c r="K272" s="40">
        <f>SUM(V265:V274)</f>
        <v>297.79000000000002</v>
      </c>
      <c r="L272" s="41"/>
    </row>
    <row r="273" spans="1:26" ht="14.25">
      <c r="A273" s="23"/>
      <c r="B273" s="55"/>
      <c r="C273" s="55" t="s">
        <v>645</v>
      </c>
      <c r="D273" s="37" t="s">
        <v>646</v>
      </c>
      <c r="E273" s="10">
        <f>Source!AQ197</f>
        <v>166.47</v>
      </c>
      <c r="F273" s="38"/>
      <c r="G273" s="39" t="str">
        <f>Source!DI197</f>
        <v>)*1,15</v>
      </c>
      <c r="H273" s="40"/>
      <c r="I273" s="39"/>
      <c r="J273" s="39"/>
      <c r="K273" s="40"/>
      <c r="L273" s="51">
        <f>Source!U197</f>
        <v>2.2972859999999997</v>
      </c>
    </row>
    <row r="274" spans="1:26" ht="42.75">
      <c r="A274" s="56" t="str">
        <f>Source!E198</f>
        <v>4,1</v>
      </c>
      <c r="B274" s="57" t="str">
        <f>Source!F198</f>
        <v>101-3433</v>
      </c>
      <c r="C274" s="57" t="str">
        <f>Source!G198</f>
        <v>Панели декоративные пластиковые «Кронапласт», размером 2700х370х8 мм</v>
      </c>
      <c r="D274" s="44" t="str">
        <f>Source!H198</f>
        <v>м2</v>
      </c>
      <c r="E274" s="45">
        <f>Source!I198</f>
        <v>1.2</v>
      </c>
      <c r="F274" s="46">
        <f>Source!AL198+Source!AM198+Source!AO198</f>
        <v>66.849999999999994</v>
      </c>
      <c r="G274" s="52" t="s">
        <v>3</v>
      </c>
      <c r="H274" s="48">
        <f>ROUND(Source!AC198*Source!I198, 2)+ROUND(Source!AD198*Source!I198, 2)+ROUND(Source!AF198*Source!I198, 2)</f>
        <v>80.22</v>
      </c>
      <c r="I274" s="47"/>
      <c r="J274" s="47">
        <f>IF(Source!BC198&lt;&gt; 0, Source!BC198, 1)</f>
        <v>3.1</v>
      </c>
      <c r="K274" s="48">
        <f>Source!O198</f>
        <v>248.68</v>
      </c>
      <c r="L274" s="53"/>
      <c r="S274">
        <f>ROUND((Source!FX198/100)*((ROUND(Source!AF198*Source!I198, 2)+ROUND(Source!AE198*Source!I198, 2))), 2)</f>
        <v>0</v>
      </c>
      <c r="T274">
        <f>Source!X198</f>
        <v>0</v>
      </c>
      <c r="U274">
        <f>ROUND((Source!FY198/100)*((ROUND(Source!AF198*Source!I198, 2)+ROUND(Source!AE198*Source!I198, 2))), 2)</f>
        <v>0</v>
      </c>
      <c r="V274">
        <f>Source!Y198</f>
        <v>0</v>
      </c>
      <c r="W274">
        <f>IF(Source!BI198&lt;=1,H274, 0)</f>
        <v>80.22</v>
      </c>
      <c r="X274">
        <f>IF(Source!BI198=2,H274, 0)</f>
        <v>0</v>
      </c>
      <c r="Y274">
        <f>IF(Source!BI198=3,H274, 0)</f>
        <v>0</v>
      </c>
      <c r="Z274">
        <f>IF(Source!BI198=4,H274, 0)</f>
        <v>0</v>
      </c>
    </row>
    <row r="275" spans="1:26" ht="15">
      <c r="G275" s="72">
        <f>H267+H268+H270+H271+H272+SUM(H274:H274)</f>
        <v>135.47</v>
      </c>
      <c r="H275" s="72"/>
      <c r="J275" s="72">
        <f>K267+K268+K270+K271+K272+SUM(K274:K274)</f>
        <v>1918.8</v>
      </c>
      <c r="K275" s="72"/>
      <c r="L275" s="50">
        <f>Source!U197</f>
        <v>2.2972859999999997</v>
      </c>
      <c r="O275" s="32">
        <f>G275</f>
        <v>135.47</v>
      </c>
      <c r="P275" s="32">
        <f>J275</f>
        <v>1918.8</v>
      </c>
      <c r="Q275" s="32">
        <f>L275</f>
        <v>2.2972859999999997</v>
      </c>
      <c r="W275">
        <f>IF(Source!BI197&lt;=1,H267+H268+H270+H271+H272, 0)</f>
        <v>55.25</v>
      </c>
      <c r="X275">
        <f>IF(Source!BI197=2,H267+H268+H270+H271+H272, 0)</f>
        <v>0</v>
      </c>
      <c r="Y275">
        <f>IF(Source!BI197=3,H267+H268+H270+H271+H272, 0)</f>
        <v>0</v>
      </c>
      <c r="Z275">
        <f>IF(Source!BI197=4,H267+H268+H270+H271+H272, 0)</f>
        <v>0</v>
      </c>
    </row>
    <row r="276" spans="1:26" ht="79.5">
      <c r="A276" s="23" t="str">
        <f>Source!E199</f>
        <v>5</v>
      </c>
      <c r="B276" s="55" t="s">
        <v>662</v>
      </c>
      <c r="C276" s="55" t="str">
        <f>Source!G199</f>
        <v>Установка подоконных досок из ПВХ в каменных стенах толщиной до 0,51 м</v>
      </c>
      <c r="D276" s="37" t="str">
        <f>Source!H199</f>
        <v>100 п. м</v>
      </c>
      <c r="E276" s="10">
        <f>Source!I199</f>
        <v>1.4999999999999999E-2</v>
      </c>
      <c r="F276" s="38">
        <f>Source!AL199+Source!AM199+Source!AO199</f>
        <v>4199.17</v>
      </c>
      <c r="G276" s="39"/>
      <c r="H276" s="40"/>
      <c r="I276" s="39" t="str">
        <f>Source!BO199</f>
        <v>10-01-035-1</v>
      </c>
      <c r="J276" s="39"/>
      <c r="K276" s="40"/>
      <c r="L276" s="41"/>
      <c r="S276">
        <f>ROUND((Source!FX199/100)*((ROUND(Source!AF199*Source!I199, 2)+ROUND(Source!AE199*Source!I199, 2))), 2)</f>
        <v>3.04</v>
      </c>
      <c r="T276">
        <f>Source!X199</f>
        <v>101.95</v>
      </c>
      <c r="U276">
        <f>ROUND((Source!FY199/100)*((ROUND(Source!AF199*Source!I199, 2)+ROUND(Source!AE199*Source!I199, 2))), 2)</f>
        <v>1.47</v>
      </c>
      <c r="V276">
        <f>Source!Y199</f>
        <v>49.4</v>
      </c>
    </row>
    <row r="277" spans="1:26">
      <c r="C277" s="31" t="str">
        <f>"Объем: "&amp;Source!I199&amp;"=1,5/"&amp;"100"</f>
        <v>Объем: 0,015=1,5/100</v>
      </c>
    </row>
    <row r="278" spans="1:26" ht="14.25">
      <c r="A278" s="23"/>
      <c r="B278" s="55"/>
      <c r="C278" s="55" t="s">
        <v>640</v>
      </c>
      <c r="D278" s="37"/>
      <c r="E278" s="10"/>
      <c r="F278" s="38">
        <f>Source!AO199</f>
        <v>180.75</v>
      </c>
      <c r="G278" s="39" t="str">
        <f>Source!DG199</f>
        <v>)*1,15</v>
      </c>
      <c r="H278" s="40">
        <f>ROUND(Source!AF199*Source!I199, 2)</f>
        <v>3.12</v>
      </c>
      <c r="I278" s="39"/>
      <c r="J278" s="39">
        <f>IF(Source!BA199&lt;&gt; 0, Source!BA199, 1)</f>
        <v>33.6</v>
      </c>
      <c r="K278" s="40">
        <f>Source!S199</f>
        <v>104.76</v>
      </c>
      <c r="L278" s="41"/>
      <c r="R278">
        <f>H278</f>
        <v>3.12</v>
      </c>
    </row>
    <row r="279" spans="1:26" ht="14.25">
      <c r="A279" s="23"/>
      <c r="B279" s="55"/>
      <c r="C279" s="55" t="s">
        <v>75</v>
      </c>
      <c r="D279" s="37"/>
      <c r="E279" s="10"/>
      <c r="F279" s="38">
        <f>Source!AM199</f>
        <v>14.33</v>
      </c>
      <c r="G279" s="39" t="str">
        <f>Source!DE199</f>
        <v>)*1,25</v>
      </c>
      <c r="H279" s="40">
        <f>ROUND(Source!AD199*Source!I199, 2)</f>
        <v>0.27</v>
      </c>
      <c r="I279" s="39"/>
      <c r="J279" s="39">
        <f>IF(Source!BB199&lt;&gt; 0, Source!BB199, 1)</f>
        <v>11.06</v>
      </c>
      <c r="K279" s="40">
        <f>Source!Q199</f>
        <v>2.97</v>
      </c>
      <c r="L279" s="41"/>
    </row>
    <row r="280" spans="1:26" ht="14.25">
      <c r="A280" s="23"/>
      <c r="B280" s="55"/>
      <c r="C280" s="55" t="s">
        <v>641</v>
      </c>
      <c r="D280" s="37"/>
      <c r="E280" s="10"/>
      <c r="F280" s="38">
        <f>Source!AN199</f>
        <v>0.54</v>
      </c>
      <c r="G280" s="39" t="str">
        <f>Source!DF199</f>
        <v>)*1,25</v>
      </c>
      <c r="H280" s="42">
        <f>ROUND(Source!AE199*Source!I199, 2)</f>
        <v>0.01</v>
      </c>
      <c r="I280" s="39"/>
      <c r="J280" s="39">
        <f>IF(Source!BS199&lt;&gt; 0, Source!BS199, 1)</f>
        <v>33.6</v>
      </c>
      <c r="K280" s="42">
        <f>Source!R199</f>
        <v>0.34</v>
      </c>
      <c r="L280" s="41"/>
      <c r="R280">
        <f>H280</f>
        <v>0.01</v>
      </c>
    </row>
    <row r="281" spans="1:26" ht="14.25">
      <c r="A281" s="23"/>
      <c r="B281" s="55"/>
      <c r="C281" s="55" t="s">
        <v>648</v>
      </c>
      <c r="D281" s="37"/>
      <c r="E281" s="10"/>
      <c r="F281" s="38">
        <f>Source!AL199</f>
        <v>4004.09</v>
      </c>
      <c r="G281" s="39" t="str">
        <f>Source!DD199</f>
        <v/>
      </c>
      <c r="H281" s="40">
        <f>ROUND(Source!AC199*Source!I199, 2)</f>
        <v>60.06</v>
      </c>
      <c r="I281" s="39"/>
      <c r="J281" s="39">
        <f>IF(Source!BC199&lt;&gt; 0, Source!BC199, 1)</f>
        <v>4.8</v>
      </c>
      <c r="K281" s="40">
        <f>Source!P199</f>
        <v>288.29000000000002</v>
      </c>
      <c r="L281" s="41"/>
    </row>
    <row r="282" spans="1:26" ht="14.25">
      <c r="A282" s="23"/>
      <c r="B282" s="55"/>
      <c r="C282" s="55" t="s">
        <v>642</v>
      </c>
      <c r="D282" s="37" t="s">
        <v>643</v>
      </c>
      <c r="E282" s="10">
        <f>Source!BZ199</f>
        <v>97</v>
      </c>
      <c r="F282" s="58"/>
      <c r="G282" s="39"/>
      <c r="H282" s="40">
        <f>SUM(S276:S285)</f>
        <v>3.04</v>
      </c>
      <c r="I282" s="43"/>
      <c r="J282" s="36">
        <f>Source!AT199</f>
        <v>97</v>
      </c>
      <c r="K282" s="40">
        <f>SUM(T276:T285)</f>
        <v>101.95</v>
      </c>
      <c r="L282" s="41"/>
    </row>
    <row r="283" spans="1:26" ht="14.25">
      <c r="A283" s="23"/>
      <c r="B283" s="55"/>
      <c r="C283" s="55" t="s">
        <v>644</v>
      </c>
      <c r="D283" s="37" t="s">
        <v>643</v>
      </c>
      <c r="E283" s="10">
        <f>Source!CA199</f>
        <v>47</v>
      </c>
      <c r="F283" s="58"/>
      <c r="G283" s="39"/>
      <c r="H283" s="40">
        <f>SUM(U276:U285)</f>
        <v>1.47</v>
      </c>
      <c r="I283" s="43"/>
      <c r="J283" s="36">
        <f>Source!AU199</f>
        <v>47</v>
      </c>
      <c r="K283" s="40">
        <f>SUM(V276:V285)</f>
        <v>49.4</v>
      </c>
      <c r="L283" s="41"/>
    </row>
    <row r="284" spans="1:26" ht="14.25">
      <c r="A284" s="23"/>
      <c r="B284" s="55"/>
      <c r="C284" s="55" t="s">
        <v>645</v>
      </c>
      <c r="D284" s="37" t="s">
        <v>646</v>
      </c>
      <c r="E284" s="10">
        <f>Source!AQ199</f>
        <v>21.19</v>
      </c>
      <c r="F284" s="38"/>
      <c r="G284" s="39" t="str">
        <f>Source!DI199</f>
        <v>)*1,15</v>
      </c>
      <c r="H284" s="40"/>
      <c r="I284" s="39"/>
      <c r="J284" s="39"/>
      <c r="K284" s="40"/>
      <c r="L284" s="51">
        <f>Source!U199</f>
        <v>0.36552750000000001</v>
      </c>
    </row>
    <row r="285" spans="1:26" ht="28.5">
      <c r="A285" s="56" t="str">
        <f>Source!E200</f>
        <v>5,1</v>
      </c>
      <c r="B285" s="57" t="str">
        <f>Source!F200</f>
        <v>101-2904</v>
      </c>
      <c r="C285" s="57" t="str">
        <f>Source!G200</f>
        <v>Доски подоконные ПВХ, шириной 200 мм</v>
      </c>
      <c r="D285" s="44" t="str">
        <f>Source!H200</f>
        <v>м</v>
      </c>
      <c r="E285" s="45">
        <f>Source!I200</f>
        <v>1.5</v>
      </c>
      <c r="F285" s="46">
        <f>Source!AL200+Source!AM200+Source!AO200</f>
        <v>131.99</v>
      </c>
      <c r="G285" s="52" t="s">
        <v>3</v>
      </c>
      <c r="H285" s="48">
        <f>ROUND(Source!AC200*Source!I200, 2)+ROUND(Source!AD200*Source!I200, 2)+ROUND(Source!AF200*Source!I200, 2)</f>
        <v>197.99</v>
      </c>
      <c r="I285" s="47"/>
      <c r="J285" s="47">
        <f>IF(Source!BC200&lt;&gt; 0, Source!BC200, 1)</f>
        <v>0.82</v>
      </c>
      <c r="K285" s="48">
        <f>Source!O200</f>
        <v>162.35</v>
      </c>
      <c r="L285" s="53"/>
      <c r="S285">
        <f>ROUND((Source!FX200/100)*((ROUND(Source!AF200*Source!I200, 2)+ROUND(Source!AE200*Source!I200, 2))), 2)</f>
        <v>0</v>
      </c>
      <c r="T285">
        <f>Source!X200</f>
        <v>0</v>
      </c>
      <c r="U285">
        <f>ROUND((Source!FY200/100)*((ROUND(Source!AF200*Source!I200, 2)+ROUND(Source!AE200*Source!I200, 2))), 2)</f>
        <v>0</v>
      </c>
      <c r="V285">
        <f>Source!Y200</f>
        <v>0</v>
      </c>
      <c r="W285">
        <f>IF(Source!BI200&lt;=1,H285, 0)</f>
        <v>197.99</v>
      </c>
      <c r="X285">
        <f>IF(Source!BI200=2,H285, 0)</f>
        <v>0</v>
      </c>
      <c r="Y285">
        <f>IF(Source!BI200=3,H285, 0)</f>
        <v>0</v>
      </c>
      <c r="Z285">
        <f>IF(Source!BI200=4,H285, 0)</f>
        <v>0</v>
      </c>
    </row>
    <row r="286" spans="1:26" ht="15">
      <c r="G286" s="72">
        <f>H278+H279+H281+H282+H283+SUM(H285:H285)</f>
        <v>265.95000000000005</v>
      </c>
      <c r="H286" s="72"/>
      <c r="J286" s="72">
        <f>K278+K279+K281+K282+K283+SUM(K285:K285)</f>
        <v>709.72</v>
      </c>
      <c r="K286" s="72"/>
      <c r="L286" s="50">
        <f>Source!U199</f>
        <v>0.36552750000000001</v>
      </c>
      <c r="O286" s="32">
        <f>G286</f>
        <v>265.95000000000005</v>
      </c>
      <c r="P286" s="32">
        <f>J286</f>
        <v>709.72</v>
      </c>
      <c r="Q286" s="32">
        <f>L286</f>
        <v>0.36552750000000001</v>
      </c>
      <c r="W286">
        <f>IF(Source!BI199&lt;=1,H278+H279+H281+H282+H283, 0)</f>
        <v>67.960000000000008</v>
      </c>
      <c r="X286">
        <f>IF(Source!BI199=2,H278+H279+H281+H282+H283, 0)</f>
        <v>0</v>
      </c>
      <c r="Y286">
        <f>IF(Source!BI199=3,H278+H279+H281+H282+H283, 0)</f>
        <v>0</v>
      </c>
      <c r="Z286">
        <f>IF(Source!BI199=4,H278+H279+H281+H282+H283, 0)</f>
        <v>0</v>
      </c>
    </row>
    <row r="287" spans="1:26" ht="79.5">
      <c r="A287" s="23" t="str">
        <f>Source!E201</f>
        <v>7</v>
      </c>
      <c r="B287" s="55" t="s">
        <v>660</v>
      </c>
      <c r="C287" s="55" t="str">
        <f>Source!G201</f>
        <v>Установка в жилых и общественных зданиях оконных блоков из ПВХ профилей глухих с площадью проема до 2 м2</v>
      </c>
      <c r="D287" s="37" t="str">
        <f>Source!H201</f>
        <v>100 м2 проемов</v>
      </c>
      <c r="E287" s="10">
        <f>Source!I201</f>
        <v>1.6199999999999999E-2</v>
      </c>
      <c r="F287" s="38">
        <f>Source!AL201+Source!AM201+Source!AO201</f>
        <v>175916.66999999998</v>
      </c>
      <c r="G287" s="39"/>
      <c r="H287" s="40"/>
      <c r="I287" s="39" t="str">
        <f>Source!BO201</f>
        <v>10-01-034-1</v>
      </c>
      <c r="J287" s="39"/>
      <c r="K287" s="40"/>
      <c r="L287" s="41"/>
      <c r="S287">
        <f>ROUND((Source!FX201/100)*((ROUND(Source!AF201*Source!I201, 2)+ROUND(Source!AE201*Source!I201, 2))), 2)</f>
        <v>27.33</v>
      </c>
      <c r="T287">
        <f>Source!X201</f>
        <v>918.69</v>
      </c>
      <c r="U287">
        <f>ROUND((Source!FY201/100)*((ROUND(Source!AF201*Source!I201, 2)+ROUND(Source!AE201*Source!I201, 2))), 2)</f>
        <v>13.24</v>
      </c>
      <c r="V287">
        <f>Source!Y201</f>
        <v>445.14</v>
      </c>
    </row>
    <row r="288" spans="1:26">
      <c r="C288" s="31" t="str">
        <f>"Объем: "&amp;Source!I201&amp;"=1,62/"&amp;"100"</f>
        <v>Объем: 0,0162=1,62/100</v>
      </c>
    </row>
    <row r="289" spans="1:26" ht="14.25">
      <c r="A289" s="23"/>
      <c r="B289" s="55"/>
      <c r="C289" s="55" t="s">
        <v>640</v>
      </c>
      <c r="D289" s="37"/>
      <c r="E289" s="10"/>
      <c r="F289" s="38">
        <f>Source!AO201</f>
        <v>1492.36</v>
      </c>
      <c r="G289" s="39" t="str">
        <f>Source!DG201</f>
        <v>)*1,15</v>
      </c>
      <c r="H289" s="40">
        <f>ROUND(Source!AF201*Source!I201, 2)</f>
        <v>27.8</v>
      </c>
      <c r="I289" s="39"/>
      <c r="J289" s="39">
        <f>IF(Source!BA201&lt;&gt; 0, Source!BA201, 1)</f>
        <v>33.6</v>
      </c>
      <c r="K289" s="40">
        <f>Source!S201</f>
        <v>934.17</v>
      </c>
      <c r="L289" s="41"/>
      <c r="R289">
        <f>H289</f>
        <v>27.8</v>
      </c>
    </row>
    <row r="290" spans="1:26" ht="14.25">
      <c r="A290" s="23"/>
      <c r="B290" s="55"/>
      <c r="C290" s="55" t="s">
        <v>75</v>
      </c>
      <c r="D290" s="37"/>
      <c r="E290" s="10"/>
      <c r="F290" s="38">
        <f>Source!AM201</f>
        <v>427.09</v>
      </c>
      <c r="G290" s="39" t="str">
        <f>Source!DE201</f>
        <v/>
      </c>
      <c r="H290" s="40">
        <f>ROUND(Source!AD201*Source!I201, 2)</f>
        <v>6.92</v>
      </c>
      <c r="I290" s="39"/>
      <c r="J290" s="39">
        <f>IF(Source!BB201&lt;&gt; 0, Source!BB201, 1)</f>
        <v>11.14</v>
      </c>
      <c r="K290" s="40">
        <f>Source!Q201</f>
        <v>77.08</v>
      </c>
      <c r="L290" s="41"/>
    </row>
    <row r="291" spans="1:26" ht="14.25">
      <c r="A291" s="23"/>
      <c r="B291" s="55"/>
      <c r="C291" s="55" t="s">
        <v>641</v>
      </c>
      <c r="D291" s="37"/>
      <c r="E291" s="10"/>
      <c r="F291" s="38">
        <f>Source!AN201</f>
        <v>23.76</v>
      </c>
      <c r="G291" s="39" t="str">
        <f>Source!DF201</f>
        <v/>
      </c>
      <c r="H291" s="42">
        <f>ROUND(Source!AE201*Source!I201, 2)</f>
        <v>0.38</v>
      </c>
      <c r="I291" s="39"/>
      <c r="J291" s="39">
        <f>IF(Source!BS201&lt;&gt; 0, Source!BS201, 1)</f>
        <v>33.6</v>
      </c>
      <c r="K291" s="42">
        <f>Source!R201</f>
        <v>12.93</v>
      </c>
      <c r="L291" s="41"/>
      <c r="R291">
        <f>H291</f>
        <v>0.38</v>
      </c>
    </row>
    <row r="292" spans="1:26" ht="14.25">
      <c r="A292" s="23"/>
      <c r="B292" s="55"/>
      <c r="C292" s="55" t="s">
        <v>648</v>
      </c>
      <c r="D292" s="37"/>
      <c r="E292" s="10"/>
      <c r="F292" s="38">
        <f>Source!AL201</f>
        <v>173997.22</v>
      </c>
      <c r="G292" s="39" t="str">
        <f>Source!DD201</f>
        <v/>
      </c>
      <c r="H292" s="40">
        <f>ROUND(Source!AC201*Source!I201, 2)</f>
        <v>2818.75</v>
      </c>
      <c r="I292" s="39"/>
      <c r="J292" s="39">
        <f>IF(Source!BC201&lt;&gt; 0, Source!BC201, 1)</f>
        <v>1.77</v>
      </c>
      <c r="K292" s="40">
        <f>Source!P201</f>
        <v>4989.2</v>
      </c>
      <c r="L292" s="41"/>
    </row>
    <row r="293" spans="1:26" ht="14.25">
      <c r="A293" s="23"/>
      <c r="B293" s="55"/>
      <c r="C293" s="55" t="s">
        <v>642</v>
      </c>
      <c r="D293" s="37" t="s">
        <v>643</v>
      </c>
      <c r="E293" s="10">
        <f>Source!BZ201</f>
        <v>97</v>
      </c>
      <c r="F293" s="58"/>
      <c r="G293" s="39"/>
      <c r="H293" s="40">
        <f>SUM(S287:S295)</f>
        <v>27.33</v>
      </c>
      <c r="I293" s="43"/>
      <c r="J293" s="36">
        <f>Source!AT201</f>
        <v>97</v>
      </c>
      <c r="K293" s="40">
        <f>SUM(T287:T295)</f>
        <v>918.69</v>
      </c>
      <c r="L293" s="41"/>
    </row>
    <row r="294" spans="1:26" ht="14.25">
      <c r="A294" s="23"/>
      <c r="B294" s="55"/>
      <c r="C294" s="55" t="s">
        <v>644</v>
      </c>
      <c r="D294" s="37" t="s">
        <v>643</v>
      </c>
      <c r="E294" s="10">
        <f>Source!CA201</f>
        <v>47</v>
      </c>
      <c r="F294" s="58"/>
      <c r="G294" s="39"/>
      <c r="H294" s="40">
        <f>SUM(U287:U295)</f>
        <v>13.24</v>
      </c>
      <c r="I294" s="43"/>
      <c r="J294" s="36">
        <f>Source!AU201</f>
        <v>47</v>
      </c>
      <c r="K294" s="40">
        <f>SUM(V287:V295)</f>
        <v>445.14</v>
      </c>
      <c r="L294" s="41"/>
    </row>
    <row r="295" spans="1:26" ht="14.25">
      <c r="A295" s="56"/>
      <c r="B295" s="57"/>
      <c r="C295" s="57" t="s">
        <v>645</v>
      </c>
      <c r="D295" s="44" t="s">
        <v>646</v>
      </c>
      <c r="E295" s="45">
        <f>Source!AQ201</f>
        <v>170.75</v>
      </c>
      <c r="F295" s="46"/>
      <c r="G295" s="47" t="str">
        <f>Source!DI201</f>
        <v>)*1,15</v>
      </c>
      <c r="H295" s="48"/>
      <c r="I295" s="47"/>
      <c r="J295" s="47"/>
      <c r="K295" s="48"/>
      <c r="L295" s="49">
        <f>Source!U201</f>
        <v>3.1810724999999995</v>
      </c>
    </row>
    <row r="296" spans="1:26" ht="15">
      <c r="G296" s="72">
        <f>H289+H290+H292+H293+H294</f>
        <v>2894.0399999999995</v>
      </c>
      <c r="H296" s="72"/>
      <c r="J296" s="72">
        <f>K289+K290+K292+K293+K294</f>
        <v>7364.28</v>
      </c>
      <c r="K296" s="72"/>
      <c r="L296" s="50">
        <f>Source!U201</f>
        <v>3.1810724999999995</v>
      </c>
      <c r="O296" s="32">
        <f>G296</f>
        <v>2894.0399999999995</v>
      </c>
      <c r="P296" s="32">
        <f>J296</f>
        <v>7364.28</v>
      </c>
      <c r="Q296" s="32">
        <f>L296</f>
        <v>3.1810724999999995</v>
      </c>
      <c r="W296">
        <f>IF(Source!BI201&lt;=1,H289+H290+H292+H293+H294, 0)</f>
        <v>2894.0399999999995</v>
      </c>
      <c r="X296">
        <f>IF(Source!BI201=2,H289+H290+H292+H293+H294, 0)</f>
        <v>0</v>
      </c>
      <c r="Y296">
        <f>IF(Source!BI201=3,H289+H290+H292+H293+H294, 0)</f>
        <v>0</v>
      </c>
      <c r="Z296">
        <f>IF(Source!BI201=4,H289+H290+H292+H293+H294, 0)</f>
        <v>0</v>
      </c>
    </row>
    <row r="297" spans="1:26" ht="42.75">
      <c r="A297" s="23" t="str">
        <f>Source!E202</f>
        <v>8</v>
      </c>
      <c r="B297" s="55" t="str">
        <f>Source!F202</f>
        <v>58-20-1</v>
      </c>
      <c r="C297" s="55" t="str">
        <f>Source!G202</f>
        <v>Смена обделок из листовой стали (поясков, сандриков, отливов, карнизов) шириной до 0,4 м</v>
      </c>
      <c r="D297" s="37" t="str">
        <f>Source!H202</f>
        <v>100 м</v>
      </c>
      <c r="E297" s="10">
        <f>Source!I202</f>
        <v>1.4999999999999999E-2</v>
      </c>
      <c r="F297" s="38">
        <f>Source!AL202+Source!AM202+Source!AO202</f>
        <v>2516.0699999999997</v>
      </c>
      <c r="G297" s="39"/>
      <c r="H297" s="40"/>
      <c r="I297" s="39" t="str">
        <f>Source!BO202</f>
        <v>58-20-1</v>
      </c>
      <c r="J297" s="39"/>
      <c r="K297" s="40"/>
      <c r="L297" s="41"/>
      <c r="S297">
        <f>ROUND((Source!FX202/100)*((ROUND(Source!AF202*Source!I202, 2)+ROUND(Source!AE202*Source!I202, 2))), 2)</f>
        <v>4.79</v>
      </c>
      <c r="T297">
        <f>Source!X202</f>
        <v>160.71</v>
      </c>
      <c r="U297">
        <f>ROUND((Source!FY202/100)*((ROUND(Source!AF202*Source!I202, 2)+ROUND(Source!AE202*Source!I202, 2))), 2)</f>
        <v>2.4500000000000002</v>
      </c>
      <c r="V297">
        <f>Source!Y202</f>
        <v>82.14</v>
      </c>
    </row>
    <row r="298" spans="1:26">
      <c r="C298" s="31" t="str">
        <f>"Объем: "&amp;Source!I202&amp;"=1,5/"&amp;"100"</f>
        <v>Объем: 0,015=1,5/100</v>
      </c>
    </row>
    <row r="299" spans="1:26" ht="14.25">
      <c r="A299" s="23"/>
      <c r="B299" s="55"/>
      <c r="C299" s="55" t="s">
        <v>640</v>
      </c>
      <c r="D299" s="37"/>
      <c r="E299" s="10"/>
      <c r="F299" s="38">
        <f>Source!AO202</f>
        <v>353.23</v>
      </c>
      <c r="G299" s="39" t="str">
        <f>Source!DG202</f>
        <v/>
      </c>
      <c r="H299" s="40">
        <f>ROUND(Source!AF202*Source!I202, 2)</f>
        <v>5.3</v>
      </c>
      <c r="I299" s="39"/>
      <c r="J299" s="39">
        <f>IF(Source!BA202&lt;&gt; 0, Source!BA202, 1)</f>
        <v>33.6</v>
      </c>
      <c r="K299" s="40">
        <f>Source!S202</f>
        <v>178.03</v>
      </c>
      <c r="L299" s="41"/>
      <c r="R299">
        <f>H299</f>
        <v>5.3</v>
      </c>
    </row>
    <row r="300" spans="1:26" ht="14.25">
      <c r="A300" s="23"/>
      <c r="B300" s="55"/>
      <c r="C300" s="55" t="s">
        <v>75</v>
      </c>
      <c r="D300" s="37"/>
      <c r="E300" s="10"/>
      <c r="F300" s="38">
        <f>Source!AM202</f>
        <v>5.99</v>
      </c>
      <c r="G300" s="39" t="str">
        <f>Source!DE202</f>
        <v/>
      </c>
      <c r="H300" s="40">
        <f>ROUND(Source!AD202*Source!I202, 2)</f>
        <v>0.09</v>
      </c>
      <c r="I300" s="39"/>
      <c r="J300" s="39">
        <f>IF(Source!BB202&lt;&gt; 0, Source!BB202, 1)</f>
        <v>12.46</v>
      </c>
      <c r="K300" s="40">
        <f>Source!Q202</f>
        <v>1.1200000000000001</v>
      </c>
      <c r="L300" s="41"/>
    </row>
    <row r="301" spans="1:26" ht="14.25">
      <c r="A301" s="23"/>
      <c r="B301" s="55"/>
      <c r="C301" s="55" t="s">
        <v>641</v>
      </c>
      <c r="D301" s="37"/>
      <c r="E301" s="10"/>
      <c r="F301" s="38">
        <f>Source!AN202</f>
        <v>1.08</v>
      </c>
      <c r="G301" s="39" t="str">
        <f>Source!DF202</f>
        <v/>
      </c>
      <c r="H301" s="42">
        <f>ROUND(Source!AE202*Source!I202, 2)</f>
        <v>0.02</v>
      </c>
      <c r="I301" s="39"/>
      <c r="J301" s="39">
        <f>IF(Source!BS202&lt;&gt; 0, Source!BS202, 1)</f>
        <v>33.6</v>
      </c>
      <c r="K301" s="42">
        <f>Source!R202</f>
        <v>0.54</v>
      </c>
      <c r="L301" s="41"/>
      <c r="R301">
        <f>H301</f>
        <v>0.02</v>
      </c>
    </row>
    <row r="302" spans="1:26" ht="14.25">
      <c r="A302" s="23"/>
      <c r="B302" s="55"/>
      <c r="C302" s="55" t="s">
        <v>648</v>
      </c>
      <c r="D302" s="37"/>
      <c r="E302" s="10"/>
      <c r="F302" s="38">
        <f>Source!AL202</f>
        <v>2156.85</v>
      </c>
      <c r="G302" s="39" t="str">
        <f>Source!DD202</f>
        <v/>
      </c>
      <c r="H302" s="40">
        <f>ROUND(Source!AC202*Source!I202, 2)</f>
        <v>32.35</v>
      </c>
      <c r="I302" s="39"/>
      <c r="J302" s="39">
        <f>IF(Source!BC202&lt;&gt; 0, Source!BC202, 1)</f>
        <v>10.55</v>
      </c>
      <c r="K302" s="40">
        <f>Source!P202</f>
        <v>341.32</v>
      </c>
      <c r="L302" s="41"/>
    </row>
    <row r="303" spans="1:26" ht="14.25">
      <c r="A303" s="23"/>
      <c r="B303" s="55"/>
      <c r="C303" s="55" t="s">
        <v>642</v>
      </c>
      <c r="D303" s="37" t="s">
        <v>643</v>
      </c>
      <c r="E303" s="10">
        <f>Source!BZ202</f>
        <v>90</v>
      </c>
      <c r="F303" s="58"/>
      <c r="G303" s="39"/>
      <c r="H303" s="40">
        <f>SUM(S297:S306)</f>
        <v>4.79</v>
      </c>
      <c r="I303" s="43"/>
      <c r="J303" s="36">
        <f>Source!AT202</f>
        <v>90</v>
      </c>
      <c r="K303" s="40">
        <f>SUM(T297:T306)</f>
        <v>160.71</v>
      </c>
      <c r="L303" s="41"/>
    </row>
    <row r="304" spans="1:26" ht="14.25">
      <c r="A304" s="23"/>
      <c r="B304" s="55"/>
      <c r="C304" s="55" t="s">
        <v>644</v>
      </c>
      <c r="D304" s="37" t="s">
        <v>643</v>
      </c>
      <c r="E304" s="10">
        <f>Source!CA202</f>
        <v>46</v>
      </c>
      <c r="F304" s="58"/>
      <c r="G304" s="39"/>
      <c r="H304" s="40">
        <f>SUM(U297:U306)</f>
        <v>2.4500000000000002</v>
      </c>
      <c r="I304" s="43"/>
      <c r="J304" s="36">
        <f>Source!AU202</f>
        <v>46</v>
      </c>
      <c r="K304" s="40">
        <f>SUM(V297:V306)</f>
        <v>82.14</v>
      </c>
      <c r="L304" s="41"/>
    </row>
    <row r="305" spans="1:26" ht="14.25">
      <c r="A305" s="23"/>
      <c r="B305" s="55"/>
      <c r="C305" s="55" t="s">
        <v>645</v>
      </c>
      <c r="D305" s="37" t="s">
        <v>646</v>
      </c>
      <c r="E305" s="10">
        <f>Source!AQ202</f>
        <v>41.41</v>
      </c>
      <c r="F305" s="38"/>
      <c r="G305" s="39" t="str">
        <f>Source!DI202</f>
        <v/>
      </c>
      <c r="H305" s="40"/>
      <c r="I305" s="39"/>
      <c r="J305" s="39"/>
      <c r="K305" s="40"/>
      <c r="L305" s="51">
        <f>Source!U202</f>
        <v>0.62114999999999998</v>
      </c>
    </row>
    <row r="306" spans="1:26" ht="14.25">
      <c r="A306" s="56" t="str">
        <f>Source!E203</f>
        <v>8,1</v>
      </c>
      <c r="B306" s="57" t="str">
        <f>Source!F203</f>
        <v>509-9900</v>
      </c>
      <c r="C306" s="57" t="str">
        <f>Source!G203</f>
        <v>Строительный мусор</v>
      </c>
      <c r="D306" s="44" t="str">
        <f>Source!H203</f>
        <v>т</v>
      </c>
      <c r="E306" s="45">
        <f>Source!I203</f>
        <v>3.3600000000000001E-3</v>
      </c>
      <c r="F306" s="46">
        <f>Source!AL203+Source!AM203+Source!AO203</f>
        <v>0</v>
      </c>
      <c r="G306" s="52" t="s">
        <v>3</v>
      </c>
      <c r="H306" s="48">
        <f>ROUND(Source!AC203*Source!I203, 2)+ROUND(Source!AD203*Source!I203, 2)+ROUND(Source!AF203*Source!I203, 2)</f>
        <v>0</v>
      </c>
      <c r="I306" s="47"/>
      <c r="J306" s="47">
        <f>IF(Source!BC203&lt;&gt; 0, Source!BC203, 1)</f>
        <v>1</v>
      </c>
      <c r="K306" s="48">
        <f>Source!O203</f>
        <v>0</v>
      </c>
      <c r="L306" s="53"/>
      <c r="S306">
        <f>ROUND((Source!FX203/100)*((ROUND(Source!AF203*Source!I203, 2)+ROUND(Source!AE203*Source!I203, 2))), 2)</f>
        <v>0</v>
      </c>
      <c r="T306">
        <f>Source!X203</f>
        <v>0</v>
      </c>
      <c r="U306">
        <f>ROUND((Source!FY203/100)*((ROUND(Source!AF203*Source!I203, 2)+ROUND(Source!AE203*Source!I203, 2))), 2)</f>
        <v>0</v>
      </c>
      <c r="V306">
        <f>Source!Y203</f>
        <v>0</v>
      </c>
      <c r="W306">
        <f>IF(Source!BI203&lt;=1,H306, 0)</f>
        <v>0</v>
      </c>
      <c r="X306">
        <f>IF(Source!BI203=2,H306, 0)</f>
        <v>0</v>
      </c>
      <c r="Y306">
        <f>IF(Source!BI203=3,H306, 0)</f>
        <v>0</v>
      </c>
      <c r="Z306">
        <f>IF(Source!BI203=4,H306, 0)</f>
        <v>0</v>
      </c>
    </row>
    <row r="307" spans="1:26" ht="15">
      <c r="G307" s="72">
        <f>H299+H300+H302+H303+H304+SUM(H306:H306)</f>
        <v>44.980000000000004</v>
      </c>
      <c r="H307" s="72"/>
      <c r="J307" s="72">
        <f>K299+K300+K302+K303+K304+SUM(K306:K306)</f>
        <v>763.32</v>
      </c>
      <c r="K307" s="72"/>
      <c r="L307" s="50">
        <f>Source!U202</f>
        <v>0.62114999999999998</v>
      </c>
      <c r="O307" s="32">
        <f>G307</f>
        <v>44.980000000000004</v>
      </c>
      <c r="P307" s="32">
        <f>J307</f>
        <v>763.32</v>
      </c>
      <c r="Q307" s="32">
        <f>L307</f>
        <v>0.62114999999999998</v>
      </c>
      <c r="W307">
        <f>IF(Source!BI202&lt;=1,H299+H300+H302+H303+H304, 0)</f>
        <v>44.980000000000004</v>
      </c>
      <c r="X307">
        <f>IF(Source!BI202=2,H299+H300+H302+H303+H304, 0)</f>
        <v>0</v>
      </c>
      <c r="Y307">
        <f>IF(Source!BI202=3,H299+H300+H302+H303+H304, 0)</f>
        <v>0</v>
      </c>
      <c r="Z307">
        <f>IF(Source!BI202=4,H299+H300+H302+H303+H304, 0)</f>
        <v>0</v>
      </c>
    </row>
    <row r="308" spans="1:26" ht="79.5">
      <c r="A308" s="23" t="str">
        <f>Source!E204</f>
        <v>9</v>
      </c>
      <c r="B308" s="55" t="s">
        <v>663</v>
      </c>
      <c r="C308" s="55" t="str">
        <f>Source!G204</f>
        <v>Установка подоконных досок из ПВХ в каменных стенах толщиной до 0,51 м</v>
      </c>
      <c r="D308" s="37" t="str">
        <f>Source!H204</f>
        <v>100 п. м</v>
      </c>
      <c r="E308" s="10">
        <f>Source!I204</f>
        <v>1.7999999999999999E-2</v>
      </c>
      <c r="F308" s="38">
        <f>Source!AL204+Source!AM204+Source!AO204</f>
        <v>4199.17</v>
      </c>
      <c r="G308" s="39"/>
      <c r="H308" s="40"/>
      <c r="I308" s="39" t="str">
        <f>Source!BO204</f>
        <v>10-01-035-1</v>
      </c>
      <c r="J308" s="39"/>
      <c r="K308" s="40"/>
      <c r="L308" s="41"/>
      <c r="S308">
        <f>ROUND((Source!FX204/100)*((ROUND(Source!AF204*Source!I204, 2)+ROUND(Source!AE204*Source!I204, 2))), 2)</f>
        <v>3.64</v>
      </c>
      <c r="T308">
        <f>Source!X204</f>
        <v>122.27</v>
      </c>
      <c r="U308">
        <f>ROUND((Source!FY204/100)*((ROUND(Source!AF204*Source!I204, 2)+ROUND(Source!AE204*Source!I204, 2))), 2)</f>
        <v>1.76</v>
      </c>
      <c r="V308">
        <f>Source!Y204</f>
        <v>59.24</v>
      </c>
    </row>
    <row r="309" spans="1:26">
      <c r="C309" s="31" t="str">
        <f>"Объем: "&amp;Source!I204&amp;"=1,8/"&amp;"100"</f>
        <v>Объем: 0,018=1,8/100</v>
      </c>
    </row>
    <row r="310" spans="1:26" ht="14.25">
      <c r="A310" s="23"/>
      <c r="B310" s="55"/>
      <c r="C310" s="55" t="s">
        <v>640</v>
      </c>
      <c r="D310" s="37"/>
      <c r="E310" s="10"/>
      <c r="F310" s="38">
        <f>Source!AO204</f>
        <v>180.75</v>
      </c>
      <c r="G310" s="39" t="str">
        <f>Source!DG204</f>
        <v>)*1,15</v>
      </c>
      <c r="H310" s="40">
        <f>ROUND(Source!AF204*Source!I204, 2)</f>
        <v>3.74</v>
      </c>
      <c r="I310" s="39"/>
      <c r="J310" s="39">
        <f>IF(Source!BA204&lt;&gt; 0, Source!BA204, 1)</f>
        <v>33.6</v>
      </c>
      <c r="K310" s="40">
        <f>Source!S204</f>
        <v>125.72</v>
      </c>
      <c r="L310" s="41"/>
      <c r="R310">
        <f>H310</f>
        <v>3.74</v>
      </c>
    </row>
    <row r="311" spans="1:26" ht="14.25">
      <c r="A311" s="23"/>
      <c r="B311" s="55"/>
      <c r="C311" s="55" t="s">
        <v>75</v>
      </c>
      <c r="D311" s="37"/>
      <c r="E311" s="10"/>
      <c r="F311" s="38">
        <f>Source!AM204</f>
        <v>14.33</v>
      </c>
      <c r="G311" s="39" t="str">
        <f>Source!DE204</f>
        <v/>
      </c>
      <c r="H311" s="40">
        <f>ROUND(Source!AD204*Source!I204, 2)</f>
        <v>0.26</v>
      </c>
      <c r="I311" s="39"/>
      <c r="J311" s="39">
        <f>IF(Source!BB204&lt;&gt; 0, Source!BB204, 1)</f>
        <v>11.06</v>
      </c>
      <c r="K311" s="40">
        <f>Source!Q204</f>
        <v>2.85</v>
      </c>
      <c r="L311" s="41"/>
    </row>
    <row r="312" spans="1:26" ht="14.25">
      <c r="A312" s="23"/>
      <c r="B312" s="55"/>
      <c r="C312" s="55" t="s">
        <v>641</v>
      </c>
      <c r="D312" s="37"/>
      <c r="E312" s="10"/>
      <c r="F312" s="38">
        <f>Source!AN204</f>
        <v>0.54</v>
      </c>
      <c r="G312" s="39" t="str">
        <f>Source!DF204</f>
        <v/>
      </c>
      <c r="H312" s="42">
        <f>ROUND(Source!AE204*Source!I204, 2)</f>
        <v>0.01</v>
      </c>
      <c r="I312" s="39"/>
      <c r="J312" s="39">
        <f>IF(Source!BS204&lt;&gt; 0, Source!BS204, 1)</f>
        <v>33.6</v>
      </c>
      <c r="K312" s="42">
        <f>Source!R204</f>
        <v>0.33</v>
      </c>
      <c r="L312" s="41"/>
      <c r="R312">
        <f>H312</f>
        <v>0.01</v>
      </c>
    </row>
    <row r="313" spans="1:26" ht="14.25">
      <c r="A313" s="23"/>
      <c r="B313" s="55"/>
      <c r="C313" s="55" t="s">
        <v>648</v>
      </c>
      <c r="D313" s="37"/>
      <c r="E313" s="10"/>
      <c r="F313" s="38">
        <f>Source!AL204</f>
        <v>4004.09</v>
      </c>
      <c r="G313" s="39" t="str">
        <f>Source!DD204</f>
        <v/>
      </c>
      <c r="H313" s="40">
        <f>ROUND(Source!AC204*Source!I204, 2)</f>
        <v>72.069999999999993</v>
      </c>
      <c r="I313" s="39"/>
      <c r="J313" s="39">
        <f>IF(Source!BC204&lt;&gt; 0, Source!BC204, 1)</f>
        <v>4.8</v>
      </c>
      <c r="K313" s="40">
        <f>Source!P204</f>
        <v>345.95</v>
      </c>
      <c r="L313" s="41"/>
    </row>
    <row r="314" spans="1:26" ht="14.25">
      <c r="A314" s="23"/>
      <c r="B314" s="55"/>
      <c r="C314" s="55" t="s">
        <v>642</v>
      </c>
      <c r="D314" s="37" t="s">
        <v>643</v>
      </c>
      <c r="E314" s="10">
        <f>Source!BZ204</f>
        <v>97</v>
      </c>
      <c r="F314" s="58"/>
      <c r="G314" s="39"/>
      <c r="H314" s="40">
        <f>SUM(S308:S317)</f>
        <v>3.64</v>
      </c>
      <c r="I314" s="43"/>
      <c r="J314" s="36">
        <f>Source!AT204</f>
        <v>97</v>
      </c>
      <c r="K314" s="40">
        <f>SUM(T308:T317)</f>
        <v>122.27</v>
      </c>
      <c r="L314" s="41"/>
    </row>
    <row r="315" spans="1:26" ht="14.25">
      <c r="A315" s="23"/>
      <c r="B315" s="55"/>
      <c r="C315" s="55" t="s">
        <v>644</v>
      </c>
      <c r="D315" s="37" t="s">
        <v>643</v>
      </c>
      <c r="E315" s="10">
        <f>Source!CA204</f>
        <v>47</v>
      </c>
      <c r="F315" s="58"/>
      <c r="G315" s="39"/>
      <c r="H315" s="40">
        <f>SUM(U308:U317)</f>
        <v>1.76</v>
      </c>
      <c r="I315" s="43"/>
      <c r="J315" s="36">
        <f>Source!AU204</f>
        <v>47</v>
      </c>
      <c r="K315" s="40">
        <f>SUM(V308:V317)</f>
        <v>59.24</v>
      </c>
      <c r="L315" s="41"/>
    </row>
    <row r="316" spans="1:26" ht="14.25">
      <c r="A316" s="23"/>
      <c r="B316" s="55"/>
      <c r="C316" s="55" t="s">
        <v>645</v>
      </c>
      <c r="D316" s="37" t="s">
        <v>646</v>
      </c>
      <c r="E316" s="10">
        <f>Source!AQ204</f>
        <v>21.19</v>
      </c>
      <c r="F316" s="38"/>
      <c r="G316" s="39" t="str">
        <f>Source!DI204</f>
        <v>)*1,15</v>
      </c>
      <c r="H316" s="40"/>
      <c r="I316" s="39"/>
      <c r="J316" s="39"/>
      <c r="K316" s="40"/>
      <c r="L316" s="51">
        <f>Source!U204</f>
        <v>0.438633</v>
      </c>
    </row>
    <row r="317" spans="1:26" ht="28.5">
      <c r="A317" s="56" t="str">
        <f>Source!E205</f>
        <v>9,1</v>
      </c>
      <c r="B317" s="57" t="str">
        <f>Source!F205</f>
        <v>101-2904</v>
      </c>
      <c r="C317" s="57" t="str">
        <f>Source!G205</f>
        <v>Доски подоконные ПВХ, шириной 200 мм</v>
      </c>
      <c r="D317" s="44" t="str">
        <f>Source!H205</f>
        <v>м</v>
      </c>
      <c r="E317" s="45">
        <f>Source!I205</f>
        <v>1.7999999999999996</v>
      </c>
      <c r="F317" s="46">
        <f>Source!AL205+Source!AM205+Source!AO205</f>
        <v>131.99</v>
      </c>
      <c r="G317" s="52" t="s">
        <v>3</v>
      </c>
      <c r="H317" s="48">
        <f>ROUND(Source!AC205*Source!I205, 2)+ROUND(Source!AD205*Source!I205, 2)+ROUND(Source!AF205*Source!I205, 2)</f>
        <v>237.58</v>
      </c>
      <c r="I317" s="47"/>
      <c r="J317" s="47">
        <f>IF(Source!BC205&lt;&gt; 0, Source!BC205, 1)</f>
        <v>0.82</v>
      </c>
      <c r="K317" s="48">
        <f>Source!O205</f>
        <v>194.82</v>
      </c>
      <c r="L317" s="53"/>
      <c r="S317">
        <f>ROUND((Source!FX205/100)*((ROUND(Source!AF205*Source!I205, 2)+ROUND(Source!AE205*Source!I205, 2))), 2)</f>
        <v>0</v>
      </c>
      <c r="T317">
        <f>Source!X205</f>
        <v>0</v>
      </c>
      <c r="U317">
        <f>ROUND((Source!FY205/100)*((ROUND(Source!AF205*Source!I205, 2)+ROUND(Source!AE205*Source!I205, 2))), 2)</f>
        <v>0</v>
      </c>
      <c r="V317">
        <f>Source!Y205</f>
        <v>0</v>
      </c>
      <c r="W317">
        <f>IF(Source!BI205&lt;=1,H317, 0)</f>
        <v>237.58</v>
      </c>
      <c r="X317">
        <f>IF(Source!BI205=2,H317, 0)</f>
        <v>0</v>
      </c>
      <c r="Y317">
        <f>IF(Source!BI205=3,H317, 0)</f>
        <v>0</v>
      </c>
      <c r="Z317">
        <f>IF(Source!BI205=4,H317, 0)</f>
        <v>0</v>
      </c>
    </row>
    <row r="318" spans="1:26" ht="15">
      <c r="G318" s="72">
        <f>H310+H311+H313+H314+H315+SUM(H317:H317)</f>
        <v>319.05</v>
      </c>
      <c r="H318" s="72"/>
      <c r="J318" s="72">
        <f>K310+K311+K313+K314+K315+SUM(K317:K317)</f>
        <v>850.84999999999991</v>
      </c>
      <c r="K318" s="72"/>
      <c r="L318" s="50">
        <f>Source!U204</f>
        <v>0.438633</v>
      </c>
      <c r="O318" s="32">
        <f>G318</f>
        <v>319.05</v>
      </c>
      <c r="P318" s="32">
        <f>J318</f>
        <v>850.84999999999991</v>
      </c>
      <c r="Q318" s="32">
        <f>L318</f>
        <v>0.438633</v>
      </c>
      <c r="W318">
        <f>IF(Source!BI204&lt;=1,H310+H311+H313+H314+H315, 0)</f>
        <v>81.47</v>
      </c>
      <c r="X318">
        <f>IF(Source!BI204=2,H310+H311+H313+H314+H315, 0)</f>
        <v>0</v>
      </c>
      <c r="Y318">
        <f>IF(Source!BI204=3,H310+H311+H313+H314+H315, 0)</f>
        <v>0</v>
      </c>
      <c r="Z318">
        <f>IF(Source!BI204=4,H310+H311+H313+H314+H315, 0)</f>
        <v>0</v>
      </c>
    </row>
    <row r="319" spans="1:26" ht="79.5">
      <c r="A319" s="23" t="str">
        <f>Source!E206</f>
        <v>10</v>
      </c>
      <c r="B319" s="55" t="s">
        <v>661</v>
      </c>
      <c r="C319" s="55" t="str">
        <f>Source!G206</f>
        <v>Облицовка оконных и дверных откосов декоративным бумажно-слоистым пластиком или листами из синтетических материалов на клее</v>
      </c>
      <c r="D319" s="37" t="str">
        <f>Source!H206</f>
        <v>100 м2 облицовки</v>
      </c>
      <c r="E319" s="10">
        <f>Source!I206</f>
        <v>1.2E-2</v>
      </c>
      <c r="F319" s="38">
        <f>Source!AL206+Source!AM206+Source!AO206</f>
        <v>2053.38</v>
      </c>
      <c r="G319" s="39"/>
      <c r="H319" s="40"/>
      <c r="I319" s="39" t="str">
        <f>Source!BO206</f>
        <v>15-01-050-4</v>
      </c>
      <c r="J319" s="39"/>
      <c r="K319" s="40"/>
      <c r="L319" s="41"/>
      <c r="S319">
        <f>ROUND((Source!FX206/100)*((ROUND(Source!AF206*Source!I206, 2)+ROUND(Source!AE206*Source!I206, 2))), 2)</f>
        <v>18.989999999999998</v>
      </c>
      <c r="T319">
        <f>Source!X206</f>
        <v>638.13</v>
      </c>
      <c r="U319">
        <f>ROUND((Source!FY206/100)*((ROUND(Source!AF206*Source!I206, 2)+ROUND(Source!AE206*Source!I206, 2))), 2)</f>
        <v>8.86</v>
      </c>
      <c r="V319">
        <f>Source!Y206</f>
        <v>297.79000000000002</v>
      </c>
    </row>
    <row r="320" spans="1:26">
      <c r="C320" s="31" t="str">
        <f>"Объем: "&amp;Source!I206&amp;"=1,2/"&amp;"100"</f>
        <v>Объем: 0,012=1,2/100</v>
      </c>
    </row>
    <row r="321" spans="1:26" ht="14.25">
      <c r="A321" s="23"/>
      <c r="B321" s="55"/>
      <c r="C321" s="55" t="s">
        <v>640</v>
      </c>
      <c r="D321" s="37"/>
      <c r="E321" s="10"/>
      <c r="F321" s="38">
        <f>Source!AO206</f>
        <v>1528.19</v>
      </c>
      <c r="G321" s="39" t="str">
        <f>Source!DG206</f>
        <v>)*1,15</v>
      </c>
      <c r="H321" s="40">
        <f>ROUND(Source!AF206*Source!I206, 2)</f>
        <v>21.09</v>
      </c>
      <c r="I321" s="39"/>
      <c r="J321" s="39">
        <f>IF(Source!BA206&lt;&gt; 0, Source!BA206, 1)</f>
        <v>33.6</v>
      </c>
      <c r="K321" s="40">
        <f>Source!S206</f>
        <v>708.59</v>
      </c>
      <c r="L321" s="41"/>
      <c r="R321">
        <f>H321</f>
        <v>21.09</v>
      </c>
    </row>
    <row r="322" spans="1:26" ht="14.25">
      <c r="A322" s="23"/>
      <c r="B322" s="55"/>
      <c r="C322" s="55" t="s">
        <v>75</v>
      </c>
      <c r="D322" s="37"/>
      <c r="E322" s="10"/>
      <c r="F322" s="38">
        <f>Source!AM206</f>
        <v>46.33</v>
      </c>
      <c r="G322" s="39" t="str">
        <f>Source!DE206</f>
        <v/>
      </c>
      <c r="H322" s="40">
        <f>ROUND(Source!AD206*Source!I206, 2)</f>
        <v>0.56000000000000005</v>
      </c>
      <c r="I322" s="39"/>
      <c r="J322" s="39">
        <f>IF(Source!BB206&lt;&gt; 0, Source!BB206, 1)</f>
        <v>10.92</v>
      </c>
      <c r="K322" s="40">
        <f>Source!Q206</f>
        <v>6.07</v>
      </c>
      <c r="L322" s="41"/>
    </row>
    <row r="323" spans="1:26" ht="14.25">
      <c r="A323" s="23"/>
      <c r="B323" s="55"/>
      <c r="C323" s="55" t="s">
        <v>641</v>
      </c>
      <c r="D323" s="37"/>
      <c r="E323" s="10"/>
      <c r="F323" s="38">
        <f>Source!AN206</f>
        <v>1.08</v>
      </c>
      <c r="G323" s="39" t="str">
        <f>Source!DF206</f>
        <v/>
      </c>
      <c r="H323" s="42">
        <f>ROUND(Source!AE206*Source!I206, 2)</f>
        <v>0.01</v>
      </c>
      <c r="I323" s="39"/>
      <c r="J323" s="39">
        <f>IF(Source!BS206&lt;&gt; 0, Source!BS206, 1)</f>
        <v>33.6</v>
      </c>
      <c r="K323" s="42">
        <f>Source!R206</f>
        <v>0.44</v>
      </c>
      <c r="L323" s="41"/>
      <c r="R323">
        <f>H323</f>
        <v>0.01</v>
      </c>
    </row>
    <row r="324" spans="1:26" ht="14.25">
      <c r="A324" s="23"/>
      <c r="B324" s="55"/>
      <c r="C324" s="55" t="s">
        <v>648</v>
      </c>
      <c r="D324" s="37"/>
      <c r="E324" s="10"/>
      <c r="F324" s="38">
        <f>Source!AL206</f>
        <v>478.86</v>
      </c>
      <c r="G324" s="39" t="str">
        <f>Source!DD206</f>
        <v/>
      </c>
      <c r="H324" s="40">
        <f>ROUND(Source!AC206*Source!I206, 2)</f>
        <v>5.75</v>
      </c>
      <c r="I324" s="39"/>
      <c r="J324" s="39">
        <f>IF(Source!BC206&lt;&gt; 0, Source!BC206, 1)</f>
        <v>3.4</v>
      </c>
      <c r="K324" s="40">
        <f>Source!P206</f>
        <v>19.54</v>
      </c>
      <c r="L324" s="41"/>
    </row>
    <row r="325" spans="1:26" ht="14.25">
      <c r="A325" s="23"/>
      <c r="B325" s="55"/>
      <c r="C325" s="55" t="s">
        <v>642</v>
      </c>
      <c r="D325" s="37" t="s">
        <v>643</v>
      </c>
      <c r="E325" s="10">
        <f>Source!BZ206</f>
        <v>90</v>
      </c>
      <c r="F325" s="58"/>
      <c r="G325" s="39"/>
      <c r="H325" s="40">
        <f>SUM(S319:S329)</f>
        <v>18.989999999999998</v>
      </c>
      <c r="I325" s="43"/>
      <c r="J325" s="36">
        <f>Source!AT206</f>
        <v>90</v>
      </c>
      <c r="K325" s="40">
        <f>SUM(T319:T329)</f>
        <v>638.13</v>
      </c>
      <c r="L325" s="41"/>
    </row>
    <row r="326" spans="1:26" ht="14.25">
      <c r="A326" s="23"/>
      <c r="B326" s="55"/>
      <c r="C326" s="55" t="s">
        <v>644</v>
      </c>
      <c r="D326" s="37" t="s">
        <v>643</v>
      </c>
      <c r="E326" s="10">
        <f>Source!CA206</f>
        <v>42</v>
      </c>
      <c r="F326" s="58"/>
      <c r="G326" s="39"/>
      <c r="H326" s="40">
        <f>SUM(U319:U329)</f>
        <v>8.86</v>
      </c>
      <c r="I326" s="43"/>
      <c r="J326" s="36">
        <f>Source!AU206</f>
        <v>42</v>
      </c>
      <c r="K326" s="40">
        <f>SUM(V319:V329)</f>
        <v>297.79000000000002</v>
      </c>
      <c r="L326" s="41"/>
    </row>
    <row r="327" spans="1:26" ht="14.25">
      <c r="A327" s="23"/>
      <c r="B327" s="55"/>
      <c r="C327" s="55" t="s">
        <v>645</v>
      </c>
      <c r="D327" s="37" t="s">
        <v>646</v>
      </c>
      <c r="E327" s="10">
        <f>Source!AQ206</f>
        <v>166.47</v>
      </c>
      <c r="F327" s="38"/>
      <c r="G327" s="39" t="str">
        <f>Source!DI206</f>
        <v>)*1,15</v>
      </c>
      <c r="H327" s="40"/>
      <c r="I327" s="39"/>
      <c r="J327" s="39"/>
      <c r="K327" s="40"/>
      <c r="L327" s="51">
        <f>Source!U206</f>
        <v>2.2972859999999997</v>
      </c>
    </row>
    <row r="328" spans="1:26" ht="85.5">
      <c r="A328" s="23" t="str">
        <f>Source!E207</f>
        <v>10,1</v>
      </c>
      <c r="B328" s="55" t="str">
        <f>Source!F207</f>
        <v>101-6871</v>
      </c>
      <c r="C328" s="55" t="str">
        <f>Source!G207</f>
        <v>Сэндвич-панели для откосов (наружные слои – листы из поливинилхлорида, внутреннее наполнение – вспененный пенополистирол) белые, ширина 1,5 м, длина 3,0 м, толщина 10 мм</v>
      </c>
      <c r="D328" s="37" t="str">
        <f>Source!H207</f>
        <v>м2</v>
      </c>
      <c r="E328" s="10">
        <f>Source!I207</f>
        <v>1.26</v>
      </c>
      <c r="F328" s="38">
        <f>Source!AL207+Source!AM207+Source!AO207</f>
        <v>377.87</v>
      </c>
      <c r="G328" s="54" t="s">
        <v>3</v>
      </c>
      <c r="H328" s="40">
        <f>ROUND(Source!AC207*Source!I207, 2)+ROUND(Source!AD207*Source!I207, 2)+ROUND(Source!AF207*Source!I207, 2)</f>
        <v>476.12</v>
      </c>
      <c r="I328" s="39"/>
      <c r="J328" s="39">
        <f>IF(Source!BC207&lt;&gt; 0, Source!BC207, 1)</f>
        <v>0.6</v>
      </c>
      <c r="K328" s="40">
        <f>Source!O207</f>
        <v>285.67</v>
      </c>
      <c r="L328" s="41"/>
      <c r="S328">
        <f>ROUND((Source!FX207/100)*((ROUND(Source!AF207*Source!I207, 2)+ROUND(Source!AE207*Source!I207, 2))), 2)</f>
        <v>0</v>
      </c>
      <c r="T328">
        <f>Source!X207</f>
        <v>0</v>
      </c>
      <c r="U328">
        <f>ROUND((Source!FY207/100)*((ROUND(Source!AF207*Source!I207, 2)+ROUND(Source!AE207*Source!I207, 2))), 2)</f>
        <v>0</v>
      </c>
      <c r="V328">
        <f>Source!Y207</f>
        <v>0</v>
      </c>
      <c r="W328">
        <f>IF(Source!BI207&lt;=1,H328, 0)</f>
        <v>476.12</v>
      </c>
      <c r="X328">
        <f>IF(Source!BI207=2,H328, 0)</f>
        <v>0</v>
      </c>
      <c r="Y328">
        <f>IF(Source!BI207=3,H328, 0)</f>
        <v>0</v>
      </c>
      <c r="Z328">
        <f>IF(Source!BI207=4,H328, 0)</f>
        <v>0</v>
      </c>
    </row>
    <row r="329" spans="1:26" ht="14.25">
      <c r="A329" s="56" t="str">
        <f>Source!E208</f>
        <v>10,2</v>
      </c>
      <c r="B329" s="57" t="str">
        <f>Source!F208</f>
        <v>101-2416</v>
      </c>
      <c r="C329" s="57" t="str">
        <f>Source!G208</f>
        <v>Грунтовка «Бетоконтакт», КНАУФ</v>
      </c>
      <c r="D329" s="44" t="str">
        <f>Source!H208</f>
        <v>кг</v>
      </c>
      <c r="E329" s="45">
        <f>Source!I208</f>
        <v>1.07E-4</v>
      </c>
      <c r="F329" s="46">
        <f>Source!AL208+Source!AM208+Source!AO208</f>
        <v>22.91</v>
      </c>
      <c r="G329" s="52" t="s">
        <v>3</v>
      </c>
      <c r="H329" s="48">
        <f>ROUND(Source!AC208*Source!I208, 2)+ROUND(Source!AD208*Source!I208, 2)+ROUND(Source!AF208*Source!I208, 2)</f>
        <v>0</v>
      </c>
      <c r="I329" s="47"/>
      <c r="J329" s="47">
        <f>IF(Source!BC208&lt;&gt; 0, Source!BC208, 1)</f>
        <v>5.85</v>
      </c>
      <c r="K329" s="48">
        <f>Source!O208</f>
        <v>0.01</v>
      </c>
      <c r="L329" s="53"/>
      <c r="S329">
        <f>ROUND((Source!FX208/100)*((ROUND(Source!AF208*Source!I208, 2)+ROUND(Source!AE208*Source!I208, 2))), 2)</f>
        <v>0</v>
      </c>
      <c r="T329">
        <f>Source!X208</f>
        <v>0</v>
      </c>
      <c r="U329">
        <f>ROUND((Source!FY208/100)*((ROUND(Source!AF208*Source!I208, 2)+ROUND(Source!AE208*Source!I208, 2))), 2)</f>
        <v>0</v>
      </c>
      <c r="V329">
        <f>Source!Y208</f>
        <v>0</v>
      </c>
      <c r="W329">
        <f>IF(Source!BI208&lt;=1,H329, 0)</f>
        <v>0</v>
      </c>
      <c r="X329">
        <f>IF(Source!BI208=2,H329, 0)</f>
        <v>0</v>
      </c>
      <c r="Y329">
        <f>IF(Source!BI208=3,H329, 0)</f>
        <v>0</v>
      </c>
      <c r="Z329">
        <f>IF(Source!BI208=4,H329, 0)</f>
        <v>0</v>
      </c>
    </row>
    <row r="330" spans="1:26" ht="15">
      <c r="G330" s="72">
        <f>H321+H322+H324+H325+H326+SUM(H328:H329)</f>
        <v>531.37</v>
      </c>
      <c r="H330" s="72"/>
      <c r="J330" s="72">
        <f>K321+K322+K324+K325+K326+SUM(K328:K329)</f>
        <v>1955.8</v>
      </c>
      <c r="K330" s="72"/>
      <c r="L330" s="50">
        <f>Source!U206</f>
        <v>2.2972859999999997</v>
      </c>
      <c r="O330" s="32">
        <f>G330</f>
        <v>531.37</v>
      </c>
      <c r="P330" s="32">
        <f>J330</f>
        <v>1955.8</v>
      </c>
      <c r="Q330" s="32">
        <f>L330</f>
        <v>2.2972859999999997</v>
      </c>
      <c r="W330">
        <f>IF(Source!BI206&lt;=1,H321+H322+H324+H325+H326, 0)</f>
        <v>55.25</v>
      </c>
      <c r="X330">
        <f>IF(Source!BI206=2,H321+H322+H324+H325+H326, 0)</f>
        <v>0</v>
      </c>
      <c r="Y330">
        <f>IF(Source!BI206=3,H321+H322+H324+H325+H326, 0)</f>
        <v>0</v>
      </c>
      <c r="Z330">
        <f>IF(Source!BI206=4,H321+H322+H324+H325+H326, 0)</f>
        <v>0</v>
      </c>
    </row>
    <row r="332" spans="1:26" ht="15">
      <c r="A332" s="74" t="str">
        <f>CONCATENATE("Итого по разделу: ",IF(Source!G210&lt;&gt;"Новый раздел", Source!G210, ""))</f>
        <v>Итого по разделу: Оконный блок</v>
      </c>
      <c r="B332" s="74"/>
      <c r="C332" s="74"/>
      <c r="D332" s="74"/>
      <c r="E332" s="74"/>
      <c r="F332" s="74"/>
      <c r="G332" s="73">
        <f>SUM(O244:O331)</f>
        <v>23267.940000000002</v>
      </c>
      <c r="H332" s="73"/>
      <c r="I332" s="35"/>
      <c r="J332" s="73">
        <f>SUM(P244:P331)</f>
        <v>56789.150000000009</v>
      </c>
      <c r="K332" s="73"/>
      <c r="L332" s="50">
        <f>SUM(Q244:Q331)</f>
        <v>34.770054999999999</v>
      </c>
    </row>
    <row r="336" spans="1:26" ht="16.5">
      <c r="A336" s="75" t="str">
        <f>CONCATENATE("Раздел: ",IF(Source!G240&lt;&gt;"Новый раздел", Source!G240, ""))</f>
        <v>Раздел: электромонтажные работы</v>
      </c>
      <c r="B336" s="75"/>
      <c r="C336" s="75"/>
      <c r="D336" s="75"/>
      <c r="E336" s="75"/>
      <c r="F336" s="75"/>
      <c r="G336" s="75"/>
      <c r="H336" s="75"/>
      <c r="I336" s="75"/>
      <c r="J336" s="75"/>
      <c r="K336" s="75"/>
      <c r="L336" s="75"/>
    </row>
    <row r="337" spans="1:26" ht="42.75">
      <c r="A337" s="23" t="str">
        <f>Source!E244</f>
        <v>2</v>
      </c>
      <c r="B337" s="55" t="str">
        <f>Source!F244</f>
        <v>м08-03-591-4</v>
      </c>
      <c r="C337" s="55" t="str">
        <f>Source!G244</f>
        <v>Выключатель двухклавишный неутопленного типа при открытой проводке</v>
      </c>
      <c r="D337" s="37" t="str">
        <f>Source!H244</f>
        <v>100 шт.</v>
      </c>
      <c r="E337" s="10">
        <f>Source!I244</f>
        <v>0.01</v>
      </c>
      <c r="F337" s="38">
        <f>Source!AL244+Source!AM244+Source!AO244</f>
        <v>465.70000000000005</v>
      </c>
      <c r="G337" s="39"/>
      <c r="H337" s="40"/>
      <c r="I337" s="39" t="str">
        <f>Source!BO244</f>
        <v>м08-03-591-4</v>
      </c>
      <c r="J337" s="39"/>
      <c r="K337" s="40"/>
      <c r="L337" s="41"/>
      <c r="S337">
        <f>ROUND((Source!FX244/100)*((ROUND(Source!AF244*Source!I244, 2)+ROUND(Source!AE244*Source!I244, 2))), 2)</f>
        <v>3.38</v>
      </c>
      <c r="T337">
        <f>Source!X244</f>
        <v>113.71</v>
      </c>
      <c r="U337">
        <f>ROUND((Source!FY244/100)*((ROUND(Source!AF244*Source!I244, 2)+ROUND(Source!AE244*Source!I244, 2))), 2)</f>
        <v>1.77</v>
      </c>
      <c r="V337">
        <f>Source!Y244</f>
        <v>59.79</v>
      </c>
    </row>
    <row r="338" spans="1:26">
      <c r="C338" s="31" t="str">
        <f>"Объем: "&amp;Source!I244&amp;"=1/"&amp;"100"</f>
        <v>Объем: 0,01=1/100</v>
      </c>
    </row>
    <row r="339" spans="1:26" ht="14.25">
      <c r="A339" s="23"/>
      <c r="B339" s="55"/>
      <c r="C339" s="55" t="s">
        <v>640</v>
      </c>
      <c r="D339" s="37"/>
      <c r="E339" s="10"/>
      <c r="F339" s="38">
        <f>Source!AO244</f>
        <v>348.49</v>
      </c>
      <c r="G339" s="39" t="str">
        <f>Source!DG244</f>
        <v/>
      </c>
      <c r="H339" s="40">
        <f>ROUND(Source!AF244*Source!I244, 2)</f>
        <v>3.48</v>
      </c>
      <c r="I339" s="39"/>
      <c r="J339" s="39">
        <f>IF(Source!BA244&lt;&gt; 0, Source!BA244, 1)</f>
        <v>33.6</v>
      </c>
      <c r="K339" s="40">
        <f>Source!S244</f>
        <v>117.09</v>
      </c>
      <c r="L339" s="41"/>
      <c r="R339">
        <f>H339</f>
        <v>3.48</v>
      </c>
    </row>
    <row r="340" spans="1:26" ht="14.25">
      <c r="A340" s="23"/>
      <c r="B340" s="55"/>
      <c r="C340" s="55" t="s">
        <v>75</v>
      </c>
      <c r="D340" s="37"/>
      <c r="E340" s="10"/>
      <c r="F340" s="38">
        <f>Source!AM244</f>
        <v>13.78</v>
      </c>
      <c r="G340" s="39" t="str">
        <f>Source!DE244</f>
        <v/>
      </c>
      <c r="H340" s="40">
        <f>ROUND(Source!AD244*Source!I244, 2)</f>
        <v>0.14000000000000001</v>
      </c>
      <c r="I340" s="39"/>
      <c r="J340" s="39">
        <f>IF(Source!BB244&lt;&gt; 0, Source!BB244, 1)</f>
        <v>5.96</v>
      </c>
      <c r="K340" s="40">
        <f>Source!Q244</f>
        <v>0.82</v>
      </c>
      <c r="L340" s="41"/>
    </row>
    <row r="341" spans="1:26" ht="14.25">
      <c r="A341" s="23"/>
      <c r="B341" s="55"/>
      <c r="C341" s="55" t="s">
        <v>641</v>
      </c>
      <c r="D341" s="37"/>
      <c r="E341" s="10"/>
      <c r="F341" s="38">
        <f>Source!AN244</f>
        <v>0.41</v>
      </c>
      <c r="G341" s="39" t="str">
        <f>Source!DF244</f>
        <v/>
      </c>
      <c r="H341" s="42">
        <f>ROUND(Source!AE244*Source!I244, 2)</f>
        <v>0</v>
      </c>
      <c r="I341" s="39"/>
      <c r="J341" s="39">
        <f>IF(Source!BS244&lt;&gt; 0, Source!BS244, 1)</f>
        <v>33.6</v>
      </c>
      <c r="K341" s="42">
        <f>Source!R244</f>
        <v>0.14000000000000001</v>
      </c>
      <c r="L341" s="41"/>
      <c r="R341">
        <f>H341</f>
        <v>0</v>
      </c>
    </row>
    <row r="342" spans="1:26" ht="14.25">
      <c r="A342" s="23"/>
      <c r="B342" s="55"/>
      <c r="C342" s="55" t="s">
        <v>648</v>
      </c>
      <c r="D342" s="37"/>
      <c r="E342" s="10"/>
      <c r="F342" s="38">
        <f>Source!AL244</f>
        <v>103.43</v>
      </c>
      <c r="G342" s="39" t="str">
        <f>Source!DD244</f>
        <v/>
      </c>
      <c r="H342" s="40">
        <f>ROUND(Source!AC244*Source!I244, 2)</f>
        <v>1.03</v>
      </c>
      <c r="I342" s="39"/>
      <c r="J342" s="39">
        <f>IF(Source!BC244&lt;&gt; 0, Source!BC244, 1)</f>
        <v>3.27</v>
      </c>
      <c r="K342" s="40">
        <f>Source!P244</f>
        <v>3.38</v>
      </c>
      <c r="L342" s="41"/>
    </row>
    <row r="343" spans="1:26" ht="14.25">
      <c r="A343" s="23"/>
      <c r="B343" s="55"/>
      <c r="C343" s="55" t="s">
        <v>642</v>
      </c>
      <c r="D343" s="37" t="s">
        <v>643</v>
      </c>
      <c r="E343" s="10">
        <f>Source!BZ244</f>
        <v>97</v>
      </c>
      <c r="F343" s="58"/>
      <c r="G343" s="39"/>
      <c r="H343" s="40">
        <f>SUM(S337:S346)</f>
        <v>3.38</v>
      </c>
      <c r="I343" s="43"/>
      <c r="J343" s="36">
        <f>Source!AT244</f>
        <v>97</v>
      </c>
      <c r="K343" s="40">
        <f>SUM(T337:T346)</f>
        <v>113.71</v>
      </c>
      <c r="L343" s="41"/>
    </row>
    <row r="344" spans="1:26" ht="14.25">
      <c r="A344" s="23"/>
      <c r="B344" s="55"/>
      <c r="C344" s="55" t="s">
        <v>644</v>
      </c>
      <c r="D344" s="37" t="s">
        <v>643</v>
      </c>
      <c r="E344" s="10">
        <f>Source!CA244</f>
        <v>51</v>
      </c>
      <c r="F344" s="58"/>
      <c r="G344" s="39"/>
      <c r="H344" s="40">
        <f>SUM(U337:U346)</f>
        <v>1.77</v>
      </c>
      <c r="I344" s="43"/>
      <c r="J344" s="36">
        <f>Source!AU244</f>
        <v>51</v>
      </c>
      <c r="K344" s="40">
        <f>SUM(V337:V346)</f>
        <v>59.79</v>
      </c>
      <c r="L344" s="41"/>
    </row>
    <row r="345" spans="1:26" ht="14.25">
      <c r="A345" s="23"/>
      <c r="B345" s="55"/>
      <c r="C345" s="55" t="s">
        <v>645</v>
      </c>
      <c r="D345" s="37" t="s">
        <v>646</v>
      </c>
      <c r="E345" s="10">
        <f>Source!AQ244</f>
        <v>35.130000000000003</v>
      </c>
      <c r="F345" s="38"/>
      <c r="G345" s="39" t="str">
        <f>Source!DI244</f>
        <v/>
      </c>
      <c r="H345" s="40"/>
      <c r="I345" s="39"/>
      <c r="J345" s="39"/>
      <c r="K345" s="40"/>
      <c r="L345" s="51">
        <f>Source!U244</f>
        <v>0.35130000000000006</v>
      </c>
    </row>
    <row r="346" spans="1:26" ht="57">
      <c r="A346" s="56" t="str">
        <f>Source!E245</f>
        <v>2,1</v>
      </c>
      <c r="B346" s="57" t="str">
        <f>Source!F245</f>
        <v>509-4596</v>
      </c>
      <c r="C346" s="57" t="str">
        <f>Source!G245</f>
        <v>Выключатель двухклавишный для открытой проводки серии "Прима", марка А16-007 с подсветкой, цвет белый</v>
      </c>
      <c r="D346" s="44" t="str">
        <f>Source!H245</f>
        <v>10 шт.</v>
      </c>
      <c r="E346" s="45">
        <f>Source!I245</f>
        <v>0.1</v>
      </c>
      <c r="F346" s="46">
        <f>Source!AL245+Source!AM245+Source!AO245</f>
        <v>100.5</v>
      </c>
      <c r="G346" s="52" t="s">
        <v>3</v>
      </c>
      <c r="H346" s="48">
        <f>ROUND(Source!AC245*Source!I245, 2)+ROUND(Source!AD245*Source!I245, 2)+ROUND(Source!AF245*Source!I245, 2)</f>
        <v>10.050000000000001</v>
      </c>
      <c r="I346" s="47"/>
      <c r="J346" s="47">
        <f>IF(Source!BC245&lt;&gt; 0, Source!BC245, 1)</f>
        <v>7.38</v>
      </c>
      <c r="K346" s="48">
        <f>Source!O245</f>
        <v>74.17</v>
      </c>
      <c r="L346" s="53"/>
      <c r="S346">
        <f>ROUND((Source!FX245/100)*((ROUND(Source!AF245*Source!I245, 2)+ROUND(Source!AE245*Source!I245, 2))), 2)</f>
        <v>0</v>
      </c>
      <c r="T346">
        <f>Source!X245</f>
        <v>0</v>
      </c>
      <c r="U346">
        <f>ROUND((Source!FY245/100)*((ROUND(Source!AF245*Source!I245, 2)+ROUND(Source!AE245*Source!I245, 2))), 2)</f>
        <v>0</v>
      </c>
      <c r="V346">
        <f>Source!Y245</f>
        <v>0</v>
      </c>
      <c r="W346">
        <f>IF(Source!BI245&lt;=1,H346, 0)</f>
        <v>0</v>
      </c>
      <c r="X346">
        <f>IF(Source!BI245=2,H346, 0)</f>
        <v>10.050000000000001</v>
      </c>
      <c r="Y346">
        <f>IF(Source!BI245=3,H346, 0)</f>
        <v>0</v>
      </c>
      <c r="Z346">
        <f>IF(Source!BI245=4,H346, 0)</f>
        <v>0</v>
      </c>
    </row>
    <row r="347" spans="1:26" ht="15">
      <c r="G347" s="72">
        <f>H339+H340+H342+H343+H344+SUM(H346:H346)</f>
        <v>19.850000000000001</v>
      </c>
      <c r="H347" s="72"/>
      <c r="J347" s="72">
        <f>K339+K340+K342+K343+K344+SUM(K346:K346)</f>
        <v>368.96000000000004</v>
      </c>
      <c r="K347" s="72"/>
      <c r="L347" s="50">
        <f>Source!U244</f>
        <v>0.35130000000000006</v>
      </c>
      <c r="O347" s="32">
        <f>G347</f>
        <v>19.850000000000001</v>
      </c>
      <c r="P347" s="32">
        <f>J347</f>
        <v>368.96000000000004</v>
      </c>
      <c r="Q347" s="32">
        <f>L347</f>
        <v>0.35130000000000006</v>
      </c>
      <c r="W347">
        <f>IF(Source!BI244&lt;=1,H339+H340+H342+H343+H344, 0)</f>
        <v>0</v>
      </c>
      <c r="X347">
        <f>IF(Source!BI244=2,H339+H340+H342+H343+H344, 0)</f>
        <v>9.8000000000000007</v>
      </c>
      <c r="Y347">
        <f>IF(Source!BI244=3,H339+H340+H342+H343+H344, 0)</f>
        <v>0</v>
      </c>
      <c r="Z347">
        <f>IF(Source!BI244=4,H339+H340+H342+H343+H344, 0)</f>
        <v>0</v>
      </c>
    </row>
    <row r="348" spans="1:26" ht="28.5">
      <c r="A348" s="23" t="str">
        <f>Source!E246</f>
        <v>4</v>
      </c>
      <c r="B348" s="55" t="str">
        <f>Source!F246</f>
        <v>м08-03-591-8</v>
      </c>
      <c r="C348" s="55" t="str">
        <f>Source!G246</f>
        <v>Розетка штепсельная неутопленного типа при открытой проводке</v>
      </c>
      <c r="D348" s="37" t="str">
        <f>Source!H246</f>
        <v>100 шт.</v>
      </c>
      <c r="E348" s="10">
        <f>Source!I246</f>
        <v>0.04</v>
      </c>
      <c r="F348" s="38">
        <f>Source!AL246+Source!AM246+Source!AO246</f>
        <v>463.29999999999995</v>
      </c>
      <c r="G348" s="39"/>
      <c r="H348" s="40"/>
      <c r="I348" s="39" t="str">
        <f>Source!BO246</f>
        <v>м08-03-591-8</v>
      </c>
      <c r="J348" s="39"/>
      <c r="K348" s="40"/>
      <c r="L348" s="41"/>
      <c r="S348">
        <f>ROUND((Source!FX246/100)*((ROUND(Source!AF246*Source!I246, 2)+ROUND(Source!AE246*Source!I246, 2))), 2)</f>
        <v>13.32</v>
      </c>
      <c r="T348">
        <f>Source!X246</f>
        <v>447.49</v>
      </c>
      <c r="U348">
        <f>ROUND((Source!FY246/100)*((ROUND(Source!AF246*Source!I246, 2)+ROUND(Source!AE246*Source!I246, 2))), 2)</f>
        <v>7</v>
      </c>
      <c r="V348">
        <f>Source!Y246</f>
        <v>235.28</v>
      </c>
    </row>
    <row r="349" spans="1:26">
      <c r="C349" s="31" t="str">
        <f>"Объем: "&amp;Source!I246&amp;"=4/"&amp;"100"</f>
        <v>Объем: 0,04=4/100</v>
      </c>
    </row>
    <row r="350" spans="1:26" ht="14.25">
      <c r="A350" s="23"/>
      <c r="B350" s="55"/>
      <c r="C350" s="55" t="s">
        <v>640</v>
      </c>
      <c r="D350" s="37"/>
      <c r="E350" s="10"/>
      <c r="F350" s="38">
        <f>Source!AO246</f>
        <v>342.84</v>
      </c>
      <c r="G350" s="39" t="str">
        <f>Source!DG246</f>
        <v/>
      </c>
      <c r="H350" s="40">
        <f>ROUND(Source!AF246*Source!I246, 2)</f>
        <v>13.71</v>
      </c>
      <c r="I350" s="39"/>
      <c r="J350" s="39">
        <f>IF(Source!BA246&lt;&gt; 0, Source!BA246, 1)</f>
        <v>33.6</v>
      </c>
      <c r="K350" s="40">
        <f>Source!S246</f>
        <v>460.78</v>
      </c>
      <c r="L350" s="41"/>
      <c r="R350">
        <f>H350</f>
        <v>13.71</v>
      </c>
    </row>
    <row r="351" spans="1:26" ht="14.25">
      <c r="A351" s="23"/>
      <c r="B351" s="55"/>
      <c r="C351" s="55" t="s">
        <v>75</v>
      </c>
      <c r="D351" s="37"/>
      <c r="E351" s="10"/>
      <c r="F351" s="38">
        <f>Source!AM246</f>
        <v>13.78</v>
      </c>
      <c r="G351" s="39" t="str">
        <f>Source!DE246</f>
        <v/>
      </c>
      <c r="H351" s="40">
        <f>ROUND(Source!AD246*Source!I246, 2)</f>
        <v>0.55000000000000004</v>
      </c>
      <c r="I351" s="39"/>
      <c r="J351" s="39">
        <f>IF(Source!BB246&lt;&gt; 0, Source!BB246, 1)</f>
        <v>5.96</v>
      </c>
      <c r="K351" s="40">
        <f>Source!Q246</f>
        <v>3.29</v>
      </c>
      <c r="L351" s="41"/>
    </row>
    <row r="352" spans="1:26" ht="14.25">
      <c r="A352" s="23"/>
      <c r="B352" s="55"/>
      <c r="C352" s="55" t="s">
        <v>641</v>
      </c>
      <c r="D352" s="37"/>
      <c r="E352" s="10"/>
      <c r="F352" s="38">
        <f>Source!AN246</f>
        <v>0.41</v>
      </c>
      <c r="G352" s="39" t="str">
        <f>Source!DF246</f>
        <v/>
      </c>
      <c r="H352" s="42">
        <f>ROUND(Source!AE246*Source!I246, 2)</f>
        <v>0.02</v>
      </c>
      <c r="I352" s="39"/>
      <c r="J352" s="39">
        <f>IF(Source!BS246&lt;&gt; 0, Source!BS246, 1)</f>
        <v>33.6</v>
      </c>
      <c r="K352" s="42">
        <f>Source!R246</f>
        <v>0.55000000000000004</v>
      </c>
      <c r="L352" s="41"/>
      <c r="R352">
        <f>H352</f>
        <v>0.02</v>
      </c>
    </row>
    <row r="353" spans="1:26" ht="14.25">
      <c r="A353" s="23"/>
      <c r="B353" s="55"/>
      <c r="C353" s="55" t="s">
        <v>648</v>
      </c>
      <c r="D353" s="37"/>
      <c r="E353" s="10"/>
      <c r="F353" s="38">
        <f>Source!AL246</f>
        <v>106.68</v>
      </c>
      <c r="G353" s="39" t="str">
        <f>Source!DD246</f>
        <v/>
      </c>
      <c r="H353" s="40">
        <f>ROUND(Source!AC246*Source!I246, 2)</f>
        <v>4.2699999999999996</v>
      </c>
      <c r="I353" s="39"/>
      <c r="J353" s="39">
        <f>IF(Source!BC246&lt;&gt; 0, Source!BC246, 1)</f>
        <v>3.24</v>
      </c>
      <c r="K353" s="40">
        <f>Source!P246</f>
        <v>13.83</v>
      </c>
      <c r="L353" s="41"/>
    </row>
    <row r="354" spans="1:26" ht="14.25">
      <c r="A354" s="23"/>
      <c r="B354" s="55"/>
      <c r="C354" s="55" t="s">
        <v>642</v>
      </c>
      <c r="D354" s="37" t="s">
        <v>643</v>
      </c>
      <c r="E354" s="10">
        <f>Source!BZ246</f>
        <v>97</v>
      </c>
      <c r="F354" s="58"/>
      <c r="G354" s="39"/>
      <c r="H354" s="40">
        <f>SUM(S348:S357)</f>
        <v>13.32</v>
      </c>
      <c r="I354" s="43"/>
      <c r="J354" s="36">
        <f>Source!AT246</f>
        <v>97</v>
      </c>
      <c r="K354" s="40">
        <f>SUM(T348:T357)</f>
        <v>447.49</v>
      </c>
      <c r="L354" s="41"/>
    </row>
    <row r="355" spans="1:26" ht="14.25">
      <c r="A355" s="23"/>
      <c r="B355" s="55"/>
      <c r="C355" s="55" t="s">
        <v>644</v>
      </c>
      <c r="D355" s="37" t="s">
        <v>643</v>
      </c>
      <c r="E355" s="10">
        <f>Source!CA246</f>
        <v>51</v>
      </c>
      <c r="F355" s="58"/>
      <c r="G355" s="39"/>
      <c r="H355" s="40">
        <f>SUM(U348:U357)</f>
        <v>7</v>
      </c>
      <c r="I355" s="43"/>
      <c r="J355" s="36">
        <f>Source!AU246</f>
        <v>51</v>
      </c>
      <c r="K355" s="40">
        <f>SUM(V348:V357)</f>
        <v>235.28</v>
      </c>
      <c r="L355" s="41"/>
    </row>
    <row r="356" spans="1:26" ht="14.25">
      <c r="A356" s="23"/>
      <c r="B356" s="55"/>
      <c r="C356" s="55" t="s">
        <v>645</v>
      </c>
      <c r="D356" s="37" t="s">
        <v>646</v>
      </c>
      <c r="E356" s="10">
        <f>Source!AQ246</f>
        <v>34.56</v>
      </c>
      <c r="F356" s="38"/>
      <c r="G356" s="39" t="str">
        <f>Source!DI246</f>
        <v/>
      </c>
      <c r="H356" s="40"/>
      <c r="I356" s="39"/>
      <c r="J356" s="39"/>
      <c r="K356" s="40"/>
      <c r="L356" s="51">
        <f>Source!U246</f>
        <v>1.3824000000000001</v>
      </c>
    </row>
    <row r="357" spans="1:26" ht="14.25">
      <c r="A357" s="56" t="str">
        <f>Source!E247</f>
        <v>4,1</v>
      </c>
      <c r="B357" s="57" t="str">
        <f>Source!F247</f>
        <v>503-0468</v>
      </c>
      <c r="C357" s="57" t="str">
        <f>Source!G247</f>
        <v>Розетка открытой проводки</v>
      </c>
      <c r="D357" s="44" t="str">
        <f>Source!H247</f>
        <v>100 шт.</v>
      </c>
      <c r="E357" s="45">
        <f>Source!I247</f>
        <v>0.04</v>
      </c>
      <c r="F357" s="46">
        <f>Source!AL247+Source!AM247+Source!AO247</f>
        <v>578</v>
      </c>
      <c r="G357" s="52" t="s">
        <v>3</v>
      </c>
      <c r="H357" s="48">
        <f>ROUND(Source!AC247*Source!I247, 2)+ROUND(Source!AD247*Source!I247, 2)+ROUND(Source!AF247*Source!I247, 2)</f>
        <v>23.12</v>
      </c>
      <c r="I357" s="47"/>
      <c r="J357" s="47">
        <f>IF(Source!BC247&lt;&gt; 0, Source!BC247, 1)</f>
        <v>5</v>
      </c>
      <c r="K357" s="48">
        <f>Source!O247</f>
        <v>115.6</v>
      </c>
      <c r="L357" s="53"/>
      <c r="S357">
        <f>ROUND((Source!FX247/100)*((ROUND(Source!AF247*Source!I247, 2)+ROUND(Source!AE247*Source!I247, 2))), 2)</f>
        <v>0</v>
      </c>
      <c r="T357">
        <f>Source!X247</f>
        <v>0</v>
      </c>
      <c r="U357">
        <f>ROUND((Source!FY247/100)*((ROUND(Source!AF247*Source!I247, 2)+ROUND(Source!AE247*Source!I247, 2))), 2)</f>
        <v>0</v>
      </c>
      <c r="V357">
        <f>Source!Y247</f>
        <v>0</v>
      </c>
      <c r="W357">
        <f>IF(Source!BI247&lt;=1,H357, 0)</f>
        <v>0</v>
      </c>
      <c r="X357">
        <f>IF(Source!BI247=2,H357, 0)</f>
        <v>23.12</v>
      </c>
      <c r="Y357">
        <f>IF(Source!BI247=3,H357, 0)</f>
        <v>0</v>
      </c>
      <c r="Z357">
        <f>IF(Source!BI247=4,H357, 0)</f>
        <v>0</v>
      </c>
    </row>
    <row r="358" spans="1:26" ht="15">
      <c r="G358" s="72">
        <f>H350+H351+H353+H354+H355+SUM(H357:H357)</f>
        <v>61.97</v>
      </c>
      <c r="H358" s="72"/>
      <c r="J358" s="72">
        <f>K350+K351+K353+K354+K355+SUM(K357:K357)</f>
        <v>1276.27</v>
      </c>
      <c r="K358" s="72"/>
      <c r="L358" s="50">
        <f>Source!U246</f>
        <v>1.3824000000000001</v>
      </c>
      <c r="O358" s="32">
        <f>G358</f>
        <v>61.97</v>
      </c>
      <c r="P358" s="32">
        <f>J358</f>
        <v>1276.27</v>
      </c>
      <c r="Q358" s="32">
        <f>L358</f>
        <v>1.3824000000000001</v>
      </c>
      <c r="W358">
        <f>IF(Source!BI246&lt;=1,H350+H351+H353+H354+H355, 0)</f>
        <v>0</v>
      </c>
      <c r="X358">
        <f>IF(Source!BI246=2,H350+H351+H353+H354+H355, 0)</f>
        <v>38.85</v>
      </c>
      <c r="Y358">
        <f>IF(Source!BI246=3,H350+H351+H353+H354+H355, 0)</f>
        <v>0</v>
      </c>
      <c r="Z358">
        <f>IF(Source!BI246=4,H350+H351+H353+H354+H355, 0)</f>
        <v>0</v>
      </c>
    </row>
    <row r="359" spans="1:26" ht="28.5">
      <c r="A359" s="23" t="str">
        <f>Source!E248</f>
        <v>7</v>
      </c>
      <c r="B359" s="55" t="str">
        <f>Source!F248</f>
        <v>м08-02-390-1</v>
      </c>
      <c r="C359" s="55" t="str">
        <f>Source!G248</f>
        <v>Короба пластмассовые шириной до 40 мм</v>
      </c>
      <c r="D359" s="37" t="str">
        <f>Source!H248</f>
        <v>100 м</v>
      </c>
      <c r="E359" s="10">
        <f>Source!I248</f>
        <v>1E-3</v>
      </c>
      <c r="F359" s="38">
        <f>Source!AL248+Source!AM248+Source!AO248</f>
        <v>237.45</v>
      </c>
      <c r="G359" s="39"/>
      <c r="H359" s="40"/>
      <c r="I359" s="39" t="str">
        <f>Source!BO248</f>
        <v>м08-02-390-1</v>
      </c>
      <c r="J359" s="39"/>
      <c r="K359" s="40"/>
      <c r="L359" s="41"/>
      <c r="S359">
        <f>ROUND((Source!FX248/100)*((ROUND(Source!AF248*Source!I248, 2)+ROUND(Source!AE248*Source!I248, 2))), 2)</f>
        <v>0.15</v>
      </c>
      <c r="T359">
        <f>Source!X248</f>
        <v>5.05</v>
      </c>
      <c r="U359">
        <f>ROUND((Source!FY248/100)*((ROUND(Source!AF248*Source!I248, 2)+ROUND(Source!AE248*Source!I248, 2))), 2)</f>
        <v>0.08</v>
      </c>
      <c r="V359">
        <f>Source!Y248</f>
        <v>2.66</v>
      </c>
    </row>
    <row r="360" spans="1:26">
      <c r="C360" s="31" t="str">
        <f>"Объем: "&amp;Source!I248&amp;"=0,1/"&amp;"100"</f>
        <v>Объем: 0,001=0,1/100</v>
      </c>
    </row>
    <row r="361" spans="1:26" ht="14.25">
      <c r="A361" s="23"/>
      <c r="B361" s="55"/>
      <c r="C361" s="55" t="s">
        <v>640</v>
      </c>
      <c r="D361" s="37"/>
      <c r="E361" s="10"/>
      <c r="F361" s="38">
        <f>Source!AO248</f>
        <v>154.91999999999999</v>
      </c>
      <c r="G361" s="39" t="str">
        <f>Source!DG248</f>
        <v/>
      </c>
      <c r="H361" s="40">
        <f>ROUND(Source!AF248*Source!I248, 2)</f>
        <v>0.15</v>
      </c>
      <c r="I361" s="39"/>
      <c r="J361" s="39">
        <f>IF(Source!BA248&lt;&gt; 0, Source!BA248, 1)</f>
        <v>33.6</v>
      </c>
      <c r="K361" s="40">
        <f>Source!S248</f>
        <v>5.21</v>
      </c>
      <c r="L361" s="41"/>
      <c r="R361">
        <f>H361</f>
        <v>0.15</v>
      </c>
    </row>
    <row r="362" spans="1:26" ht="14.25">
      <c r="A362" s="23"/>
      <c r="B362" s="55"/>
      <c r="C362" s="55" t="s">
        <v>75</v>
      </c>
      <c r="D362" s="37"/>
      <c r="E362" s="10"/>
      <c r="F362" s="38">
        <f>Source!AM248</f>
        <v>31.2</v>
      </c>
      <c r="G362" s="39" t="str">
        <f>Source!DE248</f>
        <v/>
      </c>
      <c r="H362" s="40">
        <f>ROUND(Source!AD248*Source!I248, 2)</f>
        <v>0.03</v>
      </c>
      <c r="I362" s="39"/>
      <c r="J362" s="39">
        <f>IF(Source!BB248&lt;&gt; 0, Source!BB248, 1)</f>
        <v>8.84</v>
      </c>
      <c r="K362" s="40">
        <f>Source!Q248</f>
        <v>0.28000000000000003</v>
      </c>
      <c r="L362" s="41"/>
    </row>
    <row r="363" spans="1:26" ht="14.25">
      <c r="A363" s="23"/>
      <c r="B363" s="55"/>
      <c r="C363" s="55" t="s">
        <v>648</v>
      </c>
      <c r="D363" s="37"/>
      <c r="E363" s="10"/>
      <c r="F363" s="38">
        <f>Source!AL248</f>
        <v>51.33</v>
      </c>
      <c r="G363" s="39" t="str">
        <f>Source!DD248</f>
        <v/>
      </c>
      <c r="H363" s="40">
        <f>ROUND(Source!AC248*Source!I248, 2)</f>
        <v>0.05</v>
      </c>
      <c r="I363" s="39"/>
      <c r="J363" s="39">
        <f>IF(Source!BC248&lt;&gt; 0, Source!BC248, 1)</f>
        <v>4.66</v>
      </c>
      <c r="K363" s="40">
        <f>Source!P248</f>
        <v>0.24</v>
      </c>
      <c r="L363" s="41"/>
    </row>
    <row r="364" spans="1:26" ht="14.25">
      <c r="A364" s="23"/>
      <c r="B364" s="55"/>
      <c r="C364" s="55" t="s">
        <v>642</v>
      </c>
      <c r="D364" s="37" t="s">
        <v>643</v>
      </c>
      <c r="E364" s="10">
        <f>Source!BZ248</f>
        <v>97</v>
      </c>
      <c r="F364" s="58"/>
      <c r="G364" s="39"/>
      <c r="H364" s="40">
        <f>SUM(S359:S367)</f>
        <v>0.15</v>
      </c>
      <c r="I364" s="43"/>
      <c r="J364" s="36">
        <f>Source!AT248</f>
        <v>97</v>
      </c>
      <c r="K364" s="40">
        <f>SUM(T359:T367)</f>
        <v>5.05</v>
      </c>
      <c r="L364" s="41"/>
    </row>
    <row r="365" spans="1:26" ht="14.25">
      <c r="A365" s="23"/>
      <c r="B365" s="55"/>
      <c r="C365" s="55" t="s">
        <v>644</v>
      </c>
      <c r="D365" s="37" t="s">
        <v>643</v>
      </c>
      <c r="E365" s="10">
        <f>Source!CA248</f>
        <v>51</v>
      </c>
      <c r="F365" s="58"/>
      <c r="G365" s="39"/>
      <c r="H365" s="40">
        <f>SUM(U359:U367)</f>
        <v>0.08</v>
      </c>
      <c r="I365" s="43"/>
      <c r="J365" s="36">
        <f>Source!AU248</f>
        <v>51</v>
      </c>
      <c r="K365" s="40">
        <f>SUM(V359:V367)</f>
        <v>2.66</v>
      </c>
      <c r="L365" s="41"/>
    </row>
    <row r="366" spans="1:26" ht="14.25">
      <c r="A366" s="23"/>
      <c r="B366" s="55"/>
      <c r="C366" s="55" t="s">
        <v>645</v>
      </c>
      <c r="D366" s="37" t="s">
        <v>646</v>
      </c>
      <c r="E366" s="10">
        <f>Source!AQ248</f>
        <v>16.29</v>
      </c>
      <c r="F366" s="38"/>
      <c r="G366" s="39" t="str">
        <f>Source!DI248</f>
        <v/>
      </c>
      <c r="H366" s="40"/>
      <c r="I366" s="39"/>
      <c r="J366" s="39"/>
      <c r="K366" s="40"/>
      <c r="L366" s="51">
        <f>Source!U248</f>
        <v>1.6289999999999999E-2</v>
      </c>
    </row>
    <row r="367" spans="1:26" ht="28.5">
      <c r="A367" s="56" t="str">
        <f>Source!E249</f>
        <v>7,1</v>
      </c>
      <c r="B367" s="57" t="str">
        <f>Source!F249</f>
        <v>509-1830</v>
      </c>
      <c r="C367" s="57" t="str">
        <f>Source!G249</f>
        <v>Кабель-канал (короб) "Электропласт" 20x10 мм</v>
      </c>
      <c r="D367" s="44" t="str">
        <f>Source!H249</f>
        <v>100 м</v>
      </c>
      <c r="E367" s="45">
        <f>Source!I249</f>
        <v>1E-3</v>
      </c>
      <c r="F367" s="46">
        <f>Source!AL249+Source!AM249+Source!AO249</f>
        <v>121</v>
      </c>
      <c r="G367" s="52" t="s">
        <v>3</v>
      </c>
      <c r="H367" s="48">
        <f>ROUND(Source!AC249*Source!I249, 2)+ROUND(Source!AD249*Source!I249, 2)+ROUND(Source!AF249*Source!I249, 2)</f>
        <v>0.12</v>
      </c>
      <c r="I367" s="47"/>
      <c r="J367" s="47">
        <f>IF(Source!BC249&lt;&gt; 0, Source!BC249, 1)</f>
        <v>13.34</v>
      </c>
      <c r="K367" s="48">
        <f>Source!O249</f>
        <v>1.61</v>
      </c>
      <c r="L367" s="53"/>
      <c r="S367">
        <f>ROUND((Source!FX249/100)*((ROUND(Source!AF249*Source!I249, 2)+ROUND(Source!AE249*Source!I249, 2))), 2)</f>
        <v>0</v>
      </c>
      <c r="T367">
        <f>Source!X249</f>
        <v>0</v>
      </c>
      <c r="U367">
        <f>ROUND((Source!FY249/100)*((ROUND(Source!AF249*Source!I249, 2)+ROUND(Source!AE249*Source!I249, 2))), 2)</f>
        <v>0</v>
      </c>
      <c r="V367">
        <f>Source!Y249</f>
        <v>0</v>
      </c>
      <c r="W367">
        <f>IF(Source!BI249&lt;=1,H367, 0)</f>
        <v>0</v>
      </c>
      <c r="X367">
        <f>IF(Source!BI249=2,H367, 0)</f>
        <v>0.12</v>
      </c>
      <c r="Y367">
        <f>IF(Source!BI249=3,H367, 0)</f>
        <v>0</v>
      </c>
      <c r="Z367">
        <f>IF(Source!BI249=4,H367, 0)</f>
        <v>0</v>
      </c>
    </row>
    <row r="368" spans="1:26" ht="15">
      <c r="G368" s="72">
        <f>H361+H362+H363+H364+H365+SUM(H367:H367)</f>
        <v>0.58000000000000007</v>
      </c>
      <c r="H368" s="72"/>
      <c r="J368" s="72">
        <f>K361+K362+K363+K364+K365+SUM(K367:K367)</f>
        <v>15.05</v>
      </c>
      <c r="K368" s="72"/>
      <c r="L368" s="50">
        <f>Source!U248</f>
        <v>1.6289999999999999E-2</v>
      </c>
      <c r="O368" s="32">
        <f>G368</f>
        <v>0.58000000000000007</v>
      </c>
      <c r="P368" s="32">
        <f>J368</f>
        <v>15.05</v>
      </c>
      <c r="Q368" s="32">
        <f>L368</f>
        <v>1.6289999999999999E-2</v>
      </c>
      <c r="W368">
        <f>IF(Source!BI248&lt;=1,H361+H362+H363+H364+H365, 0)</f>
        <v>0</v>
      </c>
      <c r="X368">
        <f>IF(Source!BI248=2,H361+H362+H363+H364+H365, 0)</f>
        <v>0.46</v>
      </c>
      <c r="Y368">
        <f>IF(Source!BI248=3,H361+H362+H363+H364+H365, 0)</f>
        <v>0</v>
      </c>
      <c r="Z368">
        <f>IF(Source!BI248=4,H361+H362+H363+H364+H365, 0)</f>
        <v>0</v>
      </c>
    </row>
    <row r="369" spans="1:26" ht="28.5">
      <c r="A369" s="23" t="str">
        <f>Source!E250</f>
        <v>8</v>
      </c>
      <c r="B369" s="55" t="str">
        <f>Source!F250</f>
        <v>м08-02-399-1</v>
      </c>
      <c r="C369" s="55" t="str">
        <f>Source!G250</f>
        <v>Провод в коробах, сечением до 6 мм2</v>
      </c>
      <c r="D369" s="37" t="str">
        <f>Source!H250</f>
        <v>100 м</v>
      </c>
      <c r="E369" s="10">
        <f>Source!I250</f>
        <v>1</v>
      </c>
      <c r="F369" s="38">
        <f>Source!AL250+Source!AM250+Source!AO250</f>
        <v>41.59</v>
      </c>
      <c r="G369" s="39"/>
      <c r="H369" s="40"/>
      <c r="I369" s="39" t="str">
        <f>Source!BO250</f>
        <v>м08-02-399-1</v>
      </c>
      <c r="J369" s="39"/>
      <c r="K369" s="40"/>
      <c r="L369" s="41"/>
      <c r="S369">
        <f>ROUND((Source!FX250/100)*((ROUND(Source!AF250*Source!I250, 2)+ROUND(Source!AE250*Source!I250, 2))), 2)</f>
        <v>25.85</v>
      </c>
      <c r="T369">
        <f>Source!X250</f>
        <v>868.58</v>
      </c>
      <c r="U369">
        <f>ROUND((Source!FY250/100)*((ROUND(Source!AF250*Source!I250, 2)+ROUND(Source!AE250*Source!I250, 2))), 2)</f>
        <v>13.59</v>
      </c>
      <c r="V369">
        <f>Source!Y250</f>
        <v>456.67</v>
      </c>
    </row>
    <row r="370" spans="1:26">
      <c r="C370" s="31" t="str">
        <f>"Объем: "&amp;Source!I250&amp;"=100/"&amp;"100"</f>
        <v>Объем: 1=100/100</v>
      </c>
    </row>
    <row r="371" spans="1:26" ht="14.25">
      <c r="A371" s="23"/>
      <c r="B371" s="55"/>
      <c r="C371" s="55" t="s">
        <v>640</v>
      </c>
      <c r="D371" s="37"/>
      <c r="E371" s="10"/>
      <c r="F371" s="38">
        <f>Source!AO250</f>
        <v>26.51</v>
      </c>
      <c r="G371" s="39" t="str">
        <f>Source!DG250</f>
        <v/>
      </c>
      <c r="H371" s="40">
        <f>ROUND(Source!AF250*Source!I250, 2)</f>
        <v>26.51</v>
      </c>
      <c r="I371" s="39"/>
      <c r="J371" s="39">
        <f>IF(Source!BA250&lt;&gt; 0, Source!BA250, 1)</f>
        <v>33.6</v>
      </c>
      <c r="K371" s="40">
        <f>Source!S250</f>
        <v>890.74</v>
      </c>
      <c r="L371" s="41"/>
      <c r="R371">
        <f>H371</f>
        <v>26.51</v>
      </c>
    </row>
    <row r="372" spans="1:26" ht="14.25">
      <c r="A372" s="23"/>
      <c r="B372" s="55"/>
      <c r="C372" s="55" t="s">
        <v>75</v>
      </c>
      <c r="D372" s="37"/>
      <c r="E372" s="10"/>
      <c r="F372" s="38">
        <f>Source!AM250</f>
        <v>2.2200000000000002</v>
      </c>
      <c r="G372" s="39" t="str">
        <f>Source!DE250</f>
        <v/>
      </c>
      <c r="H372" s="40">
        <f>ROUND(Source!AD250*Source!I250, 2)</f>
        <v>2.2200000000000002</v>
      </c>
      <c r="I372" s="39"/>
      <c r="J372" s="39">
        <f>IF(Source!BB250&lt;&gt; 0, Source!BB250, 1)</f>
        <v>9.2200000000000006</v>
      </c>
      <c r="K372" s="40">
        <f>Source!Q250</f>
        <v>20.47</v>
      </c>
      <c r="L372" s="41"/>
    </row>
    <row r="373" spans="1:26" ht="14.25">
      <c r="A373" s="23"/>
      <c r="B373" s="55"/>
      <c r="C373" s="55" t="s">
        <v>641</v>
      </c>
      <c r="D373" s="37"/>
      <c r="E373" s="10"/>
      <c r="F373" s="38">
        <f>Source!AN250</f>
        <v>0.14000000000000001</v>
      </c>
      <c r="G373" s="39" t="str">
        <f>Source!DF250</f>
        <v/>
      </c>
      <c r="H373" s="42">
        <f>ROUND(Source!AE250*Source!I250, 2)</f>
        <v>0.14000000000000001</v>
      </c>
      <c r="I373" s="39"/>
      <c r="J373" s="39">
        <f>IF(Source!BS250&lt;&gt; 0, Source!BS250, 1)</f>
        <v>33.6</v>
      </c>
      <c r="K373" s="42">
        <f>Source!R250</f>
        <v>4.7</v>
      </c>
      <c r="L373" s="41"/>
      <c r="R373">
        <f>H373</f>
        <v>0.14000000000000001</v>
      </c>
    </row>
    <row r="374" spans="1:26" ht="14.25">
      <c r="A374" s="23"/>
      <c r="B374" s="55"/>
      <c r="C374" s="55" t="s">
        <v>648</v>
      </c>
      <c r="D374" s="37"/>
      <c r="E374" s="10"/>
      <c r="F374" s="38">
        <f>Source!AL250</f>
        <v>12.86</v>
      </c>
      <c r="G374" s="39" t="str">
        <f>Source!DD250</f>
        <v/>
      </c>
      <c r="H374" s="40">
        <f>ROUND(Source!AC250*Source!I250, 2)</f>
        <v>12.86</v>
      </c>
      <c r="I374" s="39"/>
      <c r="J374" s="39">
        <f>IF(Source!BC250&lt;&gt; 0, Source!BC250, 1)</f>
        <v>5.07</v>
      </c>
      <c r="K374" s="40">
        <f>Source!P250</f>
        <v>65.2</v>
      </c>
      <c r="L374" s="41"/>
    </row>
    <row r="375" spans="1:26" ht="14.25">
      <c r="A375" s="23"/>
      <c r="B375" s="55"/>
      <c r="C375" s="55" t="s">
        <v>642</v>
      </c>
      <c r="D375" s="37" t="s">
        <v>643</v>
      </c>
      <c r="E375" s="10">
        <f>Source!BZ250</f>
        <v>97</v>
      </c>
      <c r="F375" s="58"/>
      <c r="G375" s="39"/>
      <c r="H375" s="40">
        <f>SUM(S369:S378)</f>
        <v>25.85</v>
      </c>
      <c r="I375" s="43"/>
      <c r="J375" s="36">
        <f>Source!AT250</f>
        <v>97</v>
      </c>
      <c r="K375" s="40">
        <f>SUM(T369:T378)</f>
        <v>868.58</v>
      </c>
      <c r="L375" s="41"/>
    </row>
    <row r="376" spans="1:26" ht="14.25">
      <c r="A376" s="23"/>
      <c r="B376" s="55"/>
      <c r="C376" s="55" t="s">
        <v>644</v>
      </c>
      <c r="D376" s="37" t="s">
        <v>643</v>
      </c>
      <c r="E376" s="10">
        <f>Source!CA250</f>
        <v>51</v>
      </c>
      <c r="F376" s="58"/>
      <c r="G376" s="39"/>
      <c r="H376" s="40">
        <f>SUM(U369:U378)</f>
        <v>13.59</v>
      </c>
      <c r="I376" s="43"/>
      <c r="J376" s="36">
        <f>Source!AU250</f>
        <v>51</v>
      </c>
      <c r="K376" s="40">
        <f>SUM(V369:V378)</f>
        <v>456.67</v>
      </c>
      <c r="L376" s="41"/>
    </row>
    <row r="377" spans="1:26" ht="14.25">
      <c r="A377" s="23"/>
      <c r="B377" s="55"/>
      <c r="C377" s="55" t="s">
        <v>645</v>
      </c>
      <c r="D377" s="37" t="s">
        <v>646</v>
      </c>
      <c r="E377" s="10">
        <f>Source!AQ250</f>
        <v>2.82</v>
      </c>
      <c r="F377" s="38"/>
      <c r="G377" s="39" t="str">
        <f>Source!DI250</f>
        <v/>
      </c>
      <c r="H377" s="40"/>
      <c r="I377" s="39"/>
      <c r="J377" s="39"/>
      <c r="K377" s="40"/>
      <c r="L377" s="51">
        <f>Source!U250</f>
        <v>2.82</v>
      </c>
    </row>
    <row r="378" spans="1:26" ht="85.5">
      <c r="A378" s="56" t="str">
        <f>Source!E251</f>
        <v>8,1</v>
      </c>
      <c r="B378" s="57" t="str">
        <f>Source!F251</f>
        <v>501-8190</v>
      </c>
      <c r="C378" s="57" t="str">
        <f>Source!G251</f>
        <v>Кабель силовой с медными жилами с поливинилхлоридной изоляцией в поливинилхлоридной оболочке без защитного покрова ВВГ, напряжением 0,66 кВ, число жил – 3 и сечением 1,5 мм2</v>
      </c>
      <c r="D378" s="44" t="str">
        <f>Source!H251</f>
        <v>1000 м</v>
      </c>
      <c r="E378" s="45">
        <f>Source!I251</f>
        <v>0.1</v>
      </c>
      <c r="F378" s="46">
        <f>Source!AL251+Source!AM251+Source!AO251</f>
        <v>4329</v>
      </c>
      <c r="G378" s="52" t="s">
        <v>3</v>
      </c>
      <c r="H378" s="48">
        <f>ROUND(Source!AC251*Source!I251, 2)+ROUND(Source!AD251*Source!I251, 2)+ROUND(Source!AF251*Source!I251, 2)</f>
        <v>432.9</v>
      </c>
      <c r="I378" s="47"/>
      <c r="J378" s="47">
        <f>IF(Source!BC251&lt;&gt; 0, Source!BC251, 1)</f>
        <v>7.67</v>
      </c>
      <c r="K378" s="48">
        <f>Source!O251</f>
        <v>3320.34</v>
      </c>
      <c r="L378" s="53"/>
      <c r="S378">
        <f>ROUND((Source!FX251/100)*((ROUND(Source!AF251*Source!I251, 2)+ROUND(Source!AE251*Source!I251, 2))), 2)</f>
        <v>0</v>
      </c>
      <c r="T378">
        <f>Source!X251</f>
        <v>0</v>
      </c>
      <c r="U378">
        <f>ROUND((Source!FY251/100)*((ROUND(Source!AF251*Source!I251, 2)+ROUND(Source!AE251*Source!I251, 2))), 2)</f>
        <v>0</v>
      </c>
      <c r="V378">
        <f>Source!Y251</f>
        <v>0</v>
      </c>
      <c r="W378">
        <f>IF(Source!BI251&lt;=1,H378, 0)</f>
        <v>0</v>
      </c>
      <c r="X378">
        <f>IF(Source!BI251=2,H378, 0)</f>
        <v>432.9</v>
      </c>
      <c r="Y378">
        <f>IF(Source!BI251=3,H378, 0)</f>
        <v>0</v>
      </c>
      <c r="Z378">
        <f>IF(Source!BI251=4,H378, 0)</f>
        <v>0</v>
      </c>
    </row>
    <row r="379" spans="1:26" ht="15">
      <c r="G379" s="72">
        <f>H371+H372+H374+H375+H376+SUM(H378:H378)</f>
        <v>513.92999999999995</v>
      </c>
      <c r="H379" s="72"/>
      <c r="J379" s="72">
        <f>K371+K372+K374+K375+K376+SUM(K378:K378)</f>
        <v>5622</v>
      </c>
      <c r="K379" s="72"/>
      <c r="L379" s="50">
        <f>Source!U250</f>
        <v>2.82</v>
      </c>
      <c r="O379" s="32">
        <f>G379</f>
        <v>513.92999999999995</v>
      </c>
      <c r="P379" s="32">
        <f>J379</f>
        <v>5622</v>
      </c>
      <c r="Q379" s="32">
        <f>L379</f>
        <v>2.82</v>
      </c>
      <c r="W379">
        <f>IF(Source!BI250&lt;=1,H371+H372+H374+H375+H376, 0)</f>
        <v>0</v>
      </c>
      <c r="X379">
        <f>IF(Source!BI250=2,H371+H372+H374+H375+H376, 0)</f>
        <v>81.03</v>
      </c>
      <c r="Y379">
        <f>IF(Source!BI250=3,H371+H372+H374+H375+H376, 0)</f>
        <v>0</v>
      </c>
      <c r="Z379">
        <f>IF(Source!BI250=4,H371+H372+H374+H375+H376, 0)</f>
        <v>0</v>
      </c>
    </row>
    <row r="380" spans="1:26" ht="42.75">
      <c r="A380" s="23" t="str">
        <f>Source!E252</f>
        <v>10</v>
      </c>
      <c r="B380" s="55" t="str">
        <f>Source!F252</f>
        <v>т01-01-01-041</v>
      </c>
      <c r="C380" s="55" t="str">
        <f>Source!G252</f>
        <v>Погрузка при автомобильных перевозках мусора строительного с погрузкой вручную</v>
      </c>
      <c r="D380" s="37" t="str">
        <f>Source!H252</f>
        <v>1 Т ГРУЗА</v>
      </c>
      <c r="E380" s="10">
        <f>Source!I252</f>
        <v>3</v>
      </c>
      <c r="F380" s="38">
        <f>Source!AL252+Source!AM252+Source!AO252</f>
        <v>42.98</v>
      </c>
      <c r="G380" s="39"/>
      <c r="H380" s="40"/>
      <c r="I380" s="39" t="str">
        <f>Source!BO252</f>
        <v/>
      </c>
      <c r="J380" s="39"/>
      <c r="K380" s="40"/>
      <c r="L380" s="41"/>
      <c r="S380">
        <f>ROUND((Source!FX252/100)*((ROUND(Source!AF252*Source!I252, 2)+ROUND(Source!AE252*Source!I252, 2))), 2)</f>
        <v>0</v>
      </c>
      <c r="T380">
        <f>Source!X252</f>
        <v>0</v>
      </c>
      <c r="U380">
        <f>ROUND((Source!FY252/100)*((ROUND(Source!AF252*Source!I252, 2)+ROUND(Source!AE252*Source!I252, 2))), 2)</f>
        <v>0</v>
      </c>
      <c r="V380">
        <f>Source!Y252</f>
        <v>0</v>
      </c>
    </row>
    <row r="381" spans="1:26" ht="14.25">
      <c r="A381" s="56"/>
      <c r="B381" s="57"/>
      <c r="C381" s="57" t="s">
        <v>75</v>
      </c>
      <c r="D381" s="44"/>
      <c r="E381" s="45"/>
      <c r="F381" s="46">
        <f>Source!AM252</f>
        <v>42.98</v>
      </c>
      <c r="G381" s="47" t="str">
        <f>Source!DE252</f>
        <v/>
      </c>
      <c r="H381" s="48">
        <f>ROUND(Source!AD252*Source!I252, 2)</f>
        <v>128.94</v>
      </c>
      <c r="I381" s="47"/>
      <c r="J381" s="47">
        <f>IF(Source!BB252&lt;&gt; 0, Source!BB252, 1)</f>
        <v>14.57</v>
      </c>
      <c r="K381" s="48">
        <f>Source!Q252</f>
        <v>1878.66</v>
      </c>
      <c r="L381" s="53"/>
    </row>
    <row r="382" spans="1:26" ht="15">
      <c r="G382" s="72">
        <f>H381</f>
        <v>128.94</v>
      </c>
      <c r="H382" s="72"/>
      <c r="J382" s="72">
        <f>K381</f>
        <v>1878.66</v>
      </c>
      <c r="K382" s="72"/>
      <c r="L382" s="50">
        <f>Source!U252</f>
        <v>0</v>
      </c>
      <c r="O382" s="32">
        <f>G382</f>
        <v>128.94</v>
      </c>
      <c r="P382" s="32">
        <f>J382</f>
        <v>1878.66</v>
      </c>
      <c r="Q382" s="32">
        <f>L382</f>
        <v>0</v>
      </c>
      <c r="W382">
        <f>IF(Source!BI252&lt;=1,H381, 0)</f>
        <v>128.94</v>
      </c>
      <c r="X382">
        <f>IF(Source!BI252=2,H381, 0)</f>
        <v>0</v>
      </c>
      <c r="Y382">
        <f>IF(Source!BI252=3,H381, 0)</f>
        <v>0</v>
      </c>
      <c r="Z382">
        <f>IF(Source!BI252=4,H381, 0)</f>
        <v>0</v>
      </c>
    </row>
    <row r="384" spans="1:26" ht="15">
      <c r="A384" s="74" t="str">
        <f>CONCATENATE("Итого по разделу: ",IF(Source!G254&lt;&gt;"Новый раздел", Source!G254, ""))</f>
        <v>Итого по разделу: электромонтажные работы</v>
      </c>
      <c r="B384" s="74"/>
      <c r="C384" s="74"/>
      <c r="D384" s="74"/>
      <c r="E384" s="74"/>
      <c r="F384" s="74"/>
      <c r="G384" s="73">
        <f>SUM(O336:O383)</f>
        <v>725.27</v>
      </c>
      <c r="H384" s="73"/>
      <c r="I384" s="35"/>
      <c r="J384" s="73">
        <f>SUM(P336:P383)</f>
        <v>9160.94</v>
      </c>
      <c r="K384" s="73"/>
      <c r="L384" s="50">
        <f>SUM(Q336:Q383)</f>
        <v>4.5699899999999998</v>
      </c>
    </row>
    <row r="388" spans="1:32" ht="15">
      <c r="A388" s="74" t="str">
        <f>CONCATENATE("Итого по локальной смете: ",IF(Source!G284&lt;&gt;"Новая локальная смета", Source!G284, ""))</f>
        <v xml:space="preserve">Итого по локальной смете: </v>
      </c>
      <c r="B388" s="74"/>
      <c r="C388" s="74"/>
      <c r="D388" s="74"/>
      <c r="E388" s="74"/>
      <c r="F388" s="74"/>
      <c r="G388" s="73">
        <f>SUM(O42:O387)</f>
        <v>228384.57</v>
      </c>
      <c r="H388" s="73"/>
      <c r="I388" s="35"/>
      <c r="J388" s="73">
        <f>SUM(P42:P387)</f>
        <v>722980.75000000012</v>
      </c>
      <c r="K388" s="73"/>
      <c r="L388" s="50">
        <f>SUM(Q42:Q387)</f>
        <v>487.56856349999993</v>
      </c>
    </row>
    <row r="392" spans="1:32" ht="15">
      <c r="A392" s="74" t="str">
        <f>CONCATENATE("Итого по смете: ",IF(Source!G314&lt;&gt;"Новый объект", Source!G314, ""))</f>
        <v>Итого по смете: Кабинет ЛФК  Ильинский Погост 2021.</v>
      </c>
      <c r="B392" s="74"/>
      <c r="C392" s="74"/>
      <c r="D392" s="74"/>
      <c r="E392" s="74"/>
      <c r="F392" s="74"/>
      <c r="G392" s="73">
        <f>SUM(O1:O391)</f>
        <v>228384.57</v>
      </c>
      <c r="H392" s="73"/>
      <c r="I392" s="35"/>
      <c r="J392" s="73">
        <f>SUM(P1:P391)</f>
        <v>722980.75000000012</v>
      </c>
      <c r="K392" s="73"/>
      <c r="L392" s="50">
        <f>SUM(Q1:Q391)</f>
        <v>487.56856349999993</v>
      </c>
      <c r="AF392" s="59" t="str">
        <f>CONCATENATE("Итого по смете: ",IF(Source!G314&lt;&gt;"Новый объект", Source!G314, ""))</f>
        <v>Итого по смете: Кабинет ЛФК  Ильинский Погост 2021.</v>
      </c>
    </row>
    <row r="394" spans="1:32" ht="14.25">
      <c r="C394" s="78" t="str">
        <f>Source!H343</f>
        <v>с НДС 20%</v>
      </c>
      <c r="D394" s="78"/>
      <c r="E394" s="78"/>
      <c r="F394" s="78"/>
      <c r="G394" s="78"/>
      <c r="H394" s="78"/>
      <c r="I394" s="78"/>
      <c r="J394" s="79">
        <f>IF(Source!F343=0, "", Source!F343)</f>
        <v>144596.15</v>
      </c>
      <c r="K394" s="79"/>
    </row>
    <row r="395" spans="1:32" ht="14.25">
      <c r="C395" s="78" t="str">
        <f>Source!H344</f>
        <v>Всего с НДС 20%</v>
      </c>
      <c r="D395" s="78"/>
      <c r="E395" s="78"/>
      <c r="F395" s="78"/>
      <c r="G395" s="78"/>
      <c r="H395" s="78"/>
      <c r="I395" s="78"/>
      <c r="J395" s="79">
        <f>IF(Source!F344=0, "", Source!F344)</f>
        <v>867576.9</v>
      </c>
      <c r="K395" s="79"/>
    </row>
    <row r="398" spans="1:32" ht="14.25">
      <c r="A398" s="34" t="s">
        <v>664</v>
      </c>
      <c r="B398" s="34"/>
      <c r="C398" s="10" t="s">
        <v>665</v>
      </c>
      <c r="D398" s="33" t="str">
        <f>IF(Source!CP12&lt;&gt;"", Source!CP12," ")</f>
        <v xml:space="preserve"> </v>
      </c>
      <c r="E398" s="33"/>
      <c r="F398" s="33"/>
      <c r="G398" s="33"/>
      <c r="H398" s="33"/>
      <c r="I398" s="11" t="str">
        <f>IF(Source!CO12&lt;&gt;"", Source!CO12," ")</f>
        <v xml:space="preserve"> </v>
      </c>
      <c r="J398" s="10"/>
      <c r="K398" s="11"/>
      <c r="L398" s="11"/>
    </row>
    <row r="399" spans="1:32" ht="14.25">
      <c r="A399" s="11"/>
      <c r="B399" s="11"/>
      <c r="C399" s="10"/>
      <c r="D399" s="76" t="s">
        <v>666</v>
      </c>
      <c r="E399" s="76"/>
      <c r="F399" s="76"/>
      <c r="G399" s="76"/>
      <c r="H399" s="76"/>
      <c r="I399" s="11"/>
      <c r="J399" s="10"/>
      <c r="K399" s="11"/>
      <c r="L399" s="11"/>
    </row>
    <row r="400" spans="1:32" ht="14.25">
      <c r="A400" s="11"/>
      <c r="B400" s="11"/>
      <c r="C400" s="10"/>
      <c r="D400" s="11"/>
      <c r="E400" s="11"/>
      <c r="F400" s="11"/>
      <c r="G400" s="11"/>
      <c r="H400" s="11"/>
      <c r="I400" s="11"/>
      <c r="J400" s="10"/>
      <c r="K400" s="11"/>
      <c r="L400" s="11"/>
    </row>
    <row r="401" spans="1:12" ht="14.25">
      <c r="A401" s="34" t="s">
        <v>664</v>
      </c>
      <c r="B401" s="34"/>
      <c r="C401" s="10" t="s">
        <v>667</v>
      </c>
      <c r="D401" s="33" t="str">
        <f>IF(Source!AC12&lt;&gt;"", Source!AC12," ")</f>
        <v xml:space="preserve"> </v>
      </c>
      <c r="E401" s="33"/>
      <c r="F401" s="33"/>
      <c r="G401" s="33"/>
      <c r="H401" s="33"/>
      <c r="I401" s="11" t="str">
        <f>IF(Source!AB12&lt;&gt;"", Source!AB12," ")</f>
        <v xml:space="preserve"> </v>
      </c>
      <c r="J401" s="10"/>
      <c r="K401" s="11"/>
      <c r="L401" s="11"/>
    </row>
    <row r="402" spans="1:12" ht="14.25">
      <c r="A402" s="11"/>
      <c r="B402" s="11"/>
      <c r="C402" s="11"/>
      <c r="D402" s="76" t="s">
        <v>666</v>
      </c>
      <c r="E402" s="76"/>
      <c r="F402" s="76"/>
      <c r="G402" s="76"/>
      <c r="H402" s="76"/>
      <c r="I402" s="11"/>
      <c r="J402" s="11"/>
      <c r="K402" s="11"/>
      <c r="L402" s="11"/>
    </row>
    <row r="403" spans="1:12" ht="14.25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</row>
    <row r="404" spans="1:12" ht="14.25">
      <c r="A404" s="11"/>
      <c r="B404" s="11"/>
      <c r="C404" s="10" t="s">
        <v>668</v>
      </c>
      <c r="D404" s="33" t="str">
        <f>IF(Source!AE12&lt;&gt;"", Source!AE12," ")</f>
        <v xml:space="preserve"> </v>
      </c>
      <c r="E404" s="33"/>
      <c r="F404" s="33"/>
      <c r="G404" s="33"/>
      <c r="H404" s="33"/>
      <c r="I404" s="11" t="str">
        <f>IF(Source!AD12&lt;&gt;"", Source!AD12," ")</f>
        <v xml:space="preserve"> </v>
      </c>
      <c r="J404" s="10"/>
      <c r="K404" s="11"/>
      <c r="L404" s="11"/>
    </row>
    <row r="405" spans="1:12" ht="14.25">
      <c r="A405" s="11"/>
      <c r="B405" s="11"/>
      <c r="C405" s="11"/>
      <c r="D405" s="76" t="s">
        <v>666</v>
      </c>
      <c r="E405" s="76"/>
      <c r="F405" s="76"/>
      <c r="G405" s="76"/>
      <c r="H405" s="76"/>
      <c r="I405" s="11"/>
      <c r="J405" s="11"/>
      <c r="K405" s="11"/>
      <c r="L405" s="11"/>
    </row>
  </sheetData>
  <mergeCells count="157">
    <mergeCell ref="B3:E3"/>
    <mergeCell ref="H3:L3"/>
    <mergeCell ref="B4:E4"/>
    <mergeCell ref="H4:L4"/>
    <mergeCell ref="B6:E6"/>
    <mergeCell ref="H6:L6"/>
    <mergeCell ref="B15:K15"/>
    <mergeCell ref="B17:K17"/>
    <mergeCell ref="B19:K19"/>
    <mergeCell ref="B20:K20"/>
    <mergeCell ref="A22:L22"/>
    <mergeCell ref="G25:H25"/>
    <mergeCell ref="I25:J25"/>
    <mergeCell ref="B7:E7"/>
    <mergeCell ref="H7:L7"/>
    <mergeCell ref="B10:K10"/>
    <mergeCell ref="B11:K11"/>
    <mergeCell ref="F13:G13"/>
    <mergeCell ref="H13:K13"/>
    <mergeCell ref="C28:F28"/>
    <mergeCell ref="G28:H28"/>
    <mergeCell ref="I28:J28"/>
    <mergeCell ref="K28:L28"/>
    <mergeCell ref="C29:F29"/>
    <mergeCell ref="G29:H29"/>
    <mergeCell ref="I29:J29"/>
    <mergeCell ref="K29:L29"/>
    <mergeCell ref="C26:F26"/>
    <mergeCell ref="G26:H26"/>
    <mergeCell ref="I26:J26"/>
    <mergeCell ref="K26:L26"/>
    <mergeCell ref="C27:F27"/>
    <mergeCell ref="G27:H27"/>
    <mergeCell ref="I27:J27"/>
    <mergeCell ref="K27:L27"/>
    <mergeCell ref="C32:F32"/>
    <mergeCell ref="G32:H32"/>
    <mergeCell ref="I32:J32"/>
    <mergeCell ref="K32:L32"/>
    <mergeCell ref="C33:F33"/>
    <mergeCell ref="G33:H33"/>
    <mergeCell ref="I33:J33"/>
    <mergeCell ref="C30:F30"/>
    <mergeCell ref="G30:H30"/>
    <mergeCell ref="I30:J30"/>
    <mergeCell ref="K30:L30"/>
    <mergeCell ref="C31:F31"/>
    <mergeCell ref="G31:H31"/>
    <mergeCell ref="I31:J31"/>
    <mergeCell ref="K31:L31"/>
    <mergeCell ref="A38:L38"/>
    <mergeCell ref="C394:I394"/>
    <mergeCell ref="J394:K394"/>
    <mergeCell ref="C395:I395"/>
    <mergeCell ref="J395:K395"/>
    <mergeCell ref="D399:H399"/>
    <mergeCell ref="J102:K102"/>
    <mergeCell ref="G102:H102"/>
    <mergeCell ref="A92:L92"/>
    <mergeCell ref="A90:L90"/>
    <mergeCell ref="D402:H402"/>
    <mergeCell ref="D405:H405"/>
    <mergeCell ref="G123:H123"/>
    <mergeCell ref="J121:K121"/>
    <mergeCell ref="G121:H121"/>
    <mergeCell ref="J111:K111"/>
    <mergeCell ref="G111:H111"/>
    <mergeCell ref="J175:K175"/>
    <mergeCell ref="G175:H175"/>
    <mergeCell ref="J164:K164"/>
    <mergeCell ref="A44:L44"/>
    <mergeCell ref="A42:L42"/>
    <mergeCell ref="J201:K201"/>
    <mergeCell ref="G201:H201"/>
    <mergeCell ref="J199:K199"/>
    <mergeCell ref="G199:H199"/>
    <mergeCell ref="J197:K197"/>
    <mergeCell ref="G197:H197"/>
    <mergeCell ref="J185:K185"/>
    <mergeCell ref="G185:H185"/>
    <mergeCell ref="J68:K68"/>
    <mergeCell ref="G68:H68"/>
    <mergeCell ref="J60:K60"/>
    <mergeCell ref="G60:H60"/>
    <mergeCell ref="J53:K53"/>
    <mergeCell ref="G53:H53"/>
    <mergeCell ref="G86:H86"/>
    <mergeCell ref="J86:K86"/>
    <mergeCell ref="A86:F86"/>
    <mergeCell ref="J84:K84"/>
    <mergeCell ref="G84:H84"/>
    <mergeCell ref="J75:K75"/>
    <mergeCell ref="G75:H75"/>
    <mergeCell ref="J123:K123"/>
    <mergeCell ref="J264:K264"/>
    <mergeCell ref="G264:H264"/>
    <mergeCell ref="J252:K252"/>
    <mergeCell ref="G252:H252"/>
    <mergeCell ref="A244:L244"/>
    <mergeCell ref="G240:H240"/>
    <mergeCell ref="J240:K240"/>
    <mergeCell ref="A240:F240"/>
    <mergeCell ref="J238:K238"/>
    <mergeCell ref="G164:H164"/>
    <mergeCell ref="J154:K154"/>
    <mergeCell ref="G154:H154"/>
    <mergeCell ref="J144:K144"/>
    <mergeCell ref="G144:H144"/>
    <mergeCell ref="J133:K133"/>
    <mergeCell ref="G133:H133"/>
    <mergeCell ref="G207:H207"/>
    <mergeCell ref="J207:K207"/>
    <mergeCell ref="A207:F207"/>
    <mergeCell ref="G203:H203"/>
    <mergeCell ref="J203:K203"/>
    <mergeCell ref="A203:F203"/>
    <mergeCell ref="G238:H238"/>
    <mergeCell ref="J228:K228"/>
    <mergeCell ref="G228:H228"/>
    <mergeCell ref="J218:K218"/>
    <mergeCell ref="G218:H218"/>
    <mergeCell ref="A211:L211"/>
    <mergeCell ref="J275:K275"/>
    <mergeCell ref="G275:H275"/>
    <mergeCell ref="J330:K330"/>
    <mergeCell ref="G330:H330"/>
    <mergeCell ref="J318:K318"/>
    <mergeCell ref="G318:H318"/>
    <mergeCell ref="J307:K307"/>
    <mergeCell ref="G307:H307"/>
    <mergeCell ref="J358:K358"/>
    <mergeCell ref="G358:H358"/>
    <mergeCell ref="J347:K347"/>
    <mergeCell ref="G347:H347"/>
    <mergeCell ref="A336:L336"/>
    <mergeCell ref="G332:H332"/>
    <mergeCell ref="J332:K332"/>
    <mergeCell ref="A332:F332"/>
    <mergeCell ref="G392:H392"/>
    <mergeCell ref="J392:K392"/>
    <mergeCell ref="A392:F392"/>
    <mergeCell ref="G388:H388"/>
    <mergeCell ref="J388:K388"/>
    <mergeCell ref="A388:F388"/>
    <mergeCell ref="J296:K296"/>
    <mergeCell ref="G296:H296"/>
    <mergeCell ref="J286:K286"/>
    <mergeCell ref="G286:H286"/>
    <mergeCell ref="J368:K368"/>
    <mergeCell ref="G368:H368"/>
    <mergeCell ref="G384:H384"/>
    <mergeCell ref="J384:K384"/>
    <mergeCell ref="A384:F384"/>
    <mergeCell ref="J382:K382"/>
    <mergeCell ref="G382:H382"/>
    <mergeCell ref="J379:K379"/>
    <mergeCell ref="G379:H379"/>
  </mergeCells>
  <pageMargins left="0.4" right="0.2" top="0.2" bottom="0.4" header="0.2" footer="0.2"/>
  <pageSetup paperSize="9" scale="58" fitToHeight="0" orientation="portrait" horizontalDpi="360" verticalDpi="360" r:id="rId1"/>
  <headerFooter>
    <oddHeader>&amp;L&amp;8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70"/>
  <sheetViews>
    <sheetView tabSelected="1" zoomScaleNormal="100" workbookViewId="0"/>
  </sheetViews>
  <sheetFormatPr defaultRowHeight="12.75"/>
  <cols>
    <col min="1" max="1" width="6.7109375" customWidth="1"/>
    <col min="2" max="2" width="75.7109375" customWidth="1"/>
    <col min="3" max="5" width="15.7109375" customWidth="1"/>
    <col min="30" max="32" width="0" hidden="1" customWidth="1"/>
  </cols>
  <sheetData>
    <row r="1" spans="1:5" ht="14.25">
      <c r="A1" s="11"/>
      <c r="B1" s="11"/>
      <c r="C1" s="11"/>
      <c r="D1" s="11"/>
      <c r="E1" s="11"/>
    </row>
    <row r="2" spans="1:5" ht="15.75">
      <c r="A2" s="94" t="str">
        <f>CONCATENATE("Дефектный акт ", IF(Source!AN15&lt;&gt;"", Source!AN15," "))</f>
        <v xml:space="preserve">Дефектный акт  </v>
      </c>
      <c r="B2" s="94"/>
      <c r="C2" s="94"/>
      <c r="D2" s="94"/>
      <c r="E2" s="11"/>
    </row>
    <row r="3" spans="1:5" ht="15">
      <c r="A3" s="95" t="str">
        <f>CONCATENATE("На капитальный ремонт ", Source!G12)</f>
        <v>На капитальный ремонт Кабинет ЛФК  Ильинский Погост 2021.</v>
      </c>
      <c r="B3" s="95"/>
      <c r="C3" s="95"/>
      <c r="D3" s="95"/>
      <c r="E3" s="11"/>
    </row>
    <row r="4" spans="1:5" ht="14.25">
      <c r="A4" s="11"/>
      <c r="B4" s="11"/>
      <c r="C4" s="11"/>
      <c r="D4" s="11"/>
      <c r="E4" s="11"/>
    </row>
    <row r="5" spans="1:5" ht="15">
      <c r="A5" s="11"/>
      <c r="B5" s="60" t="s">
        <v>669</v>
      </c>
      <c r="C5" s="11"/>
      <c r="D5" s="11"/>
      <c r="E5" s="11"/>
    </row>
    <row r="6" spans="1:5" ht="15">
      <c r="A6" s="11"/>
      <c r="B6" s="60" t="s">
        <v>670</v>
      </c>
      <c r="C6" s="11"/>
      <c r="D6" s="11"/>
      <c r="E6" s="11"/>
    </row>
    <row r="7" spans="1:5" ht="15">
      <c r="A7" s="11"/>
      <c r="B7" s="60" t="s">
        <v>671</v>
      </c>
      <c r="C7" s="11"/>
      <c r="D7" s="11"/>
      <c r="E7" s="11"/>
    </row>
    <row r="8" spans="1:5" ht="28.5">
      <c r="A8" s="28" t="s">
        <v>627</v>
      </c>
      <c r="B8" s="28" t="s">
        <v>629</v>
      </c>
      <c r="C8" s="28" t="s">
        <v>672</v>
      </c>
      <c r="D8" s="28" t="s">
        <v>673</v>
      </c>
      <c r="E8" s="61" t="s">
        <v>674</v>
      </c>
    </row>
    <row r="9" spans="1:5" ht="14.25">
      <c r="A9" s="62">
        <v>1</v>
      </c>
      <c r="B9" s="62">
        <v>2</v>
      </c>
      <c r="C9" s="62">
        <v>3</v>
      </c>
      <c r="D9" s="62">
        <v>4</v>
      </c>
      <c r="E9" s="63">
        <v>5</v>
      </c>
    </row>
    <row r="10" spans="1:5" ht="16.5">
      <c r="A10" s="93" t="str">
        <f>CONCATENATE("Локальная смета: ", Source!G20)</f>
        <v>Локальная смета: Новая локальная смета</v>
      </c>
      <c r="B10" s="93"/>
      <c r="C10" s="93"/>
      <c r="D10" s="93"/>
      <c r="E10" s="93"/>
    </row>
    <row r="11" spans="1:5" ht="16.5">
      <c r="A11" s="93" t="str">
        <f>CONCATENATE("Раздел: ", Source!G24)</f>
        <v>Раздел: Демонтаж</v>
      </c>
      <c r="B11" s="93"/>
      <c r="C11" s="93"/>
      <c r="D11" s="93"/>
      <c r="E11" s="93"/>
    </row>
    <row r="12" spans="1:5" ht="28.5">
      <c r="A12" s="68">
        <v>1</v>
      </c>
      <c r="B12" s="69" t="str">
        <f>Source!G28</f>
        <v>Разборка облицовки из гипсокартонных листов стен и перегородок</v>
      </c>
      <c r="C12" s="70" t="str">
        <f>Source!H28</f>
        <v>100 м2 облицовки</v>
      </c>
      <c r="D12" s="71">
        <f>Source!I28</f>
        <v>1.298</v>
      </c>
      <c r="E12" s="69"/>
    </row>
    <row r="13" spans="1:5" ht="14.25">
      <c r="A13" s="68">
        <v>2</v>
      </c>
      <c r="B13" s="69" t="str">
        <f>Source!G29</f>
        <v>Отбивка штукатурки с поверхностей стен и потолков кирпичных</v>
      </c>
      <c r="C13" s="70" t="str">
        <f>Source!H29</f>
        <v>100 м2</v>
      </c>
      <c r="D13" s="71">
        <f>Source!I29</f>
        <v>0.64900000000000002</v>
      </c>
      <c r="E13" s="69"/>
    </row>
    <row r="14" spans="1:5" ht="28.5">
      <c r="A14" s="68">
        <v>3</v>
      </c>
      <c r="B14" s="69" t="str">
        <f>Source!G30</f>
        <v>Разборка оснований покрытия полов лаг из досок и брусков</v>
      </c>
      <c r="C14" s="70" t="str">
        <f>Source!H30</f>
        <v>100 м2 основания</v>
      </c>
      <c r="D14" s="71">
        <f>Source!I30</f>
        <v>0.90800000000000003</v>
      </c>
      <c r="E14" s="69"/>
    </row>
    <row r="15" spans="1:5" ht="14.25">
      <c r="A15" s="68">
        <v>3.1</v>
      </c>
      <c r="B15" s="69" t="str">
        <f>Source!G31</f>
        <v>Строительный мусор</v>
      </c>
      <c r="C15" s="70" t="str">
        <f>Source!H31</f>
        <v>т</v>
      </c>
      <c r="D15" s="71">
        <f>Source!I31</f>
        <v>0.63560000000000005</v>
      </c>
      <c r="E15" s="69"/>
    </row>
    <row r="16" spans="1:5" ht="14.25">
      <c r="A16" s="68">
        <v>4</v>
      </c>
      <c r="B16" s="69" t="str">
        <f>Source!G32</f>
        <v>Демонтаж выключателей, розеток</v>
      </c>
      <c r="C16" s="70" t="str">
        <f>Source!H32</f>
        <v>100 шт.</v>
      </c>
      <c r="D16" s="71">
        <f>Source!I32</f>
        <v>0.04</v>
      </c>
      <c r="E16" s="69"/>
    </row>
    <row r="17" spans="1:5" ht="14.25">
      <c r="A17" s="68">
        <v>5</v>
      </c>
      <c r="B17" s="69" t="str">
        <f>Source!G33</f>
        <v>Демонтаж светильников для люминесцентных ламп</v>
      </c>
      <c r="C17" s="70" t="str">
        <f>Source!H33</f>
        <v>100 шт.</v>
      </c>
      <c r="D17" s="71">
        <f>Source!I33</f>
        <v>0.06</v>
      </c>
      <c r="E17" s="69"/>
    </row>
    <row r="18" spans="1:5" ht="16.5">
      <c r="A18" s="93" t="str">
        <f>CONCATENATE("Раздел: ", Source!G65)</f>
        <v>Раздел: Монтаж</v>
      </c>
      <c r="B18" s="93"/>
      <c r="C18" s="93"/>
      <c r="D18" s="93"/>
      <c r="E18" s="93"/>
    </row>
    <row r="19" spans="1:5" ht="16.5">
      <c r="A19" s="93" t="str">
        <f>CONCATENATE("Подраздел: ", Source!G69)</f>
        <v>Подраздел: стены</v>
      </c>
      <c r="B19" s="93"/>
      <c r="C19" s="93"/>
      <c r="D19" s="93"/>
      <c r="E19" s="93"/>
    </row>
    <row r="20" spans="1:5" ht="57">
      <c r="A20" s="68">
        <v>6</v>
      </c>
      <c r="B20" s="69" t="str">
        <f>Source!G73</f>
        <v>Антисептическая обработка каменных, бетонных, кирпичных и деревянных поверхностей биопиреном "Нортекс-Дезинфектор"</v>
      </c>
      <c r="C20" s="70" t="str">
        <f>Source!H73</f>
        <v>100 м2 обрабатываемой поверхности</v>
      </c>
      <c r="D20" s="71">
        <f>Source!I73</f>
        <v>1.2889999999999999</v>
      </c>
      <c r="E20" s="69"/>
    </row>
    <row r="21" spans="1:5" ht="42.75">
      <c r="A21" s="68">
        <v>7</v>
      </c>
      <c r="B21" s="69" t="str">
        <f>Source!G74</f>
        <v>Облицовка стен по системе «КНАУФ» по одинарному металлическому каркасу из ПН и ПС профилей гипсокартонными листами в один слой (С 625) оконным проемом</v>
      </c>
      <c r="C21" s="70" t="str">
        <f>Source!H74</f>
        <v>100 м2 стен (за вычетом проемов)</v>
      </c>
      <c r="D21" s="71">
        <f>Source!I74</f>
        <v>0.51</v>
      </c>
      <c r="E21" s="69"/>
    </row>
    <row r="22" spans="1:5" ht="28.5">
      <c r="A22" s="68">
        <v>8</v>
      </c>
      <c r="B22" s="69" t="str">
        <f>Source!G75</f>
        <v>Заполнение каркаса перегородок утеплителем</v>
      </c>
      <c r="C22" s="70" t="str">
        <f>Source!H75</f>
        <v>100 м2 перегородок</v>
      </c>
      <c r="D22" s="71">
        <f>Source!I75</f>
        <v>0.51</v>
      </c>
      <c r="E22" s="69"/>
    </row>
    <row r="23" spans="1:5" ht="14.25">
      <c r="A23" s="68">
        <v>9</v>
      </c>
      <c r="B23" s="69" t="str">
        <f>Source!G76</f>
        <v>Плиты минераловатные «Лайт-Баттс» ROCKWOOL, толщина 50 мм</v>
      </c>
      <c r="C23" s="70" t="str">
        <f>Source!H76</f>
        <v>м2</v>
      </c>
      <c r="D23" s="71">
        <f>Source!I76</f>
        <v>51</v>
      </c>
      <c r="E23" s="69"/>
    </row>
    <row r="24" spans="1:5" ht="42.75">
      <c r="A24" s="68">
        <v>10</v>
      </c>
      <c r="B24" s="69" t="str">
        <f>Source!G77</f>
        <v>Окраска поливинилацетатными водоэмульсионными составами улучшенная по сборным конструкциям стен, подготовленным под окраску</v>
      </c>
      <c r="C24" s="70" t="str">
        <f>Source!H77</f>
        <v>100 м2 окрашиваемой поверхности</v>
      </c>
      <c r="D24" s="71">
        <f>Source!I77</f>
        <v>0.51</v>
      </c>
      <c r="E24" s="69"/>
    </row>
    <row r="25" spans="1:5" ht="57">
      <c r="A25" s="68">
        <v>11</v>
      </c>
      <c r="B25" s="69" t="str">
        <f>Source!G78</f>
        <v>Сплошное выравнивание внутренних поверхностей (однослойное оштукатуривание)из сухих растворных смесей толщиной до 10 мм стен</v>
      </c>
      <c r="C25" s="70" t="str">
        <f>Source!H78</f>
        <v>100 м2 оштукатуриваемой поверхности</v>
      </c>
      <c r="D25" s="71">
        <f>Source!I78</f>
        <v>0.77900000000000003</v>
      </c>
      <c r="E25" s="69"/>
    </row>
    <row r="26" spans="1:5" ht="14.25">
      <c r="A26" s="68">
        <v>11.1</v>
      </c>
      <c r="B26" s="69" t="str">
        <f>Source!G79</f>
        <v>Смесь штукатурная «Ротбанд», КНАУФ</v>
      </c>
      <c r="C26" s="70" t="str">
        <f>Source!H79</f>
        <v>кг</v>
      </c>
      <c r="D26" s="71">
        <f>Source!I79</f>
        <v>345.68875200000002</v>
      </c>
      <c r="E26" s="69"/>
    </row>
    <row r="27" spans="1:5" ht="42.75">
      <c r="A27" s="68">
        <v>12</v>
      </c>
      <c r="B27" s="69" t="str">
        <f>Source!G80</f>
        <v>Окраска поливинилацетатными водоэмульсионными составами улучшенная по штукатурке стен</v>
      </c>
      <c r="C27" s="70" t="str">
        <f>Source!H80</f>
        <v>100 м2 окрашиваемой поверхности</v>
      </c>
      <c r="D27" s="71">
        <f>Source!I80</f>
        <v>0.77900000000000003</v>
      </c>
      <c r="E27" s="69"/>
    </row>
    <row r="28" spans="1:5" ht="14.25">
      <c r="A28" s="68">
        <v>13</v>
      </c>
      <c r="B28" s="69" t="str">
        <f>Source!G81</f>
        <v>Укладка лаг по плитам перекрытий</v>
      </c>
      <c r="C28" s="70" t="str">
        <f>Source!H81</f>
        <v>100 м2 пола</v>
      </c>
      <c r="D28" s="71">
        <f>Source!I81</f>
        <v>0.90800000000000003</v>
      </c>
      <c r="E28" s="69"/>
    </row>
    <row r="29" spans="1:5" ht="14.25">
      <c r="A29" s="68">
        <v>14</v>
      </c>
      <c r="B29" s="69" t="str">
        <f>Source!G82</f>
        <v>Смена простильных дощатых полов с полной сменой досок</v>
      </c>
      <c r="C29" s="70" t="str">
        <f>Source!H82</f>
        <v>100 м2 пола</v>
      </c>
      <c r="D29" s="71">
        <f>Source!I82</f>
        <v>0.90800000000000003</v>
      </c>
      <c r="E29" s="69"/>
    </row>
    <row r="30" spans="1:5" ht="14.25">
      <c r="A30" s="68">
        <v>14.1</v>
      </c>
      <c r="B30" s="69" t="str">
        <f>Source!G83</f>
        <v>Строительный мусор</v>
      </c>
      <c r="C30" s="70" t="str">
        <f>Source!H83</f>
        <v>т</v>
      </c>
      <c r="D30" s="71">
        <f>Source!I83</f>
        <v>1.6888799999999999</v>
      </c>
      <c r="E30" s="69"/>
    </row>
    <row r="31" spans="1:5" ht="28.5">
      <c r="A31" s="68">
        <v>15</v>
      </c>
      <c r="B31" s="69" t="str">
        <f>Source!G84</f>
        <v>Устройство оснований полов из фанеры в один слой площадью свыше 20 м2</v>
      </c>
      <c r="C31" s="70" t="str">
        <f>Source!H84</f>
        <v>100 м2 пола</v>
      </c>
      <c r="D31" s="71">
        <f>Source!I84</f>
        <v>0.90800000000000003</v>
      </c>
      <c r="E31" s="69"/>
    </row>
    <row r="32" spans="1:5" ht="28.5">
      <c r="A32" s="68">
        <v>16</v>
      </c>
      <c r="B32" s="69" t="str">
        <f>Source!G85</f>
        <v>Устройство покрытий из линолеума на клее «Бустилат»</v>
      </c>
      <c r="C32" s="70" t="str">
        <f>Source!H85</f>
        <v>100 м2 покрытия</v>
      </c>
      <c r="D32" s="71">
        <f>Source!I85</f>
        <v>0.90800000000000003</v>
      </c>
      <c r="E32" s="69"/>
    </row>
    <row r="33" spans="1:5" ht="28.5">
      <c r="A33" s="68">
        <v>16.100000000000001</v>
      </c>
      <c r="B33" s="69" t="str">
        <f>Source!G86</f>
        <v>Линолеум поливинилхлоридный на теплоизолирующей подоснове марок ПР-ВТ, ВК-ВТ, ЭК-ВТ</v>
      </c>
      <c r="C33" s="70" t="str">
        <f>Source!H86</f>
        <v>м2</v>
      </c>
      <c r="D33" s="71">
        <f>Source!I86</f>
        <v>-92.616</v>
      </c>
      <c r="E33" s="69"/>
    </row>
    <row r="34" spans="1:5" ht="14.25">
      <c r="A34" s="68">
        <v>16.2</v>
      </c>
      <c r="B34" s="69" t="str">
        <f>Source!G87</f>
        <v>Рулонное покрытие Sagama Dynamico 6мм</v>
      </c>
      <c r="C34" s="70" t="str">
        <f>Source!H87</f>
        <v>м2</v>
      </c>
      <c r="D34" s="71">
        <f>Source!I87</f>
        <v>92.616</v>
      </c>
      <c r="E34" s="69"/>
    </row>
    <row r="35" spans="1:5" ht="28.5">
      <c r="A35" s="68">
        <v>17</v>
      </c>
      <c r="B35" s="69" t="str">
        <f>Source!G88</f>
        <v>Спортивный комплекс: 3 турника, 3 шведских стенки; размеры 2900х1900х2500 мм</v>
      </c>
      <c r="C35" s="70" t="str">
        <f>Source!H88</f>
        <v>компл.</v>
      </c>
      <c r="D35" s="71">
        <f>Source!I88</f>
        <v>1</v>
      </c>
      <c r="E35" s="69"/>
    </row>
    <row r="36" spans="1:5" ht="14.25">
      <c r="A36" s="68">
        <v>18</v>
      </c>
      <c r="B36" s="69" t="str">
        <f>Source!G89</f>
        <v>Стеллаж для спортивного инвентаря</v>
      </c>
      <c r="C36" s="70" t="str">
        <f>Source!H89</f>
        <v>шт.</v>
      </c>
      <c r="D36" s="71">
        <f>Source!I89</f>
        <v>1</v>
      </c>
      <c r="E36" s="69"/>
    </row>
    <row r="37" spans="1:5" ht="16.5">
      <c r="A37" s="93" t="str">
        <f>CONCATENATE("Раздел: ", Source!G151)</f>
        <v>Раздел: Потолок</v>
      </c>
      <c r="B37" s="93"/>
      <c r="C37" s="93"/>
      <c r="D37" s="93"/>
      <c r="E37" s="93"/>
    </row>
    <row r="38" spans="1:5" ht="42.75">
      <c r="A38" s="68">
        <v>19</v>
      </c>
      <c r="B38" s="69" t="str">
        <f>Source!G155</f>
        <v>Очистка вручную поверхности фасадов от перхлорвиниловых и масляных красок с земли и лесов</v>
      </c>
      <c r="C38" s="70" t="str">
        <f>Source!H155</f>
        <v>100 м2 расчищенной поверхности</v>
      </c>
      <c r="D38" s="71">
        <f>Source!I155</f>
        <v>0.90800000000000003</v>
      </c>
      <c r="E38" s="69"/>
    </row>
    <row r="39" spans="1:5" ht="57">
      <c r="A39" s="68">
        <v>20</v>
      </c>
      <c r="B39" s="69" t="str">
        <f>Source!G156</f>
        <v>Антисептическая обработка каменных, бетонных, кирпичных и деревянных поверхностей биопиреном "Нортекс-Дезинфектор"</v>
      </c>
      <c r="C39" s="70" t="str">
        <f>Source!H156</f>
        <v>100 м2 обрабатываемой поверхности</v>
      </c>
      <c r="D39" s="71">
        <f>Source!I156</f>
        <v>0.90800000000000003</v>
      </c>
      <c r="E39" s="69"/>
    </row>
    <row r="40" spans="1:5" ht="42.75">
      <c r="A40" s="68">
        <v>21</v>
      </c>
      <c r="B40" s="69" t="str">
        <f>Source!G157</f>
        <v>Окраска поливинилацетатными водоэмульсионными составами улучшенная по штукатурке потолков</v>
      </c>
      <c r="C40" s="70" t="str">
        <f>Source!H157</f>
        <v>100 м2 окрашиваемой поверхности</v>
      </c>
      <c r="D40" s="71">
        <f>Source!I157</f>
        <v>0.90800000000000003</v>
      </c>
      <c r="E40" s="69"/>
    </row>
    <row r="41" spans="1:5" ht="16.5">
      <c r="A41" s="93" t="str">
        <f>CONCATENATE("Раздел: ", Source!G189)</f>
        <v>Раздел: Оконный блок</v>
      </c>
      <c r="B41" s="93"/>
      <c r="C41" s="93"/>
      <c r="D41" s="93"/>
      <c r="E41" s="93"/>
    </row>
    <row r="42" spans="1:5" ht="14.25">
      <c r="A42" s="68">
        <v>22</v>
      </c>
      <c r="B42" s="69" t="str">
        <f>Source!G193</f>
        <v>Пробивка проемов в конструкциях из кирпича</v>
      </c>
      <c r="C42" s="70" t="str">
        <f>Source!H193</f>
        <v>1 м3</v>
      </c>
      <c r="D42" s="71">
        <f>Source!I193</f>
        <v>1.53</v>
      </c>
      <c r="E42" s="69"/>
    </row>
    <row r="43" spans="1:5" ht="28.5">
      <c r="A43" s="68">
        <v>23</v>
      </c>
      <c r="B43" s="69" t="str">
        <f>Source!G194</f>
        <v>Установка в жилых и общественных зданиях оконных блоков из ПВХ профилей глухих с площадью проема до 2 м2</v>
      </c>
      <c r="C43" s="70" t="str">
        <f>Source!H194</f>
        <v>100 м2 проемов</v>
      </c>
      <c r="D43" s="71">
        <f>Source!I194</f>
        <v>0.02</v>
      </c>
      <c r="E43" s="69"/>
    </row>
    <row r="44" spans="1:5" ht="28.5">
      <c r="A44" s="68">
        <v>23.1</v>
      </c>
      <c r="B44" s="69" t="str">
        <f>Source!G195</f>
        <v>Блок оконный пластиковый глухой, одностворчатый с однокамерным стеклопакетом (24 мм), площадью до 2 м2</v>
      </c>
      <c r="C44" s="70" t="str">
        <f>Source!H195</f>
        <v>м2</v>
      </c>
      <c r="D44" s="71">
        <f>Source!I195</f>
        <v>-2</v>
      </c>
      <c r="E44" s="69"/>
    </row>
    <row r="45" spans="1:5" ht="14.25">
      <c r="A45" s="68">
        <v>23.2</v>
      </c>
      <c r="B45" s="69" t="str">
        <f>Source!G196</f>
        <v>окно пластиковое двустворчатое,двухкамерное стеклопакетом</v>
      </c>
      <c r="C45" s="70" t="str">
        <f>Source!H196</f>
        <v/>
      </c>
      <c r="D45" s="71">
        <f>Source!I196</f>
        <v>1</v>
      </c>
      <c r="E45" s="69"/>
    </row>
    <row r="46" spans="1:5" ht="28.5">
      <c r="A46" s="68">
        <v>24</v>
      </c>
      <c r="B46" s="69" t="str">
        <f>Source!G197</f>
        <v>Облицовка оконных и дверных откосов декоративным бумажно-слоистым пластиком или листами из синтетических материалов на клее</v>
      </c>
      <c r="C46" s="70" t="str">
        <f>Source!H197</f>
        <v>100 м2 облицовки</v>
      </c>
      <c r="D46" s="71">
        <f>Source!I197</f>
        <v>1.2E-2</v>
      </c>
      <c r="E46" s="69"/>
    </row>
    <row r="47" spans="1:5" ht="28.5">
      <c r="A47" s="68">
        <v>24.1</v>
      </c>
      <c r="B47" s="69" t="str">
        <f>Source!G198</f>
        <v>Панели декоративные пластиковые «Кронапласт», размером 2700х370х8 мм</v>
      </c>
      <c r="C47" s="70" t="str">
        <f>Source!H198</f>
        <v>м2</v>
      </c>
      <c r="D47" s="71">
        <f>Source!I198</f>
        <v>1.2</v>
      </c>
      <c r="E47" s="69"/>
    </row>
    <row r="48" spans="1:5" ht="28.5">
      <c r="A48" s="68">
        <v>25</v>
      </c>
      <c r="B48" s="69" t="str">
        <f>Source!G199</f>
        <v>Установка подоконных досок из ПВХ в каменных стенах толщиной до 0,51 м</v>
      </c>
      <c r="C48" s="70" t="str">
        <f>Source!H199</f>
        <v>100 п. м</v>
      </c>
      <c r="D48" s="71">
        <f>Source!I199</f>
        <v>1.4999999999999999E-2</v>
      </c>
      <c r="E48" s="69"/>
    </row>
    <row r="49" spans="1:5" ht="14.25">
      <c r="A49" s="68">
        <v>25.1</v>
      </c>
      <c r="B49" s="69" t="str">
        <f>Source!G200</f>
        <v>Доски подоконные ПВХ, шириной 200 мм</v>
      </c>
      <c r="C49" s="70" t="str">
        <f>Source!H200</f>
        <v>м</v>
      </c>
      <c r="D49" s="71">
        <f>Source!I200</f>
        <v>1.5</v>
      </c>
      <c r="E49" s="69"/>
    </row>
    <row r="50" spans="1:5" ht="28.5">
      <c r="A50" s="68">
        <v>26</v>
      </c>
      <c r="B50" s="69" t="str">
        <f>Source!G201</f>
        <v>Установка в жилых и общественных зданиях оконных блоков из ПВХ профилей глухих с площадью проема до 2 м2</v>
      </c>
      <c r="C50" s="70" t="str">
        <f>Source!H201</f>
        <v>100 м2 проемов</v>
      </c>
      <c r="D50" s="71">
        <f>Source!I201</f>
        <v>1.6199999999999999E-2</v>
      </c>
      <c r="E50" s="69"/>
    </row>
    <row r="51" spans="1:5" ht="28.5">
      <c r="A51" s="68">
        <v>27</v>
      </c>
      <c r="B51" s="69" t="str">
        <f>Source!G202</f>
        <v>Смена обделок из листовой стали (поясков, сандриков, отливов, карнизов) шириной до 0,4 м</v>
      </c>
      <c r="C51" s="70" t="str">
        <f>Source!H202</f>
        <v>100 м</v>
      </c>
      <c r="D51" s="71">
        <f>Source!I202</f>
        <v>1.4999999999999999E-2</v>
      </c>
      <c r="E51" s="69"/>
    </row>
    <row r="52" spans="1:5" ht="14.25">
      <c r="A52" s="68">
        <v>27.1</v>
      </c>
      <c r="B52" s="69" t="str">
        <f>Source!G203</f>
        <v>Строительный мусор</v>
      </c>
      <c r="C52" s="70" t="str">
        <f>Source!H203</f>
        <v>т</v>
      </c>
      <c r="D52" s="71">
        <f>Source!I203</f>
        <v>3.3600000000000001E-3</v>
      </c>
      <c r="E52" s="69"/>
    </row>
    <row r="53" spans="1:5" ht="28.5">
      <c r="A53" s="68">
        <v>28</v>
      </c>
      <c r="B53" s="69" t="str">
        <f>Source!G204</f>
        <v>Установка подоконных досок из ПВХ в каменных стенах толщиной до 0,51 м</v>
      </c>
      <c r="C53" s="70" t="str">
        <f>Source!H204</f>
        <v>100 п. м</v>
      </c>
      <c r="D53" s="71">
        <f>Source!I204</f>
        <v>1.7999999999999999E-2</v>
      </c>
      <c r="E53" s="69"/>
    </row>
    <row r="54" spans="1:5" ht="14.25">
      <c r="A54" s="68">
        <v>28.1</v>
      </c>
      <c r="B54" s="69" t="str">
        <f>Source!G205</f>
        <v>Доски подоконные ПВХ, шириной 200 мм</v>
      </c>
      <c r="C54" s="70" t="str">
        <f>Source!H205</f>
        <v>м</v>
      </c>
      <c r="D54" s="71">
        <f>Source!I205</f>
        <v>1.7999999999999996</v>
      </c>
      <c r="E54" s="69"/>
    </row>
    <row r="55" spans="1:5" ht="28.5">
      <c r="A55" s="68">
        <v>29</v>
      </c>
      <c r="B55" s="69" t="str">
        <f>Source!G206</f>
        <v>Облицовка оконных и дверных откосов декоративным бумажно-слоистым пластиком или листами из синтетических материалов на клее</v>
      </c>
      <c r="C55" s="70" t="str">
        <f>Source!H206</f>
        <v>100 м2 облицовки</v>
      </c>
      <c r="D55" s="71">
        <f>Source!I206</f>
        <v>1.2E-2</v>
      </c>
      <c r="E55" s="69"/>
    </row>
    <row r="56" spans="1:5" ht="42.75">
      <c r="A56" s="68">
        <v>29.1</v>
      </c>
      <c r="B56" s="69" t="str">
        <f>Source!G207</f>
        <v>Сэндвич-панели для откосов (наружные слои – листы из поливинилхлорида, внутреннее наполнение – вспененный пенополистирол) белые, ширина 1,5 м, длина 3,0 м, толщина 10 мм</v>
      </c>
      <c r="C56" s="70" t="str">
        <f>Source!H207</f>
        <v>м2</v>
      </c>
      <c r="D56" s="71">
        <f>Source!I207</f>
        <v>1.26</v>
      </c>
      <c r="E56" s="69"/>
    </row>
    <row r="57" spans="1:5" ht="14.25">
      <c r="A57" s="68">
        <v>29.2</v>
      </c>
      <c r="B57" s="69" t="str">
        <f>Source!G208</f>
        <v>Грунтовка «Бетоконтакт», КНАУФ</v>
      </c>
      <c r="C57" s="70" t="str">
        <f>Source!H208</f>
        <v>кг</v>
      </c>
      <c r="D57" s="71">
        <f>Source!I208</f>
        <v>1.07E-4</v>
      </c>
      <c r="E57" s="69"/>
    </row>
    <row r="58" spans="1:5" ht="16.5">
      <c r="A58" s="93" t="str">
        <f>CONCATENATE("Раздел: ", Source!G240)</f>
        <v>Раздел: электромонтажные работы</v>
      </c>
      <c r="B58" s="93"/>
      <c r="C58" s="93"/>
      <c r="D58" s="93"/>
      <c r="E58" s="93"/>
    </row>
    <row r="59" spans="1:5" ht="28.5">
      <c r="A59" s="68">
        <v>30</v>
      </c>
      <c r="B59" s="69" t="str">
        <f>Source!G244</f>
        <v>Выключатель двухклавишный неутопленного типа при открытой проводке</v>
      </c>
      <c r="C59" s="70" t="str">
        <f>Source!H244</f>
        <v>100 шт.</v>
      </c>
      <c r="D59" s="71">
        <f>Source!I244</f>
        <v>0.01</v>
      </c>
      <c r="E59" s="69"/>
    </row>
    <row r="60" spans="1:5" ht="28.5">
      <c r="A60" s="68">
        <v>30.1</v>
      </c>
      <c r="B60" s="69" t="str">
        <f>Source!G245</f>
        <v>Выключатель двухклавишный для открытой проводки серии "Прима", марка А16-007 с подсветкой, цвет белый</v>
      </c>
      <c r="C60" s="70" t="str">
        <f>Source!H245</f>
        <v>10 шт.</v>
      </c>
      <c r="D60" s="71">
        <f>Source!I245</f>
        <v>0.1</v>
      </c>
      <c r="E60" s="69"/>
    </row>
    <row r="61" spans="1:5" ht="14.25">
      <c r="A61" s="68">
        <v>31</v>
      </c>
      <c r="B61" s="69" t="str">
        <f>Source!G246</f>
        <v>Розетка штепсельная неутопленного типа при открытой проводке</v>
      </c>
      <c r="C61" s="70" t="str">
        <f>Source!H246</f>
        <v>100 шт.</v>
      </c>
      <c r="D61" s="71">
        <f>Source!I246</f>
        <v>0.04</v>
      </c>
      <c r="E61" s="69"/>
    </row>
    <row r="62" spans="1:5" ht="14.25">
      <c r="A62" s="68">
        <v>31.1</v>
      </c>
      <c r="B62" s="69" t="str">
        <f>Source!G247</f>
        <v>Розетка открытой проводки</v>
      </c>
      <c r="C62" s="70" t="str">
        <f>Source!H247</f>
        <v>100 шт.</v>
      </c>
      <c r="D62" s="71">
        <f>Source!I247</f>
        <v>0.04</v>
      </c>
      <c r="E62" s="69"/>
    </row>
    <row r="63" spans="1:5" ht="14.25">
      <c r="A63" s="68">
        <v>32</v>
      </c>
      <c r="B63" s="69" t="str">
        <f>Source!G248</f>
        <v>Короба пластмассовые шириной до 40 мм</v>
      </c>
      <c r="C63" s="70" t="str">
        <f>Source!H248</f>
        <v>100 м</v>
      </c>
      <c r="D63" s="71">
        <f>Source!I248</f>
        <v>1E-3</v>
      </c>
      <c r="E63" s="69"/>
    </row>
    <row r="64" spans="1:5" ht="14.25">
      <c r="A64" s="68">
        <v>32.1</v>
      </c>
      <c r="B64" s="69" t="str">
        <f>Source!G249</f>
        <v>Кабель-канал (короб) "Электропласт" 20x10 мм</v>
      </c>
      <c r="C64" s="70" t="str">
        <f>Source!H249</f>
        <v>100 м</v>
      </c>
      <c r="D64" s="71">
        <f>Source!I249</f>
        <v>1E-3</v>
      </c>
      <c r="E64" s="69"/>
    </row>
    <row r="65" spans="1:5" ht="14.25">
      <c r="A65" s="68">
        <v>33</v>
      </c>
      <c r="B65" s="69" t="str">
        <f>Source!G250</f>
        <v>Провод в коробах, сечением до 6 мм2</v>
      </c>
      <c r="C65" s="70" t="str">
        <f>Source!H250</f>
        <v>100 м</v>
      </c>
      <c r="D65" s="71">
        <f>Source!I250</f>
        <v>1</v>
      </c>
      <c r="E65" s="69"/>
    </row>
    <row r="66" spans="1:5" ht="42.75">
      <c r="A66" s="68">
        <v>33.1</v>
      </c>
      <c r="B66" s="69" t="str">
        <f>Source!G251</f>
        <v>Кабель силовой с медными жилами с поливинилхлоридной изоляцией в поливинилхлоридной оболочке без защитного покрова ВВГ, напряжением 0,66 кВ, число жил – 3 и сечением 1,5 мм2</v>
      </c>
      <c r="C66" s="70" t="str">
        <f>Source!H251</f>
        <v>1000 м</v>
      </c>
      <c r="D66" s="71">
        <f>Source!I251</f>
        <v>0.1</v>
      </c>
      <c r="E66" s="69"/>
    </row>
    <row r="67" spans="1:5" ht="28.5">
      <c r="A67" s="64">
        <v>34</v>
      </c>
      <c r="B67" s="65" t="str">
        <f>Source!G252</f>
        <v>Погрузка при автомобильных перевозках мусора строительного с погрузкой вручную</v>
      </c>
      <c r="C67" s="66" t="str">
        <f>Source!H252</f>
        <v>1 Т ГРУЗА</v>
      </c>
      <c r="D67" s="67">
        <f>Source!I252</f>
        <v>3</v>
      </c>
      <c r="E67" s="65"/>
    </row>
    <row r="70" spans="1:5" ht="15">
      <c r="A70" s="35" t="s">
        <v>675</v>
      </c>
      <c r="B70" s="35"/>
      <c r="C70" s="35" t="s">
        <v>676</v>
      </c>
      <c r="D70" s="35"/>
      <c r="E70" s="35"/>
    </row>
  </sheetData>
  <mergeCells count="9">
    <mergeCell ref="A37:E37"/>
    <mergeCell ref="A41:E41"/>
    <mergeCell ref="A58:E58"/>
    <mergeCell ref="A2:D2"/>
    <mergeCell ref="A3:D3"/>
    <mergeCell ref="A10:E10"/>
    <mergeCell ref="A11:E11"/>
    <mergeCell ref="A18:E18"/>
    <mergeCell ref="A19:E19"/>
  </mergeCells>
  <pageMargins left="0.4" right="0.2" top="0.2" bottom="0.4" header="0.2" footer="0.2"/>
  <pageSetup paperSize="9" fitToHeight="0" orientation="portrait" horizontalDpi="360" verticalDpi="360" r:id="rId1"/>
  <headerFooter>
    <oddHeader>&amp;L&amp;8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K375"/>
  <sheetViews>
    <sheetView workbookViewId="0">
      <selection activeCell="A371" sqref="A371:AN371"/>
    </sheetView>
  </sheetViews>
  <sheetFormatPr defaultColWidth="9.140625" defaultRowHeight="12.75"/>
  <cols>
    <col min="1" max="256" width="9.140625" customWidth="1"/>
  </cols>
  <sheetData>
    <row r="1" spans="1:133">
      <c r="A1">
        <v>0</v>
      </c>
      <c r="B1" t="s">
        <v>0</v>
      </c>
      <c r="D1" t="s">
        <v>1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58436</v>
      </c>
      <c r="M1">
        <v>10</v>
      </c>
      <c r="N1">
        <v>11</v>
      </c>
      <c r="O1">
        <v>3</v>
      </c>
      <c r="P1">
        <v>2</v>
      </c>
      <c r="Q1">
        <v>5</v>
      </c>
    </row>
    <row r="12" spans="1:133">
      <c r="A12" s="1">
        <v>1</v>
      </c>
      <c r="B12" s="1">
        <v>369</v>
      </c>
      <c r="C12" s="1">
        <v>0</v>
      </c>
      <c r="D12" s="1">
        <f>ROW(A314)</f>
        <v>314</v>
      </c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3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6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 t="s">
        <v>8</v>
      </c>
      <c r="BZ12" s="1" t="s">
        <v>9</v>
      </c>
      <c r="CA12" s="1" t="s">
        <v>10</v>
      </c>
      <c r="CB12" s="1" t="s">
        <v>10</v>
      </c>
      <c r="CC12" s="1" t="s">
        <v>10</v>
      </c>
      <c r="CD12" s="1" t="s">
        <v>10</v>
      </c>
      <c r="CE12" s="1" t="s">
        <v>11</v>
      </c>
      <c r="CF12" s="1">
        <v>0</v>
      </c>
      <c r="CG12" s="1">
        <v>0</v>
      </c>
      <c r="CH12" s="1">
        <v>8200</v>
      </c>
      <c r="CI12" s="1" t="s">
        <v>3</v>
      </c>
      <c r="CJ12" s="1" t="s">
        <v>3</v>
      </c>
      <c r="CK12" s="1">
        <v>1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5" spans="1:133">
      <c r="A15" s="1">
        <v>15</v>
      </c>
      <c r="B15" s="1">
        <v>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</row>
    <row r="18" spans="1:245">
      <c r="A18" s="2">
        <v>52</v>
      </c>
      <c r="B18" s="2">
        <f t="shared" ref="B18:G18" si="0">B314</f>
        <v>369</v>
      </c>
      <c r="C18" s="2">
        <f t="shared" si="0"/>
        <v>1</v>
      </c>
      <c r="D18" s="2">
        <f t="shared" si="0"/>
        <v>12</v>
      </c>
      <c r="E18" s="2">
        <f t="shared" si="0"/>
        <v>0</v>
      </c>
      <c r="F18" s="2" t="str">
        <f t="shared" si="0"/>
        <v>Новый объект</v>
      </c>
      <c r="G18" s="2" t="str">
        <f t="shared" si="0"/>
        <v>Кабинет ЛФК  Ильинский Погост 2021.</v>
      </c>
      <c r="H18" s="2"/>
      <c r="I18" s="2"/>
      <c r="J18" s="2"/>
      <c r="K18" s="2"/>
      <c r="L18" s="2"/>
      <c r="M18" s="2"/>
      <c r="N18" s="2"/>
      <c r="O18" s="2">
        <f t="shared" ref="O18:AT18" si="1">O314</f>
        <v>514248.26</v>
      </c>
      <c r="P18" s="2">
        <f t="shared" si="1"/>
        <v>361326.38</v>
      </c>
      <c r="Q18" s="2">
        <f t="shared" si="1"/>
        <v>11583.43</v>
      </c>
      <c r="R18" s="2">
        <f t="shared" si="1"/>
        <v>4562.57</v>
      </c>
      <c r="S18" s="2">
        <f t="shared" si="1"/>
        <v>141338.45000000001</v>
      </c>
      <c r="T18" s="2">
        <f t="shared" si="1"/>
        <v>0</v>
      </c>
      <c r="U18" s="2">
        <f t="shared" si="1"/>
        <v>487.56856350000004</v>
      </c>
      <c r="V18" s="2">
        <f t="shared" si="1"/>
        <v>12.951281999999999</v>
      </c>
      <c r="W18" s="2">
        <f t="shared" si="1"/>
        <v>21.24</v>
      </c>
      <c r="X18" s="2">
        <f t="shared" si="1"/>
        <v>138209.87</v>
      </c>
      <c r="Y18" s="2">
        <f t="shared" si="1"/>
        <v>70522.62</v>
      </c>
      <c r="Z18" s="2">
        <f t="shared" si="1"/>
        <v>0</v>
      </c>
      <c r="AA18" s="2">
        <f t="shared" si="1"/>
        <v>0</v>
      </c>
      <c r="AB18" s="2">
        <f t="shared" si="1"/>
        <v>0</v>
      </c>
      <c r="AC18" s="2">
        <f t="shared" si="1"/>
        <v>0</v>
      </c>
      <c r="AD18" s="2">
        <f t="shared" si="1"/>
        <v>0</v>
      </c>
      <c r="AE18" s="2">
        <f t="shared" si="1"/>
        <v>0</v>
      </c>
      <c r="AF18" s="2">
        <f t="shared" si="1"/>
        <v>0</v>
      </c>
      <c r="AG18" s="2">
        <f t="shared" si="1"/>
        <v>0</v>
      </c>
      <c r="AH18" s="2">
        <f t="shared" si="1"/>
        <v>0</v>
      </c>
      <c r="AI18" s="2">
        <f t="shared" si="1"/>
        <v>0</v>
      </c>
      <c r="AJ18" s="2">
        <f t="shared" si="1"/>
        <v>0</v>
      </c>
      <c r="AK18" s="2">
        <f t="shared" si="1"/>
        <v>0</v>
      </c>
      <c r="AL18" s="2">
        <f t="shared" si="1"/>
        <v>0</v>
      </c>
      <c r="AM18" s="2">
        <f t="shared" si="1"/>
        <v>0</v>
      </c>
      <c r="AN18" s="2">
        <f t="shared" si="1"/>
        <v>0</v>
      </c>
      <c r="AO18" s="2">
        <f t="shared" si="1"/>
        <v>0</v>
      </c>
      <c r="AP18" s="2">
        <f t="shared" si="1"/>
        <v>0</v>
      </c>
      <c r="AQ18" s="2">
        <f t="shared" si="1"/>
        <v>0</v>
      </c>
      <c r="AR18" s="2">
        <f t="shared" si="1"/>
        <v>722980.75</v>
      </c>
      <c r="AS18" s="2">
        <f t="shared" si="1"/>
        <v>715698.47</v>
      </c>
      <c r="AT18" s="2">
        <f t="shared" si="1"/>
        <v>7282.28</v>
      </c>
      <c r="AU18" s="2">
        <f t="shared" ref="AU18:BZ18" si="2">AU314</f>
        <v>0</v>
      </c>
      <c r="AV18" s="2">
        <f t="shared" si="2"/>
        <v>361326.38</v>
      </c>
      <c r="AW18" s="2">
        <f t="shared" si="2"/>
        <v>361326.38</v>
      </c>
      <c r="AX18" s="2">
        <f t="shared" si="2"/>
        <v>0</v>
      </c>
      <c r="AY18" s="2">
        <f t="shared" si="2"/>
        <v>361326.38</v>
      </c>
      <c r="AZ18" s="2">
        <f t="shared" si="2"/>
        <v>0</v>
      </c>
      <c r="BA18" s="2">
        <f t="shared" si="2"/>
        <v>0</v>
      </c>
      <c r="BB18" s="2">
        <f t="shared" si="2"/>
        <v>0</v>
      </c>
      <c r="BC18" s="2">
        <f t="shared" si="2"/>
        <v>0</v>
      </c>
      <c r="BD18" s="2">
        <f t="shared" si="2"/>
        <v>1878.66</v>
      </c>
      <c r="BE18" s="2">
        <f t="shared" si="2"/>
        <v>0</v>
      </c>
      <c r="BF18" s="2">
        <f t="shared" si="2"/>
        <v>0</v>
      </c>
      <c r="BG18" s="2">
        <f t="shared" si="2"/>
        <v>0</v>
      </c>
      <c r="BH18" s="2">
        <f t="shared" si="2"/>
        <v>0</v>
      </c>
      <c r="BI18" s="2">
        <f t="shared" si="2"/>
        <v>0</v>
      </c>
      <c r="BJ18" s="2">
        <f t="shared" si="2"/>
        <v>0</v>
      </c>
      <c r="BK18" s="2">
        <f t="shared" si="2"/>
        <v>0</v>
      </c>
      <c r="BL18" s="2">
        <f t="shared" si="2"/>
        <v>0</v>
      </c>
      <c r="BM18" s="2">
        <f t="shared" si="2"/>
        <v>0</v>
      </c>
      <c r="BN18" s="2">
        <f t="shared" si="2"/>
        <v>0</v>
      </c>
      <c r="BO18" s="2">
        <f t="shared" si="2"/>
        <v>0</v>
      </c>
      <c r="BP18" s="2">
        <f t="shared" si="2"/>
        <v>0</v>
      </c>
      <c r="BQ18" s="2">
        <f t="shared" si="2"/>
        <v>0</v>
      </c>
      <c r="BR18" s="2">
        <f t="shared" si="2"/>
        <v>0</v>
      </c>
      <c r="BS18" s="2">
        <f t="shared" si="2"/>
        <v>0</v>
      </c>
      <c r="BT18" s="2">
        <f t="shared" si="2"/>
        <v>0</v>
      </c>
      <c r="BU18" s="2">
        <f t="shared" si="2"/>
        <v>0</v>
      </c>
      <c r="BV18" s="2">
        <f t="shared" si="2"/>
        <v>0</v>
      </c>
      <c r="BW18" s="2">
        <f t="shared" si="2"/>
        <v>0</v>
      </c>
      <c r="BX18" s="2">
        <f t="shared" si="2"/>
        <v>0</v>
      </c>
      <c r="BY18" s="2">
        <f t="shared" si="2"/>
        <v>0</v>
      </c>
      <c r="BZ18" s="2">
        <f t="shared" si="2"/>
        <v>0</v>
      </c>
      <c r="CA18" s="2">
        <f t="shared" ref="CA18:DF18" si="3">CA314</f>
        <v>0</v>
      </c>
      <c r="CB18" s="2">
        <f t="shared" si="3"/>
        <v>0</v>
      </c>
      <c r="CC18" s="2">
        <f t="shared" si="3"/>
        <v>0</v>
      </c>
      <c r="CD18" s="2">
        <f t="shared" si="3"/>
        <v>0</v>
      </c>
      <c r="CE18" s="2">
        <f t="shared" si="3"/>
        <v>0</v>
      </c>
      <c r="CF18" s="2">
        <f t="shared" si="3"/>
        <v>0</v>
      </c>
      <c r="CG18" s="2">
        <f t="shared" si="3"/>
        <v>0</v>
      </c>
      <c r="CH18" s="2">
        <f t="shared" si="3"/>
        <v>0</v>
      </c>
      <c r="CI18" s="2">
        <f t="shared" si="3"/>
        <v>0</v>
      </c>
      <c r="CJ18" s="2">
        <f t="shared" si="3"/>
        <v>0</v>
      </c>
      <c r="CK18" s="2">
        <f t="shared" si="3"/>
        <v>0</v>
      </c>
      <c r="CL18" s="2">
        <f t="shared" si="3"/>
        <v>0</v>
      </c>
      <c r="CM18" s="2">
        <f t="shared" si="3"/>
        <v>0</v>
      </c>
      <c r="CN18" s="2">
        <f t="shared" si="3"/>
        <v>0</v>
      </c>
      <c r="CO18" s="2">
        <f t="shared" si="3"/>
        <v>0</v>
      </c>
      <c r="CP18" s="2">
        <f t="shared" si="3"/>
        <v>0</v>
      </c>
      <c r="CQ18" s="2">
        <f t="shared" si="3"/>
        <v>0</v>
      </c>
      <c r="CR18" s="2">
        <f t="shared" si="3"/>
        <v>0</v>
      </c>
      <c r="CS18" s="2">
        <f t="shared" si="3"/>
        <v>0</v>
      </c>
      <c r="CT18" s="2">
        <f t="shared" si="3"/>
        <v>0</v>
      </c>
      <c r="CU18" s="2">
        <f t="shared" si="3"/>
        <v>0</v>
      </c>
      <c r="CV18" s="2">
        <f t="shared" si="3"/>
        <v>0</v>
      </c>
      <c r="CW18" s="2">
        <f t="shared" si="3"/>
        <v>0</v>
      </c>
      <c r="CX18" s="2">
        <f t="shared" si="3"/>
        <v>0</v>
      </c>
      <c r="CY18" s="2">
        <f t="shared" si="3"/>
        <v>0</v>
      </c>
      <c r="CZ18" s="2">
        <f t="shared" si="3"/>
        <v>0</v>
      </c>
      <c r="DA18" s="2">
        <f t="shared" si="3"/>
        <v>0</v>
      </c>
      <c r="DB18" s="2">
        <f t="shared" si="3"/>
        <v>0</v>
      </c>
      <c r="DC18" s="2">
        <f t="shared" si="3"/>
        <v>0</v>
      </c>
      <c r="DD18" s="2">
        <f t="shared" si="3"/>
        <v>0</v>
      </c>
      <c r="DE18" s="2">
        <f t="shared" si="3"/>
        <v>0</v>
      </c>
      <c r="DF18" s="2">
        <f t="shared" si="3"/>
        <v>0</v>
      </c>
      <c r="DG18" s="3">
        <f t="shared" ref="DG18:EL18" si="4">DG314</f>
        <v>0</v>
      </c>
      <c r="DH18" s="3">
        <f t="shared" si="4"/>
        <v>0</v>
      </c>
      <c r="DI18" s="3">
        <f t="shared" si="4"/>
        <v>0</v>
      </c>
      <c r="DJ18" s="3">
        <f t="shared" si="4"/>
        <v>0</v>
      </c>
      <c r="DK18" s="3">
        <f t="shared" si="4"/>
        <v>0</v>
      </c>
      <c r="DL18" s="3">
        <f t="shared" si="4"/>
        <v>0</v>
      </c>
      <c r="DM18" s="3">
        <f t="shared" si="4"/>
        <v>0</v>
      </c>
      <c r="DN18" s="3">
        <f t="shared" si="4"/>
        <v>0</v>
      </c>
      <c r="DO18" s="3">
        <f t="shared" si="4"/>
        <v>0</v>
      </c>
      <c r="DP18" s="3">
        <f t="shared" si="4"/>
        <v>0</v>
      </c>
      <c r="DQ18" s="3">
        <f t="shared" si="4"/>
        <v>0</v>
      </c>
      <c r="DR18" s="3">
        <f t="shared" si="4"/>
        <v>0</v>
      </c>
      <c r="DS18" s="3">
        <f t="shared" si="4"/>
        <v>0</v>
      </c>
      <c r="DT18" s="3">
        <f t="shared" si="4"/>
        <v>0</v>
      </c>
      <c r="DU18" s="3">
        <f t="shared" si="4"/>
        <v>0</v>
      </c>
      <c r="DV18" s="3">
        <f t="shared" si="4"/>
        <v>0</v>
      </c>
      <c r="DW18" s="3">
        <f t="shared" si="4"/>
        <v>0</v>
      </c>
      <c r="DX18" s="3">
        <f t="shared" si="4"/>
        <v>0</v>
      </c>
      <c r="DY18" s="3">
        <f t="shared" si="4"/>
        <v>0</v>
      </c>
      <c r="DZ18" s="3">
        <f t="shared" si="4"/>
        <v>0</v>
      </c>
      <c r="EA18" s="3">
        <f t="shared" si="4"/>
        <v>0</v>
      </c>
      <c r="EB18" s="3">
        <f t="shared" si="4"/>
        <v>0</v>
      </c>
      <c r="EC18" s="3">
        <f t="shared" si="4"/>
        <v>0</v>
      </c>
      <c r="ED18" s="3">
        <f t="shared" si="4"/>
        <v>0</v>
      </c>
      <c r="EE18" s="3">
        <f t="shared" si="4"/>
        <v>0</v>
      </c>
      <c r="EF18" s="3">
        <f t="shared" si="4"/>
        <v>0</v>
      </c>
      <c r="EG18" s="3">
        <f t="shared" si="4"/>
        <v>0</v>
      </c>
      <c r="EH18" s="3">
        <f t="shared" si="4"/>
        <v>0</v>
      </c>
      <c r="EI18" s="3">
        <f t="shared" si="4"/>
        <v>0</v>
      </c>
      <c r="EJ18" s="3">
        <f t="shared" si="4"/>
        <v>0</v>
      </c>
      <c r="EK18" s="3">
        <f t="shared" si="4"/>
        <v>0</v>
      </c>
      <c r="EL18" s="3">
        <f t="shared" si="4"/>
        <v>0</v>
      </c>
      <c r="EM18" s="3">
        <f t="shared" ref="EM18:FR18" si="5">EM314</f>
        <v>0</v>
      </c>
      <c r="EN18" s="3">
        <f t="shared" si="5"/>
        <v>0</v>
      </c>
      <c r="EO18" s="3">
        <f t="shared" si="5"/>
        <v>0</v>
      </c>
      <c r="EP18" s="3">
        <f t="shared" si="5"/>
        <v>0</v>
      </c>
      <c r="EQ18" s="3">
        <f t="shared" si="5"/>
        <v>0</v>
      </c>
      <c r="ER18" s="3">
        <f t="shared" si="5"/>
        <v>0</v>
      </c>
      <c r="ES18" s="3">
        <f t="shared" si="5"/>
        <v>0</v>
      </c>
      <c r="ET18" s="3">
        <f t="shared" si="5"/>
        <v>0</v>
      </c>
      <c r="EU18" s="3">
        <f t="shared" si="5"/>
        <v>0</v>
      </c>
      <c r="EV18" s="3">
        <f t="shared" si="5"/>
        <v>0</v>
      </c>
      <c r="EW18" s="3">
        <f t="shared" si="5"/>
        <v>0</v>
      </c>
      <c r="EX18" s="3">
        <f t="shared" si="5"/>
        <v>0</v>
      </c>
      <c r="EY18" s="3">
        <f t="shared" si="5"/>
        <v>0</v>
      </c>
      <c r="EZ18" s="3">
        <f t="shared" si="5"/>
        <v>0</v>
      </c>
      <c r="FA18" s="3">
        <f t="shared" si="5"/>
        <v>0</v>
      </c>
      <c r="FB18" s="3">
        <f t="shared" si="5"/>
        <v>0</v>
      </c>
      <c r="FC18" s="3">
        <f t="shared" si="5"/>
        <v>0</v>
      </c>
      <c r="FD18" s="3">
        <f t="shared" si="5"/>
        <v>0</v>
      </c>
      <c r="FE18" s="3">
        <f t="shared" si="5"/>
        <v>0</v>
      </c>
      <c r="FF18" s="3">
        <f t="shared" si="5"/>
        <v>0</v>
      </c>
      <c r="FG18" s="3">
        <f t="shared" si="5"/>
        <v>0</v>
      </c>
      <c r="FH18" s="3">
        <f t="shared" si="5"/>
        <v>0</v>
      </c>
      <c r="FI18" s="3">
        <f t="shared" si="5"/>
        <v>0</v>
      </c>
      <c r="FJ18" s="3">
        <f t="shared" si="5"/>
        <v>0</v>
      </c>
      <c r="FK18" s="3">
        <f t="shared" si="5"/>
        <v>0</v>
      </c>
      <c r="FL18" s="3">
        <f t="shared" si="5"/>
        <v>0</v>
      </c>
      <c r="FM18" s="3">
        <f t="shared" si="5"/>
        <v>0</v>
      </c>
      <c r="FN18" s="3">
        <f t="shared" si="5"/>
        <v>0</v>
      </c>
      <c r="FO18" s="3">
        <f t="shared" si="5"/>
        <v>0</v>
      </c>
      <c r="FP18" s="3">
        <f t="shared" si="5"/>
        <v>0</v>
      </c>
      <c r="FQ18" s="3">
        <f t="shared" si="5"/>
        <v>0</v>
      </c>
      <c r="FR18" s="3">
        <f t="shared" si="5"/>
        <v>0</v>
      </c>
      <c r="FS18" s="3">
        <f t="shared" ref="FS18:GX18" si="6">FS314</f>
        <v>0</v>
      </c>
      <c r="FT18" s="3">
        <f t="shared" si="6"/>
        <v>0</v>
      </c>
      <c r="FU18" s="3">
        <f t="shared" si="6"/>
        <v>0</v>
      </c>
      <c r="FV18" s="3">
        <f t="shared" si="6"/>
        <v>0</v>
      </c>
      <c r="FW18" s="3">
        <f t="shared" si="6"/>
        <v>0</v>
      </c>
      <c r="FX18" s="3">
        <f t="shared" si="6"/>
        <v>0</v>
      </c>
      <c r="FY18" s="3">
        <f t="shared" si="6"/>
        <v>0</v>
      </c>
      <c r="FZ18" s="3">
        <f t="shared" si="6"/>
        <v>0</v>
      </c>
      <c r="GA18" s="3">
        <f t="shared" si="6"/>
        <v>0</v>
      </c>
      <c r="GB18" s="3">
        <f t="shared" si="6"/>
        <v>0</v>
      </c>
      <c r="GC18" s="3">
        <f t="shared" si="6"/>
        <v>0</v>
      </c>
      <c r="GD18" s="3">
        <f t="shared" si="6"/>
        <v>0</v>
      </c>
      <c r="GE18" s="3">
        <f t="shared" si="6"/>
        <v>0</v>
      </c>
      <c r="GF18" s="3">
        <f t="shared" si="6"/>
        <v>0</v>
      </c>
      <c r="GG18" s="3">
        <f t="shared" si="6"/>
        <v>0</v>
      </c>
      <c r="GH18" s="3">
        <f t="shared" si="6"/>
        <v>0</v>
      </c>
      <c r="GI18" s="3">
        <f t="shared" si="6"/>
        <v>0</v>
      </c>
      <c r="GJ18" s="3">
        <f t="shared" si="6"/>
        <v>0</v>
      </c>
      <c r="GK18" s="3">
        <f t="shared" si="6"/>
        <v>0</v>
      </c>
      <c r="GL18" s="3">
        <f t="shared" si="6"/>
        <v>0</v>
      </c>
      <c r="GM18" s="3">
        <f t="shared" si="6"/>
        <v>0</v>
      </c>
      <c r="GN18" s="3">
        <f t="shared" si="6"/>
        <v>0</v>
      </c>
      <c r="GO18" s="3">
        <f t="shared" si="6"/>
        <v>0</v>
      </c>
      <c r="GP18" s="3">
        <f t="shared" si="6"/>
        <v>0</v>
      </c>
      <c r="GQ18" s="3">
        <f t="shared" si="6"/>
        <v>0</v>
      </c>
      <c r="GR18" s="3">
        <f t="shared" si="6"/>
        <v>0</v>
      </c>
      <c r="GS18" s="3">
        <f t="shared" si="6"/>
        <v>0</v>
      </c>
      <c r="GT18" s="3">
        <f t="shared" si="6"/>
        <v>0</v>
      </c>
      <c r="GU18" s="3">
        <f t="shared" si="6"/>
        <v>0</v>
      </c>
      <c r="GV18" s="3">
        <f t="shared" si="6"/>
        <v>0</v>
      </c>
      <c r="GW18" s="3">
        <f t="shared" si="6"/>
        <v>0</v>
      </c>
      <c r="GX18" s="3">
        <f t="shared" si="6"/>
        <v>0</v>
      </c>
    </row>
    <row r="20" spans="1:245">
      <c r="A20" s="1">
        <v>3</v>
      </c>
      <c r="B20" s="1">
        <v>1</v>
      </c>
      <c r="C20" s="1"/>
      <c r="D20" s="1">
        <f>ROW(A284)</f>
        <v>284</v>
      </c>
      <c r="E20" s="1"/>
      <c r="F20" s="1" t="s">
        <v>12</v>
      </c>
      <c r="G20" s="1" t="s">
        <v>12</v>
      </c>
      <c r="H20" s="1" t="s">
        <v>3</v>
      </c>
      <c r="I20" s="1">
        <v>0</v>
      </c>
      <c r="J20" s="1" t="s">
        <v>3</v>
      </c>
      <c r="K20" s="1">
        <v>0</v>
      </c>
      <c r="L20" s="1" t="s">
        <v>3</v>
      </c>
      <c r="M20" s="1" t="s">
        <v>3</v>
      </c>
      <c r="N20" s="1"/>
      <c r="O20" s="1"/>
      <c r="P20" s="1"/>
      <c r="Q20" s="1"/>
      <c r="R20" s="1"/>
      <c r="S20" s="1">
        <v>0</v>
      </c>
      <c r="T20" s="1"/>
      <c r="U20" s="1" t="s">
        <v>3</v>
      </c>
      <c r="V20" s="1">
        <v>0</v>
      </c>
      <c r="W20" s="1"/>
      <c r="X20" s="1"/>
      <c r="Y20" s="1"/>
      <c r="Z20" s="1"/>
      <c r="AA20" s="1"/>
      <c r="AB20" s="1" t="s">
        <v>3</v>
      </c>
      <c r="AC20" s="1" t="s">
        <v>3</v>
      </c>
      <c r="AD20" s="1" t="s">
        <v>3</v>
      </c>
      <c r="AE20" s="1" t="s">
        <v>3</v>
      </c>
      <c r="AF20" s="1" t="s">
        <v>3</v>
      </c>
      <c r="AG20" s="1" t="s">
        <v>3</v>
      </c>
      <c r="AH20" s="1"/>
      <c r="AI20" s="1"/>
      <c r="AJ20" s="1"/>
      <c r="AK20" s="1"/>
      <c r="AL20" s="1"/>
      <c r="AM20" s="1"/>
      <c r="AN20" s="1"/>
      <c r="AO20" s="1"/>
      <c r="AP20" s="1" t="s">
        <v>3</v>
      </c>
      <c r="AQ20" s="1" t="s">
        <v>3</v>
      </c>
      <c r="AR20" s="1" t="s">
        <v>3</v>
      </c>
      <c r="AS20" s="1"/>
      <c r="AT20" s="1"/>
      <c r="AU20" s="1"/>
      <c r="AV20" s="1"/>
      <c r="AW20" s="1"/>
      <c r="AX20" s="1"/>
      <c r="AY20" s="1"/>
      <c r="AZ20" s="1" t="s">
        <v>3</v>
      </c>
      <c r="BA20" s="1"/>
      <c r="BB20" s="1" t="s">
        <v>3</v>
      </c>
      <c r="BC20" s="1" t="s">
        <v>3</v>
      </c>
      <c r="BD20" s="1" t="s">
        <v>3</v>
      </c>
      <c r="BE20" s="1" t="s">
        <v>3</v>
      </c>
      <c r="BF20" s="1" t="s">
        <v>3</v>
      </c>
      <c r="BG20" s="1" t="s">
        <v>3</v>
      </c>
      <c r="BH20" s="1" t="s">
        <v>3</v>
      </c>
      <c r="BI20" s="1" t="s">
        <v>3</v>
      </c>
      <c r="BJ20" s="1" t="s">
        <v>3</v>
      </c>
      <c r="BK20" s="1" t="s">
        <v>3</v>
      </c>
      <c r="BL20" s="1" t="s">
        <v>3</v>
      </c>
      <c r="BM20" s="1" t="s">
        <v>3</v>
      </c>
      <c r="BN20" s="1" t="s">
        <v>3</v>
      </c>
      <c r="BO20" s="1" t="s">
        <v>3</v>
      </c>
      <c r="BP20" s="1" t="s">
        <v>3</v>
      </c>
      <c r="BQ20" s="1"/>
      <c r="BR20" s="1"/>
      <c r="BS20" s="1"/>
      <c r="BT20" s="1"/>
      <c r="BU20" s="1"/>
      <c r="BV20" s="1"/>
      <c r="BW20" s="1"/>
      <c r="BX20" s="1">
        <v>0</v>
      </c>
      <c r="BY20" s="1"/>
      <c r="BZ20" s="1"/>
      <c r="CA20" s="1"/>
      <c r="CB20" s="1"/>
      <c r="CC20" s="1"/>
      <c r="CD20" s="1"/>
      <c r="CE20" s="1"/>
      <c r="CF20" s="1">
        <v>0</v>
      </c>
      <c r="CG20" s="1">
        <v>0</v>
      </c>
      <c r="CH20" s="1"/>
      <c r="CI20" s="1" t="s">
        <v>3</v>
      </c>
      <c r="CJ20" s="1" t="s">
        <v>3</v>
      </c>
      <c r="CK20" t="s">
        <v>3</v>
      </c>
      <c r="CL20" t="s">
        <v>3</v>
      </c>
      <c r="CM20" t="s">
        <v>3</v>
      </c>
      <c r="CN20" t="s">
        <v>3</v>
      </c>
      <c r="CO20" t="s">
        <v>3</v>
      </c>
      <c r="CP20" t="s">
        <v>3</v>
      </c>
      <c r="CQ20" t="s">
        <v>3</v>
      </c>
    </row>
    <row r="22" spans="1:245">
      <c r="A22" s="2">
        <v>52</v>
      </c>
      <c r="B22" s="2">
        <f t="shared" ref="B22:G22" si="7">B284</f>
        <v>1</v>
      </c>
      <c r="C22" s="2">
        <f t="shared" si="7"/>
        <v>3</v>
      </c>
      <c r="D22" s="2">
        <f t="shared" si="7"/>
        <v>20</v>
      </c>
      <c r="E22" s="2">
        <f t="shared" si="7"/>
        <v>0</v>
      </c>
      <c r="F22" s="2" t="str">
        <f t="shared" si="7"/>
        <v>Новая локальная смета</v>
      </c>
      <c r="G22" s="2" t="str">
        <f t="shared" si="7"/>
        <v>Новая локальная смета</v>
      </c>
      <c r="H22" s="2"/>
      <c r="I22" s="2"/>
      <c r="J22" s="2"/>
      <c r="K22" s="2"/>
      <c r="L22" s="2"/>
      <c r="M22" s="2"/>
      <c r="N22" s="2"/>
      <c r="O22" s="2">
        <f t="shared" ref="O22:AT22" si="8">O284</f>
        <v>514248.26</v>
      </c>
      <c r="P22" s="2">
        <f t="shared" si="8"/>
        <v>361326.38</v>
      </c>
      <c r="Q22" s="2">
        <f t="shared" si="8"/>
        <v>11583.43</v>
      </c>
      <c r="R22" s="2">
        <f t="shared" si="8"/>
        <v>4562.57</v>
      </c>
      <c r="S22" s="2">
        <f t="shared" si="8"/>
        <v>141338.45000000001</v>
      </c>
      <c r="T22" s="2">
        <f t="shared" si="8"/>
        <v>0</v>
      </c>
      <c r="U22" s="2">
        <f t="shared" si="8"/>
        <v>487.56856350000004</v>
      </c>
      <c r="V22" s="2">
        <f t="shared" si="8"/>
        <v>12.951281999999999</v>
      </c>
      <c r="W22" s="2">
        <f t="shared" si="8"/>
        <v>21.24</v>
      </c>
      <c r="X22" s="2">
        <f t="shared" si="8"/>
        <v>138209.87</v>
      </c>
      <c r="Y22" s="2">
        <f t="shared" si="8"/>
        <v>70522.62</v>
      </c>
      <c r="Z22" s="2">
        <f t="shared" si="8"/>
        <v>0</v>
      </c>
      <c r="AA22" s="2">
        <f t="shared" si="8"/>
        <v>0</v>
      </c>
      <c r="AB22" s="2">
        <f t="shared" si="8"/>
        <v>0</v>
      </c>
      <c r="AC22" s="2">
        <f t="shared" si="8"/>
        <v>0</v>
      </c>
      <c r="AD22" s="2">
        <f t="shared" si="8"/>
        <v>0</v>
      </c>
      <c r="AE22" s="2">
        <f t="shared" si="8"/>
        <v>0</v>
      </c>
      <c r="AF22" s="2">
        <f t="shared" si="8"/>
        <v>0</v>
      </c>
      <c r="AG22" s="2">
        <f t="shared" si="8"/>
        <v>0</v>
      </c>
      <c r="AH22" s="2">
        <f t="shared" si="8"/>
        <v>0</v>
      </c>
      <c r="AI22" s="2">
        <f t="shared" si="8"/>
        <v>0</v>
      </c>
      <c r="AJ22" s="2">
        <f t="shared" si="8"/>
        <v>0</v>
      </c>
      <c r="AK22" s="2">
        <f t="shared" si="8"/>
        <v>0</v>
      </c>
      <c r="AL22" s="2">
        <f t="shared" si="8"/>
        <v>0</v>
      </c>
      <c r="AM22" s="2">
        <f t="shared" si="8"/>
        <v>0</v>
      </c>
      <c r="AN22" s="2">
        <f t="shared" si="8"/>
        <v>0</v>
      </c>
      <c r="AO22" s="2">
        <f t="shared" si="8"/>
        <v>0</v>
      </c>
      <c r="AP22" s="2">
        <f t="shared" si="8"/>
        <v>0</v>
      </c>
      <c r="AQ22" s="2">
        <f t="shared" si="8"/>
        <v>0</v>
      </c>
      <c r="AR22" s="2">
        <f t="shared" si="8"/>
        <v>722980.75</v>
      </c>
      <c r="AS22" s="2">
        <f t="shared" si="8"/>
        <v>715698.47</v>
      </c>
      <c r="AT22" s="2">
        <f t="shared" si="8"/>
        <v>7282.28</v>
      </c>
      <c r="AU22" s="2">
        <f t="shared" ref="AU22:BZ22" si="9">AU284</f>
        <v>0</v>
      </c>
      <c r="AV22" s="2">
        <f t="shared" si="9"/>
        <v>361326.38</v>
      </c>
      <c r="AW22" s="2">
        <f t="shared" si="9"/>
        <v>361326.38</v>
      </c>
      <c r="AX22" s="2">
        <f t="shared" si="9"/>
        <v>0</v>
      </c>
      <c r="AY22" s="2">
        <f t="shared" si="9"/>
        <v>361326.38</v>
      </c>
      <c r="AZ22" s="2">
        <f t="shared" si="9"/>
        <v>0</v>
      </c>
      <c r="BA22" s="2">
        <f t="shared" si="9"/>
        <v>0</v>
      </c>
      <c r="BB22" s="2">
        <f t="shared" si="9"/>
        <v>0</v>
      </c>
      <c r="BC22" s="2">
        <f t="shared" si="9"/>
        <v>0</v>
      </c>
      <c r="BD22" s="2">
        <f t="shared" si="9"/>
        <v>1878.66</v>
      </c>
      <c r="BE22" s="2">
        <f t="shared" si="9"/>
        <v>0</v>
      </c>
      <c r="BF22" s="2">
        <f t="shared" si="9"/>
        <v>0</v>
      </c>
      <c r="BG22" s="2">
        <f t="shared" si="9"/>
        <v>0</v>
      </c>
      <c r="BH22" s="2">
        <f t="shared" si="9"/>
        <v>0</v>
      </c>
      <c r="BI22" s="2">
        <f t="shared" si="9"/>
        <v>0</v>
      </c>
      <c r="BJ22" s="2">
        <f t="shared" si="9"/>
        <v>0</v>
      </c>
      <c r="BK22" s="2">
        <f t="shared" si="9"/>
        <v>0</v>
      </c>
      <c r="BL22" s="2">
        <f t="shared" si="9"/>
        <v>0</v>
      </c>
      <c r="BM22" s="2">
        <f t="shared" si="9"/>
        <v>0</v>
      </c>
      <c r="BN22" s="2">
        <f t="shared" si="9"/>
        <v>0</v>
      </c>
      <c r="BO22" s="2">
        <f t="shared" si="9"/>
        <v>0</v>
      </c>
      <c r="BP22" s="2">
        <f t="shared" si="9"/>
        <v>0</v>
      </c>
      <c r="BQ22" s="2">
        <f t="shared" si="9"/>
        <v>0</v>
      </c>
      <c r="BR22" s="2">
        <f t="shared" si="9"/>
        <v>0</v>
      </c>
      <c r="BS22" s="2">
        <f t="shared" si="9"/>
        <v>0</v>
      </c>
      <c r="BT22" s="2">
        <f t="shared" si="9"/>
        <v>0</v>
      </c>
      <c r="BU22" s="2">
        <f t="shared" si="9"/>
        <v>0</v>
      </c>
      <c r="BV22" s="2">
        <f t="shared" si="9"/>
        <v>0</v>
      </c>
      <c r="BW22" s="2">
        <f t="shared" si="9"/>
        <v>0</v>
      </c>
      <c r="BX22" s="2">
        <f t="shared" si="9"/>
        <v>0</v>
      </c>
      <c r="BY22" s="2">
        <f t="shared" si="9"/>
        <v>0</v>
      </c>
      <c r="BZ22" s="2">
        <f t="shared" si="9"/>
        <v>0</v>
      </c>
      <c r="CA22" s="2">
        <f t="shared" ref="CA22:DF22" si="10">CA284</f>
        <v>0</v>
      </c>
      <c r="CB22" s="2">
        <f t="shared" si="10"/>
        <v>0</v>
      </c>
      <c r="CC22" s="2">
        <f t="shared" si="10"/>
        <v>0</v>
      </c>
      <c r="CD22" s="2">
        <f t="shared" si="10"/>
        <v>0</v>
      </c>
      <c r="CE22" s="2">
        <f t="shared" si="10"/>
        <v>0</v>
      </c>
      <c r="CF22" s="2">
        <f t="shared" si="10"/>
        <v>0</v>
      </c>
      <c r="CG22" s="2">
        <f t="shared" si="10"/>
        <v>0</v>
      </c>
      <c r="CH22" s="2">
        <f t="shared" si="10"/>
        <v>0</v>
      </c>
      <c r="CI22" s="2">
        <f t="shared" si="10"/>
        <v>0</v>
      </c>
      <c r="CJ22" s="2">
        <f t="shared" si="10"/>
        <v>0</v>
      </c>
      <c r="CK22" s="2">
        <f t="shared" si="10"/>
        <v>0</v>
      </c>
      <c r="CL22" s="2">
        <f t="shared" si="10"/>
        <v>0</v>
      </c>
      <c r="CM22" s="2">
        <f t="shared" si="10"/>
        <v>0</v>
      </c>
      <c r="CN22" s="2">
        <f t="shared" si="10"/>
        <v>0</v>
      </c>
      <c r="CO22" s="2">
        <f t="shared" si="10"/>
        <v>0</v>
      </c>
      <c r="CP22" s="2">
        <f t="shared" si="10"/>
        <v>0</v>
      </c>
      <c r="CQ22" s="2">
        <f t="shared" si="10"/>
        <v>0</v>
      </c>
      <c r="CR22" s="2">
        <f t="shared" si="10"/>
        <v>0</v>
      </c>
      <c r="CS22" s="2">
        <f t="shared" si="10"/>
        <v>0</v>
      </c>
      <c r="CT22" s="2">
        <f t="shared" si="10"/>
        <v>0</v>
      </c>
      <c r="CU22" s="2">
        <f t="shared" si="10"/>
        <v>0</v>
      </c>
      <c r="CV22" s="2">
        <f t="shared" si="10"/>
        <v>0</v>
      </c>
      <c r="CW22" s="2">
        <f t="shared" si="10"/>
        <v>0</v>
      </c>
      <c r="CX22" s="2">
        <f t="shared" si="10"/>
        <v>0</v>
      </c>
      <c r="CY22" s="2">
        <f t="shared" si="10"/>
        <v>0</v>
      </c>
      <c r="CZ22" s="2">
        <f t="shared" si="10"/>
        <v>0</v>
      </c>
      <c r="DA22" s="2">
        <f t="shared" si="10"/>
        <v>0</v>
      </c>
      <c r="DB22" s="2">
        <f t="shared" si="10"/>
        <v>0</v>
      </c>
      <c r="DC22" s="2">
        <f t="shared" si="10"/>
        <v>0</v>
      </c>
      <c r="DD22" s="2">
        <f t="shared" si="10"/>
        <v>0</v>
      </c>
      <c r="DE22" s="2">
        <f t="shared" si="10"/>
        <v>0</v>
      </c>
      <c r="DF22" s="2">
        <f t="shared" si="10"/>
        <v>0</v>
      </c>
      <c r="DG22" s="3">
        <f t="shared" ref="DG22:EL22" si="11">DG284</f>
        <v>0</v>
      </c>
      <c r="DH22" s="3">
        <f t="shared" si="11"/>
        <v>0</v>
      </c>
      <c r="DI22" s="3">
        <f t="shared" si="11"/>
        <v>0</v>
      </c>
      <c r="DJ22" s="3">
        <f t="shared" si="11"/>
        <v>0</v>
      </c>
      <c r="DK22" s="3">
        <f t="shared" si="11"/>
        <v>0</v>
      </c>
      <c r="DL22" s="3">
        <f t="shared" si="11"/>
        <v>0</v>
      </c>
      <c r="DM22" s="3">
        <f t="shared" si="11"/>
        <v>0</v>
      </c>
      <c r="DN22" s="3">
        <f t="shared" si="11"/>
        <v>0</v>
      </c>
      <c r="DO22" s="3">
        <f t="shared" si="11"/>
        <v>0</v>
      </c>
      <c r="DP22" s="3">
        <f t="shared" si="11"/>
        <v>0</v>
      </c>
      <c r="DQ22" s="3">
        <f t="shared" si="11"/>
        <v>0</v>
      </c>
      <c r="DR22" s="3">
        <f t="shared" si="11"/>
        <v>0</v>
      </c>
      <c r="DS22" s="3">
        <f t="shared" si="11"/>
        <v>0</v>
      </c>
      <c r="DT22" s="3">
        <f t="shared" si="11"/>
        <v>0</v>
      </c>
      <c r="DU22" s="3">
        <f t="shared" si="11"/>
        <v>0</v>
      </c>
      <c r="DV22" s="3">
        <f t="shared" si="11"/>
        <v>0</v>
      </c>
      <c r="DW22" s="3">
        <f t="shared" si="11"/>
        <v>0</v>
      </c>
      <c r="DX22" s="3">
        <f t="shared" si="11"/>
        <v>0</v>
      </c>
      <c r="DY22" s="3">
        <f t="shared" si="11"/>
        <v>0</v>
      </c>
      <c r="DZ22" s="3">
        <f t="shared" si="11"/>
        <v>0</v>
      </c>
      <c r="EA22" s="3">
        <f t="shared" si="11"/>
        <v>0</v>
      </c>
      <c r="EB22" s="3">
        <f t="shared" si="11"/>
        <v>0</v>
      </c>
      <c r="EC22" s="3">
        <f t="shared" si="11"/>
        <v>0</v>
      </c>
      <c r="ED22" s="3">
        <f t="shared" si="11"/>
        <v>0</v>
      </c>
      <c r="EE22" s="3">
        <f t="shared" si="11"/>
        <v>0</v>
      </c>
      <c r="EF22" s="3">
        <f t="shared" si="11"/>
        <v>0</v>
      </c>
      <c r="EG22" s="3">
        <f t="shared" si="11"/>
        <v>0</v>
      </c>
      <c r="EH22" s="3">
        <f t="shared" si="11"/>
        <v>0</v>
      </c>
      <c r="EI22" s="3">
        <f t="shared" si="11"/>
        <v>0</v>
      </c>
      <c r="EJ22" s="3">
        <f t="shared" si="11"/>
        <v>0</v>
      </c>
      <c r="EK22" s="3">
        <f t="shared" si="11"/>
        <v>0</v>
      </c>
      <c r="EL22" s="3">
        <f t="shared" si="11"/>
        <v>0</v>
      </c>
      <c r="EM22" s="3">
        <f t="shared" ref="EM22:FR22" si="12">EM284</f>
        <v>0</v>
      </c>
      <c r="EN22" s="3">
        <f t="shared" si="12"/>
        <v>0</v>
      </c>
      <c r="EO22" s="3">
        <f t="shared" si="12"/>
        <v>0</v>
      </c>
      <c r="EP22" s="3">
        <f t="shared" si="12"/>
        <v>0</v>
      </c>
      <c r="EQ22" s="3">
        <f t="shared" si="12"/>
        <v>0</v>
      </c>
      <c r="ER22" s="3">
        <f t="shared" si="12"/>
        <v>0</v>
      </c>
      <c r="ES22" s="3">
        <f t="shared" si="12"/>
        <v>0</v>
      </c>
      <c r="ET22" s="3">
        <f t="shared" si="12"/>
        <v>0</v>
      </c>
      <c r="EU22" s="3">
        <f t="shared" si="12"/>
        <v>0</v>
      </c>
      <c r="EV22" s="3">
        <f t="shared" si="12"/>
        <v>0</v>
      </c>
      <c r="EW22" s="3">
        <f t="shared" si="12"/>
        <v>0</v>
      </c>
      <c r="EX22" s="3">
        <f t="shared" si="12"/>
        <v>0</v>
      </c>
      <c r="EY22" s="3">
        <f t="shared" si="12"/>
        <v>0</v>
      </c>
      <c r="EZ22" s="3">
        <f t="shared" si="12"/>
        <v>0</v>
      </c>
      <c r="FA22" s="3">
        <f t="shared" si="12"/>
        <v>0</v>
      </c>
      <c r="FB22" s="3">
        <f t="shared" si="12"/>
        <v>0</v>
      </c>
      <c r="FC22" s="3">
        <f t="shared" si="12"/>
        <v>0</v>
      </c>
      <c r="FD22" s="3">
        <f t="shared" si="12"/>
        <v>0</v>
      </c>
      <c r="FE22" s="3">
        <f t="shared" si="12"/>
        <v>0</v>
      </c>
      <c r="FF22" s="3">
        <f t="shared" si="12"/>
        <v>0</v>
      </c>
      <c r="FG22" s="3">
        <f t="shared" si="12"/>
        <v>0</v>
      </c>
      <c r="FH22" s="3">
        <f t="shared" si="12"/>
        <v>0</v>
      </c>
      <c r="FI22" s="3">
        <f t="shared" si="12"/>
        <v>0</v>
      </c>
      <c r="FJ22" s="3">
        <f t="shared" si="12"/>
        <v>0</v>
      </c>
      <c r="FK22" s="3">
        <f t="shared" si="12"/>
        <v>0</v>
      </c>
      <c r="FL22" s="3">
        <f t="shared" si="12"/>
        <v>0</v>
      </c>
      <c r="FM22" s="3">
        <f t="shared" si="12"/>
        <v>0</v>
      </c>
      <c r="FN22" s="3">
        <f t="shared" si="12"/>
        <v>0</v>
      </c>
      <c r="FO22" s="3">
        <f t="shared" si="12"/>
        <v>0</v>
      </c>
      <c r="FP22" s="3">
        <f t="shared" si="12"/>
        <v>0</v>
      </c>
      <c r="FQ22" s="3">
        <f t="shared" si="12"/>
        <v>0</v>
      </c>
      <c r="FR22" s="3">
        <f t="shared" si="12"/>
        <v>0</v>
      </c>
      <c r="FS22" s="3">
        <f t="shared" ref="FS22:GX22" si="13">FS284</f>
        <v>0</v>
      </c>
      <c r="FT22" s="3">
        <f t="shared" si="13"/>
        <v>0</v>
      </c>
      <c r="FU22" s="3">
        <f t="shared" si="13"/>
        <v>0</v>
      </c>
      <c r="FV22" s="3">
        <f t="shared" si="13"/>
        <v>0</v>
      </c>
      <c r="FW22" s="3">
        <f t="shared" si="13"/>
        <v>0</v>
      </c>
      <c r="FX22" s="3">
        <f t="shared" si="13"/>
        <v>0</v>
      </c>
      <c r="FY22" s="3">
        <f t="shared" si="13"/>
        <v>0</v>
      </c>
      <c r="FZ22" s="3">
        <f t="shared" si="13"/>
        <v>0</v>
      </c>
      <c r="GA22" s="3">
        <f t="shared" si="13"/>
        <v>0</v>
      </c>
      <c r="GB22" s="3">
        <f t="shared" si="13"/>
        <v>0</v>
      </c>
      <c r="GC22" s="3">
        <f t="shared" si="13"/>
        <v>0</v>
      </c>
      <c r="GD22" s="3">
        <f t="shared" si="13"/>
        <v>0</v>
      </c>
      <c r="GE22" s="3">
        <f t="shared" si="13"/>
        <v>0</v>
      </c>
      <c r="GF22" s="3">
        <f t="shared" si="13"/>
        <v>0</v>
      </c>
      <c r="GG22" s="3">
        <f t="shared" si="13"/>
        <v>0</v>
      </c>
      <c r="GH22" s="3">
        <f t="shared" si="13"/>
        <v>0</v>
      </c>
      <c r="GI22" s="3">
        <f t="shared" si="13"/>
        <v>0</v>
      </c>
      <c r="GJ22" s="3">
        <f t="shared" si="13"/>
        <v>0</v>
      </c>
      <c r="GK22" s="3">
        <f t="shared" si="13"/>
        <v>0</v>
      </c>
      <c r="GL22" s="3">
        <f t="shared" si="13"/>
        <v>0</v>
      </c>
      <c r="GM22" s="3">
        <f t="shared" si="13"/>
        <v>0</v>
      </c>
      <c r="GN22" s="3">
        <f t="shared" si="13"/>
        <v>0</v>
      </c>
      <c r="GO22" s="3">
        <f t="shared" si="13"/>
        <v>0</v>
      </c>
      <c r="GP22" s="3">
        <f t="shared" si="13"/>
        <v>0</v>
      </c>
      <c r="GQ22" s="3">
        <f t="shared" si="13"/>
        <v>0</v>
      </c>
      <c r="GR22" s="3">
        <f t="shared" si="13"/>
        <v>0</v>
      </c>
      <c r="GS22" s="3">
        <f t="shared" si="13"/>
        <v>0</v>
      </c>
      <c r="GT22" s="3">
        <f t="shared" si="13"/>
        <v>0</v>
      </c>
      <c r="GU22" s="3">
        <f t="shared" si="13"/>
        <v>0</v>
      </c>
      <c r="GV22" s="3">
        <f t="shared" si="13"/>
        <v>0</v>
      </c>
      <c r="GW22" s="3">
        <f t="shared" si="13"/>
        <v>0</v>
      </c>
      <c r="GX22" s="3">
        <f t="shared" si="13"/>
        <v>0</v>
      </c>
    </row>
    <row r="24" spans="1:245">
      <c r="A24" s="1">
        <v>4</v>
      </c>
      <c r="B24" s="1">
        <v>1</v>
      </c>
      <c r="C24" s="1"/>
      <c r="D24" s="1">
        <f>ROW(A35)</f>
        <v>35</v>
      </c>
      <c r="E24" s="1"/>
      <c r="F24" s="1" t="s">
        <v>13</v>
      </c>
      <c r="G24" s="1" t="s">
        <v>14</v>
      </c>
      <c r="H24" s="1" t="s">
        <v>3</v>
      </c>
      <c r="I24" s="1">
        <v>0</v>
      </c>
      <c r="J24" s="1"/>
      <c r="K24" s="1">
        <v>0</v>
      </c>
      <c r="L24" s="1"/>
      <c r="M24" s="1" t="s">
        <v>3</v>
      </c>
      <c r="N24" s="1"/>
      <c r="O24" s="1"/>
      <c r="P24" s="1"/>
      <c r="Q24" s="1"/>
      <c r="R24" s="1"/>
      <c r="S24" s="1">
        <v>0</v>
      </c>
      <c r="T24" s="1"/>
      <c r="U24" s="1" t="s">
        <v>3</v>
      </c>
      <c r="V24" s="1">
        <v>0</v>
      </c>
      <c r="W24" s="1"/>
      <c r="X24" s="1"/>
      <c r="Y24" s="1"/>
      <c r="Z24" s="1"/>
      <c r="AA24" s="1"/>
      <c r="AB24" s="1" t="s">
        <v>3</v>
      </c>
      <c r="AC24" s="1" t="s">
        <v>3</v>
      </c>
      <c r="AD24" s="1" t="s">
        <v>3</v>
      </c>
      <c r="AE24" s="1" t="s">
        <v>3</v>
      </c>
      <c r="AF24" s="1" t="s">
        <v>3</v>
      </c>
      <c r="AG24" s="1" t="s">
        <v>3</v>
      </c>
      <c r="AH24" s="1"/>
      <c r="AI24" s="1"/>
      <c r="AJ24" s="1"/>
      <c r="AK24" s="1"/>
      <c r="AL24" s="1"/>
      <c r="AM24" s="1"/>
      <c r="AN24" s="1"/>
      <c r="AO24" s="1"/>
      <c r="AP24" s="1" t="s">
        <v>3</v>
      </c>
      <c r="AQ24" s="1" t="s">
        <v>3</v>
      </c>
      <c r="AR24" s="1" t="s">
        <v>3</v>
      </c>
      <c r="AS24" s="1"/>
      <c r="AT24" s="1"/>
      <c r="AU24" s="1"/>
      <c r="AV24" s="1"/>
      <c r="AW24" s="1"/>
      <c r="AX24" s="1"/>
      <c r="AY24" s="1"/>
      <c r="AZ24" s="1" t="s">
        <v>3</v>
      </c>
      <c r="BA24" s="1"/>
      <c r="BB24" s="1" t="s">
        <v>3</v>
      </c>
      <c r="BC24" s="1" t="s">
        <v>3</v>
      </c>
      <c r="BD24" s="1" t="s">
        <v>3</v>
      </c>
      <c r="BE24" s="1" t="s">
        <v>3</v>
      </c>
      <c r="BF24" s="1" t="s">
        <v>3</v>
      </c>
      <c r="BG24" s="1" t="s">
        <v>3</v>
      </c>
      <c r="BH24" s="1" t="s">
        <v>3</v>
      </c>
      <c r="BI24" s="1" t="s">
        <v>3</v>
      </c>
      <c r="BJ24" s="1" t="s">
        <v>3</v>
      </c>
      <c r="BK24" s="1" t="s">
        <v>3</v>
      </c>
      <c r="BL24" s="1" t="s">
        <v>3</v>
      </c>
      <c r="BM24" s="1" t="s">
        <v>3</v>
      </c>
      <c r="BN24" s="1" t="s">
        <v>3</v>
      </c>
      <c r="BO24" s="1" t="s">
        <v>3</v>
      </c>
      <c r="BP24" s="1" t="s">
        <v>3</v>
      </c>
      <c r="BQ24" s="1"/>
      <c r="BR24" s="1"/>
      <c r="BS24" s="1"/>
      <c r="BT24" s="1"/>
      <c r="BU24" s="1"/>
      <c r="BV24" s="1"/>
      <c r="BW24" s="1"/>
      <c r="BX24" s="1">
        <v>0</v>
      </c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>
        <v>0</v>
      </c>
    </row>
    <row r="26" spans="1:245">
      <c r="A26" s="2">
        <v>52</v>
      </c>
      <c r="B26" s="2">
        <f t="shared" ref="B26:G26" si="14">B35</f>
        <v>1</v>
      </c>
      <c r="C26" s="2">
        <f t="shared" si="14"/>
        <v>4</v>
      </c>
      <c r="D26" s="2">
        <f t="shared" si="14"/>
        <v>24</v>
      </c>
      <c r="E26" s="2">
        <f t="shared" si="14"/>
        <v>0</v>
      </c>
      <c r="F26" s="2" t="str">
        <f t="shared" si="14"/>
        <v>Новый раздел</v>
      </c>
      <c r="G26" s="2" t="str">
        <f t="shared" si="14"/>
        <v>Демонтаж</v>
      </c>
      <c r="H26" s="2"/>
      <c r="I26" s="2"/>
      <c r="J26" s="2"/>
      <c r="K26" s="2"/>
      <c r="L26" s="2"/>
      <c r="M26" s="2"/>
      <c r="N26" s="2"/>
      <c r="O26" s="2">
        <f t="shared" ref="O26:AT26" si="15">O35</f>
        <v>8935.2999999999993</v>
      </c>
      <c r="P26" s="2">
        <f t="shared" si="15"/>
        <v>0</v>
      </c>
      <c r="Q26" s="2">
        <f t="shared" si="15"/>
        <v>123.36</v>
      </c>
      <c r="R26" s="2">
        <f t="shared" si="15"/>
        <v>119.93</v>
      </c>
      <c r="S26" s="2">
        <f t="shared" si="15"/>
        <v>8811.94</v>
      </c>
      <c r="T26" s="2">
        <f t="shared" si="15"/>
        <v>0</v>
      </c>
      <c r="U26" s="2">
        <f t="shared" si="15"/>
        <v>32.569920000000003</v>
      </c>
      <c r="V26" s="2">
        <f t="shared" si="15"/>
        <v>0.26440000000000002</v>
      </c>
      <c r="W26" s="2">
        <f t="shared" si="15"/>
        <v>0</v>
      </c>
      <c r="X26" s="2">
        <f t="shared" si="15"/>
        <v>8528.56</v>
      </c>
      <c r="Y26" s="2">
        <f t="shared" si="15"/>
        <v>4646.3599999999997</v>
      </c>
      <c r="Z26" s="2">
        <f t="shared" si="15"/>
        <v>0</v>
      </c>
      <c r="AA26" s="2">
        <f t="shared" si="15"/>
        <v>0</v>
      </c>
      <c r="AB26" s="2">
        <f t="shared" si="15"/>
        <v>8935.2999999999993</v>
      </c>
      <c r="AC26" s="2">
        <f t="shared" si="15"/>
        <v>0</v>
      </c>
      <c r="AD26" s="2">
        <f t="shared" si="15"/>
        <v>123.36</v>
      </c>
      <c r="AE26" s="2">
        <f t="shared" si="15"/>
        <v>119.93</v>
      </c>
      <c r="AF26" s="2">
        <f t="shared" si="15"/>
        <v>8811.94</v>
      </c>
      <c r="AG26" s="2">
        <f t="shared" si="15"/>
        <v>0</v>
      </c>
      <c r="AH26" s="2">
        <f t="shared" si="15"/>
        <v>32.569920000000003</v>
      </c>
      <c r="AI26" s="2">
        <f t="shared" si="15"/>
        <v>0.26440000000000002</v>
      </c>
      <c r="AJ26" s="2">
        <f t="shared" si="15"/>
        <v>0</v>
      </c>
      <c r="AK26" s="2">
        <f t="shared" si="15"/>
        <v>8528.56</v>
      </c>
      <c r="AL26" s="2">
        <f t="shared" si="15"/>
        <v>4646.3599999999997</v>
      </c>
      <c r="AM26" s="2">
        <f t="shared" si="15"/>
        <v>0</v>
      </c>
      <c r="AN26" s="2">
        <f t="shared" si="15"/>
        <v>0</v>
      </c>
      <c r="AO26" s="2">
        <f t="shared" si="15"/>
        <v>0</v>
      </c>
      <c r="AP26" s="2">
        <f t="shared" si="15"/>
        <v>0</v>
      </c>
      <c r="AQ26" s="2">
        <f t="shared" si="15"/>
        <v>0</v>
      </c>
      <c r="AR26" s="2">
        <f t="shared" si="15"/>
        <v>22110.22</v>
      </c>
      <c r="AS26" s="2">
        <f t="shared" si="15"/>
        <v>22110.22</v>
      </c>
      <c r="AT26" s="2">
        <f t="shared" si="15"/>
        <v>0</v>
      </c>
      <c r="AU26" s="2">
        <f t="shared" ref="AU26:BZ26" si="16">AU35</f>
        <v>0</v>
      </c>
      <c r="AV26" s="2">
        <f t="shared" si="16"/>
        <v>0</v>
      </c>
      <c r="AW26" s="2">
        <f t="shared" si="16"/>
        <v>0</v>
      </c>
      <c r="AX26" s="2">
        <f t="shared" si="16"/>
        <v>0</v>
      </c>
      <c r="AY26" s="2">
        <f t="shared" si="16"/>
        <v>0</v>
      </c>
      <c r="AZ26" s="2">
        <f t="shared" si="16"/>
        <v>0</v>
      </c>
      <c r="BA26" s="2">
        <f t="shared" si="16"/>
        <v>0</v>
      </c>
      <c r="BB26" s="2">
        <f t="shared" si="16"/>
        <v>0</v>
      </c>
      <c r="BC26" s="2">
        <f t="shared" si="16"/>
        <v>0</v>
      </c>
      <c r="BD26" s="2">
        <f t="shared" si="16"/>
        <v>0</v>
      </c>
      <c r="BE26" s="2">
        <f t="shared" si="16"/>
        <v>0</v>
      </c>
      <c r="BF26" s="2">
        <f t="shared" si="16"/>
        <v>0</v>
      </c>
      <c r="BG26" s="2">
        <f t="shared" si="16"/>
        <v>0</v>
      </c>
      <c r="BH26" s="2">
        <f t="shared" si="16"/>
        <v>0</v>
      </c>
      <c r="BI26" s="2">
        <f t="shared" si="16"/>
        <v>0</v>
      </c>
      <c r="BJ26" s="2">
        <f t="shared" si="16"/>
        <v>0</v>
      </c>
      <c r="BK26" s="2">
        <f t="shared" si="16"/>
        <v>0</v>
      </c>
      <c r="BL26" s="2">
        <f t="shared" si="16"/>
        <v>0</v>
      </c>
      <c r="BM26" s="2">
        <f t="shared" si="16"/>
        <v>0</v>
      </c>
      <c r="BN26" s="2">
        <f t="shared" si="16"/>
        <v>0</v>
      </c>
      <c r="BO26" s="2">
        <f t="shared" si="16"/>
        <v>0</v>
      </c>
      <c r="BP26" s="2">
        <f t="shared" si="16"/>
        <v>0</v>
      </c>
      <c r="BQ26" s="2">
        <f t="shared" si="16"/>
        <v>0</v>
      </c>
      <c r="BR26" s="2">
        <f t="shared" si="16"/>
        <v>0</v>
      </c>
      <c r="BS26" s="2">
        <f t="shared" si="16"/>
        <v>0</v>
      </c>
      <c r="BT26" s="2">
        <f t="shared" si="16"/>
        <v>0</v>
      </c>
      <c r="BU26" s="2">
        <f t="shared" si="16"/>
        <v>0</v>
      </c>
      <c r="BV26" s="2">
        <f t="shared" si="16"/>
        <v>0</v>
      </c>
      <c r="BW26" s="2">
        <f t="shared" si="16"/>
        <v>0</v>
      </c>
      <c r="BX26" s="2">
        <f t="shared" si="16"/>
        <v>0</v>
      </c>
      <c r="BY26" s="2">
        <f t="shared" si="16"/>
        <v>0</v>
      </c>
      <c r="BZ26" s="2">
        <f t="shared" si="16"/>
        <v>0</v>
      </c>
      <c r="CA26" s="2">
        <f t="shared" ref="CA26:DF26" si="17">CA35</f>
        <v>22110.22</v>
      </c>
      <c r="CB26" s="2">
        <f t="shared" si="17"/>
        <v>22110.22</v>
      </c>
      <c r="CC26" s="2">
        <f t="shared" si="17"/>
        <v>0</v>
      </c>
      <c r="CD26" s="2">
        <f t="shared" si="17"/>
        <v>0</v>
      </c>
      <c r="CE26" s="2">
        <f t="shared" si="17"/>
        <v>0</v>
      </c>
      <c r="CF26" s="2">
        <f t="shared" si="17"/>
        <v>0</v>
      </c>
      <c r="CG26" s="2">
        <f t="shared" si="17"/>
        <v>0</v>
      </c>
      <c r="CH26" s="2">
        <f t="shared" si="17"/>
        <v>0</v>
      </c>
      <c r="CI26" s="2">
        <f t="shared" si="17"/>
        <v>0</v>
      </c>
      <c r="CJ26" s="2">
        <f t="shared" si="17"/>
        <v>0</v>
      </c>
      <c r="CK26" s="2">
        <f t="shared" si="17"/>
        <v>0</v>
      </c>
      <c r="CL26" s="2">
        <f t="shared" si="17"/>
        <v>0</v>
      </c>
      <c r="CM26" s="2">
        <f t="shared" si="17"/>
        <v>0</v>
      </c>
      <c r="CN26" s="2">
        <f t="shared" si="17"/>
        <v>0</v>
      </c>
      <c r="CO26" s="2">
        <f t="shared" si="17"/>
        <v>0</v>
      </c>
      <c r="CP26" s="2">
        <f t="shared" si="17"/>
        <v>0</v>
      </c>
      <c r="CQ26" s="2">
        <f t="shared" si="17"/>
        <v>0</v>
      </c>
      <c r="CR26" s="2">
        <f t="shared" si="17"/>
        <v>0</v>
      </c>
      <c r="CS26" s="2">
        <f t="shared" si="17"/>
        <v>0</v>
      </c>
      <c r="CT26" s="2">
        <f t="shared" si="17"/>
        <v>0</v>
      </c>
      <c r="CU26" s="2">
        <f t="shared" si="17"/>
        <v>0</v>
      </c>
      <c r="CV26" s="2">
        <f t="shared" si="17"/>
        <v>0</v>
      </c>
      <c r="CW26" s="2">
        <f t="shared" si="17"/>
        <v>0</v>
      </c>
      <c r="CX26" s="2">
        <f t="shared" si="17"/>
        <v>0</v>
      </c>
      <c r="CY26" s="2">
        <f t="shared" si="17"/>
        <v>0</v>
      </c>
      <c r="CZ26" s="2">
        <f t="shared" si="17"/>
        <v>0</v>
      </c>
      <c r="DA26" s="2">
        <f t="shared" si="17"/>
        <v>0</v>
      </c>
      <c r="DB26" s="2">
        <f t="shared" si="17"/>
        <v>0</v>
      </c>
      <c r="DC26" s="2">
        <f t="shared" si="17"/>
        <v>0</v>
      </c>
      <c r="DD26" s="2">
        <f t="shared" si="17"/>
        <v>0</v>
      </c>
      <c r="DE26" s="2">
        <f t="shared" si="17"/>
        <v>0</v>
      </c>
      <c r="DF26" s="2">
        <f t="shared" si="17"/>
        <v>0</v>
      </c>
      <c r="DG26" s="3">
        <f t="shared" ref="DG26:EL26" si="18">DG35</f>
        <v>0</v>
      </c>
      <c r="DH26" s="3">
        <f t="shared" si="18"/>
        <v>0</v>
      </c>
      <c r="DI26" s="3">
        <f t="shared" si="18"/>
        <v>0</v>
      </c>
      <c r="DJ26" s="3">
        <f t="shared" si="18"/>
        <v>0</v>
      </c>
      <c r="DK26" s="3">
        <f t="shared" si="18"/>
        <v>0</v>
      </c>
      <c r="DL26" s="3">
        <f t="shared" si="18"/>
        <v>0</v>
      </c>
      <c r="DM26" s="3">
        <f t="shared" si="18"/>
        <v>0</v>
      </c>
      <c r="DN26" s="3">
        <f t="shared" si="18"/>
        <v>0</v>
      </c>
      <c r="DO26" s="3">
        <f t="shared" si="18"/>
        <v>0</v>
      </c>
      <c r="DP26" s="3">
        <f t="shared" si="18"/>
        <v>0</v>
      </c>
      <c r="DQ26" s="3">
        <f t="shared" si="18"/>
        <v>0</v>
      </c>
      <c r="DR26" s="3">
        <f t="shared" si="18"/>
        <v>0</v>
      </c>
      <c r="DS26" s="3">
        <f t="shared" si="18"/>
        <v>0</v>
      </c>
      <c r="DT26" s="3">
        <f t="shared" si="18"/>
        <v>0</v>
      </c>
      <c r="DU26" s="3">
        <f t="shared" si="18"/>
        <v>0</v>
      </c>
      <c r="DV26" s="3">
        <f t="shared" si="18"/>
        <v>0</v>
      </c>
      <c r="DW26" s="3">
        <f t="shared" si="18"/>
        <v>0</v>
      </c>
      <c r="DX26" s="3">
        <f t="shared" si="18"/>
        <v>0</v>
      </c>
      <c r="DY26" s="3">
        <f t="shared" si="18"/>
        <v>0</v>
      </c>
      <c r="DZ26" s="3">
        <f t="shared" si="18"/>
        <v>0</v>
      </c>
      <c r="EA26" s="3">
        <f t="shared" si="18"/>
        <v>0</v>
      </c>
      <c r="EB26" s="3">
        <f t="shared" si="18"/>
        <v>0</v>
      </c>
      <c r="EC26" s="3">
        <f t="shared" si="18"/>
        <v>0</v>
      </c>
      <c r="ED26" s="3">
        <f t="shared" si="18"/>
        <v>0</v>
      </c>
      <c r="EE26" s="3">
        <f t="shared" si="18"/>
        <v>0</v>
      </c>
      <c r="EF26" s="3">
        <f t="shared" si="18"/>
        <v>0</v>
      </c>
      <c r="EG26" s="3">
        <f t="shared" si="18"/>
        <v>0</v>
      </c>
      <c r="EH26" s="3">
        <f t="shared" si="18"/>
        <v>0</v>
      </c>
      <c r="EI26" s="3">
        <f t="shared" si="18"/>
        <v>0</v>
      </c>
      <c r="EJ26" s="3">
        <f t="shared" si="18"/>
        <v>0</v>
      </c>
      <c r="EK26" s="3">
        <f t="shared" si="18"/>
        <v>0</v>
      </c>
      <c r="EL26" s="3">
        <f t="shared" si="18"/>
        <v>0</v>
      </c>
      <c r="EM26" s="3">
        <f t="shared" ref="EM26:FR26" si="19">EM35</f>
        <v>0</v>
      </c>
      <c r="EN26" s="3">
        <f t="shared" si="19"/>
        <v>0</v>
      </c>
      <c r="EO26" s="3">
        <f t="shared" si="19"/>
        <v>0</v>
      </c>
      <c r="EP26" s="3">
        <f t="shared" si="19"/>
        <v>0</v>
      </c>
      <c r="EQ26" s="3">
        <f t="shared" si="19"/>
        <v>0</v>
      </c>
      <c r="ER26" s="3">
        <f t="shared" si="19"/>
        <v>0</v>
      </c>
      <c r="ES26" s="3">
        <f t="shared" si="19"/>
        <v>0</v>
      </c>
      <c r="ET26" s="3">
        <f t="shared" si="19"/>
        <v>0</v>
      </c>
      <c r="EU26" s="3">
        <f t="shared" si="19"/>
        <v>0</v>
      </c>
      <c r="EV26" s="3">
        <f t="shared" si="19"/>
        <v>0</v>
      </c>
      <c r="EW26" s="3">
        <f t="shared" si="19"/>
        <v>0</v>
      </c>
      <c r="EX26" s="3">
        <f t="shared" si="19"/>
        <v>0</v>
      </c>
      <c r="EY26" s="3">
        <f t="shared" si="19"/>
        <v>0</v>
      </c>
      <c r="EZ26" s="3">
        <f t="shared" si="19"/>
        <v>0</v>
      </c>
      <c r="FA26" s="3">
        <f t="shared" si="19"/>
        <v>0</v>
      </c>
      <c r="FB26" s="3">
        <f t="shared" si="19"/>
        <v>0</v>
      </c>
      <c r="FC26" s="3">
        <f t="shared" si="19"/>
        <v>0</v>
      </c>
      <c r="FD26" s="3">
        <f t="shared" si="19"/>
        <v>0</v>
      </c>
      <c r="FE26" s="3">
        <f t="shared" si="19"/>
        <v>0</v>
      </c>
      <c r="FF26" s="3">
        <f t="shared" si="19"/>
        <v>0</v>
      </c>
      <c r="FG26" s="3">
        <f t="shared" si="19"/>
        <v>0</v>
      </c>
      <c r="FH26" s="3">
        <f t="shared" si="19"/>
        <v>0</v>
      </c>
      <c r="FI26" s="3">
        <f t="shared" si="19"/>
        <v>0</v>
      </c>
      <c r="FJ26" s="3">
        <f t="shared" si="19"/>
        <v>0</v>
      </c>
      <c r="FK26" s="3">
        <f t="shared" si="19"/>
        <v>0</v>
      </c>
      <c r="FL26" s="3">
        <f t="shared" si="19"/>
        <v>0</v>
      </c>
      <c r="FM26" s="3">
        <f t="shared" si="19"/>
        <v>0</v>
      </c>
      <c r="FN26" s="3">
        <f t="shared" si="19"/>
        <v>0</v>
      </c>
      <c r="FO26" s="3">
        <f t="shared" si="19"/>
        <v>0</v>
      </c>
      <c r="FP26" s="3">
        <f t="shared" si="19"/>
        <v>0</v>
      </c>
      <c r="FQ26" s="3">
        <f t="shared" si="19"/>
        <v>0</v>
      </c>
      <c r="FR26" s="3">
        <f t="shared" si="19"/>
        <v>0</v>
      </c>
      <c r="FS26" s="3">
        <f t="shared" ref="FS26:GX26" si="20">FS35</f>
        <v>0</v>
      </c>
      <c r="FT26" s="3">
        <f t="shared" si="20"/>
        <v>0</v>
      </c>
      <c r="FU26" s="3">
        <f t="shared" si="20"/>
        <v>0</v>
      </c>
      <c r="FV26" s="3">
        <f t="shared" si="20"/>
        <v>0</v>
      </c>
      <c r="FW26" s="3">
        <f t="shared" si="20"/>
        <v>0</v>
      </c>
      <c r="FX26" s="3">
        <f t="shared" si="20"/>
        <v>0</v>
      </c>
      <c r="FY26" s="3">
        <f t="shared" si="20"/>
        <v>0</v>
      </c>
      <c r="FZ26" s="3">
        <f t="shared" si="20"/>
        <v>0</v>
      </c>
      <c r="GA26" s="3">
        <f t="shared" si="20"/>
        <v>0</v>
      </c>
      <c r="GB26" s="3">
        <f t="shared" si="20"/>
        <v>0</v>
      </c>
      <c r="GC26" s="3">
        <f t="shared" si="20"/>
        <v>0</v>
      </c>
      <c r="GD26" s="3">
        <f t="shared" si="20"/>
        <v>0</v>
      </c>
      <c r="GE26" s="3">
        <f t="shared" si="20"/>
        <v>0</v>
      </c>
      <c r="GF26" s="3">
        <f t="shared" si="20"/>
        <v>0</v>
      </c>
      <c r="GG26" s="3">
        <f t="shared" si="20"/>
        <v>0</v>
      </c>
      <c r="GH26" s="3">
        <f t="shared" si="20"/>
        <v>0</v>
      </c>
      <c r="GI26" s="3">
        <f t="shared" si="20"/>
        <v>0</v>
      </c>
      <c r="GJ26" s="3">
        <f t="shared" si="20"/>
        <v>0</v>
      </c>
      <c r="GK26" s="3">
        <f t="shared" si="20"/>
        <v>0</v>
      </c>
      <c r="GL26" s="3">
        <f t="shared" si="20"/>
        <v>0</v>
      </c>
      <c r="GM26" s="3">
        <f t="shared" si="20"/>
        <v>0</v>
      </c>
      <c r="GN26" s="3">
        <f t="shared" si="20"/>
        <v>0</v>
      </c>
      <c r="GO26" s="3">
        <f t="shared" si="20"/>
        <v>0</v>
      </c>
      <c r="GP26" s="3">
        <f t="shared" si="20"/>
        <v>0</v>
      </c>
      <c r="GQ26" s="3">
        <f t="shared" si="20"/>
        <v>0</v>
      </c>
      <c r="GR26" s="3">
        <f t="shared" si="20"/>
        <v>0</v>
      </c>
      <c r="GS26" s="3">
        <f t="shared" si="20"/>
        <v>0</v>
      </c>
      <c r="GT26" s="3">
        <f t="shared" si="20"/>
        <v>0</v>
      </c>
      <c r="GU26" s="3">
        <f t="shared" si="20"/>
        <v>0</v>
      </c>
      <c r="GV26" s="3">
        <f t="shared" si="20"/>
        <v>0</v>
      </c>
      <c r="GW26" s="3">
        <f t="shared" si="20"/>
        <v>0</v>
      </c>
      <c r="GX26" s="3">
        <f t="shared" si="20"/>
        <v>0</v>
      </c>
    </row>
    <row r="28" spans="1:245">
      <c r="A28">
        <v>17</v>
      </c>
      <c r="B28">
        <v>1</v>
      </c>
      <c r="C28">
        <f>ROW(SmtRes!A3)</f>
        <v>3</v>
      </c>
      <c r="D28">
        <f>ROW(EtalonRes!A3)</f>
        <v>3</v>
      </c>
      <c r="E28" t="s">
        <v>15</v>
      </c>
      <c r="F28" t="s">
        <v>16</v>
      </c>
      <c r="G28" t="s">
        <v>17</v>
      </c>
      <c r="H28" t="s">
        <v>18</v>
      </c>
      <c r="I28">
        <f>ROUND(129.8/100,9)</f>
        <v>1.298</v>
      </c>
      <c r="J28">
        <v>0</v>
      </c>
      <c r="K28">
        <f>ROUND(129.8/100,9)</f>
        <v>1.298</v>
      </c>
      <c r="O28">
        <f t="shared" ref="O28:O33" si="21">ROUND(CP28,2)</f>
        <v>2875.7</v>
      </c>
      <c r="P28">
        <f t="shared" ref="P28:P33" si="22">ROUND(CQ28*I28,2)</f>
        <v>0</v>
      </c>
      <c r="Q28">
        <f t="shared" ref="Q28:Q33" si="23">ROUND(CR28*I28,2)</f>
        <v>121.12</v>
      </c>
      <c r="R28">
        <f t="shared" ref="R28:R33" si="24">ROUND(CS28*I28,2)</f>
        <v>117.75</v>
      </c>
      <c r="S28">
        <f t="shared" ref="S28:S33" si="25">ROUND(CT28*I28,2)</f>
        <v>2754.58</v>
      </c>
      <c r="T28">
        <f t="shared" ref="T28:T33" si="26">ROUND(CU28*I28,2)</f>
        <v>0</v>
      </c>
      <c r="U28">
        <f t="shared" ref="U28:U33" si="27">CV28*I28</f>
        <v>9.4883799999999994</v>
      </c>
      <c r="V28">
        <f t="shared" ref="V28:V33" si="28">CW28*I28</f>
        <v>0.2596</v>
      </c>
      <c r="W28">
        <f t="shared" ref="W28:W33" si="29">ROUND(CX28*I28,2)</f>
        <v>0</v>
      </c>
      <c r="X28">
        <f t="shared" ref="X28:Y33" si="30">ROUND(CY28,2)</f>
        <v>2585.1</v>
      </c>
      <c r="Y28">
        <f t="shared" si="30"/>
        <v>1292.55</v>
      </c>
      <c r="AA28">
        <v>35841400</v>
      </c>
      <c r="AB28">
        <f t="shared" ref="AB28:AB33" si="31">ROUND((AC28+AD28+AF28),6)</f>
        <v>69.41</v>
      </c>
      <c r="AC28">
        <f t="shared" ref="AC28:AC33" si="32">ROUND((ES28),6)</f>
        <v>0</v>
      </c>
      <c r="AD28">
        <f t="shared" ref="AD28:AD33" si="33">ROUND((((ET28)-(EU28))+AE28),6)</f>
        <v>6.25</v>
      </c>
      <c r="AE28">
        <f t="shared" ref="AE28:AF33" si="34">ROUND((EU28),6)</f>
        <v>2.7</v>
      </c>
      <c r="AF28">
        <f t="shared" si="34"/>
        <v>63.16</v>
      </c>
      <c r="AG28">
        <f t="shared" ref="AG28:AG33" si="35">ROUND((AP28),6)</f>
        <v>0</v>
      </c>
      <c r="AH28">
        <f t="shared" ref="AH28:AI33" si="36">(EW28)</f>
        <v>7.31</v>
      </c>
      <c r="AI28">
        <f t="shared" si="36"/>
        <v>0.2</v>
      </c>
      <c r="AJ28">
        <f t="shared" ref="AJ28:AJ33" si="37">(AS28)</f>
        <v>0</v>
      </c>
      <c r="AK28">
        <v>69.41</v>
      </c>
      <c r="AL28">
        <v>0</v>
      </c>
      <c r="AM28">
        <v>6.25</v>
      </c>
      <c r="AN28">
        <v>2.7</v>
      </c>
      <c r="AO28">
        <v>63.16</v>
      </c>
      <c r="AP28">
        <v>0</v>
      </c>
      <c r="AQ28">
        <v>7.31</v>
      </c>
      <c r="AR28">
        <v>0.2</v>
      </c>
      <c r="AS28">
        <v>0</v>
      </c>
      <c r="AT28">
        <v>90</v>
      </c>
      <c r="AU28">
        <v>45</v>
      </c>
      <c r="AV28">
        <v>1</v>
      </c>
      <c r="AW28">
        <v>1</v>
      </c>
      <c r="AZ28">
        <v>1</v>
      </c>
      <c r="BA28">
        <v>33.6</v>
      </c>
      <c r="BB28">
        <v>14.93</v>
      </c>
      <c r="BC28">
        <v>1</v>
      </c>
      <c r="BD28" t="s">
        <v>3</v>
      </c>
      <c r="BE28" t="s">
        <v>3</v>
      </c>
      <c r="BF28" t="s">
        <v>3</v>
      </c>
      <c r="BG28" t="s">
        <v>3</v>
      </c>
      <c r="BH28">
        <v>0</v>
      </c>
      <c r="BI28">
        <v>1</v>
      </c>
      <c r="BJ28" t="s">
        <v>19</v>
      </c>
      <c r="BM28">
        <v>63001</v>
      </c>
      <c r="BN28">
        <v>0</v>
      </c>
      <c r="BO28" t="s">
        <v>16</v>
      </c>
      <c r="BP28">
        <v>1</v>
      </c>
      <c r="BQ28">
        <v>6</v>
      </c>
      <c r="BR28">
        <v>0</v>
      </c>
      <c r="BS28">
        <v>33.6</v>
      </c>
      <c r="BT28">
        <v>1</v>
      </c>
      <c r="BU28">
        <v>1</v>
      </c>
      <c r="BV28">
        <v>1</v>
      </c>
      <c r="BW28">
        <v>1</v>
      </c>
      <c r="BX28">
        <v>1</v>
      </c>
      <c r="BY28" t="s">
        <v>3</v>
      </c>
      <c r="BZ28">
        <v>90</v>
      </c>
      <c r="CA28">
        <v>45</v>
      </c>
      <c r="CB28" t="s">
        <v>3</v>
      </c>
      <c r="CE28">
        <v>0</v>
      </c>
      <c r="CF28">
        <v>0</v>
      </c>
      <c r="CG28">
        <v>0</v>
      </c>
      <c r="CM28">
        <v>0</v>
      </c>
      <c r="CN28" t="s">
        <v>3</v>
      </c>
      <c r="CO28">
        <v>0</v>
      </c>
      <c r="CP28">
        <f t="shared" ref="CP28:CP33" si="38">(P28+Q28+S28)</f>
        <v>2875.7</v>
      </c>
      <c r="CQ28">
        <f t="shared" ref="CQ28:CQ33" si="39">AC28*BC28</f>
        <v>0</v>
      </c>
      <c r="CR28">
        <f t="shared" ref="CR28:CR33" si="40">AD28*BB28</f>
        <v>93.3125</v>
      </c>
      <c r="CS28">
        <f t="shared" ref="CS28:CS33" si="41">AE28*BS28</f>
        <v>90.720000000000013</v>
      </c>
      <c r="CT28">
        <f t="shared" ref="CT28:CT33" si="42">AF28*BA28</f>
        <v>2122.1759999999999</v>
      </c>
      <c r="CU28">
        <f t="shared" ref="CU28:CX33" si="43">AG28</f>
        <v>0</v>
      </c>
      <c r="CV28">
        <f t="shared" si="43"/>
        <v>7.31</v>
      </c>
      <c r="CW28">
        <f t="shared" si="43"/>
        <v>0.2</v>
      </c>
      <c r="CX28">
        <f t="shared" si="43"/>
        <v>0</v>
      </c>
      <c r="CY28">
        <f t="shared" ref="CY28:CY33" si="44">(((S28+R28)*AT28)/100)</f>
        <v>2585.0969999999998</v>
      </c>
      <c r="CZ28">
        <f t="shared" ref="CZ28:CZ33" si="45">(((S28+R28)*AU28)/100)</f>
        <v>1292.5484999999999</v>
      </c>
      <c r="DC28" t="s">
        <v>3</v>
      </c>
      <c r="DD28" t="s">
        <v>3</v>
      </c>
      <c r="DE28" t="s">
        <v>3</v>
      </c>
      <c r="DF28" t="s">
        <v>3</v>
      </c>
      <c r="DG28" t="s">
        <v>3</v>
      </c>
      <c r="DH28" t="s">
        <v>3</v>
      </c>
      <c r="DI28" t="s">
        <v>3</v>
      </c>
      <c r="DJ28" t="s">
        <v>3</v>
      </c>
      <c r="DK28" t="s">
        <v>3</v>
      </c>
      <c r="DL28" t="s">
        <v>3</v>
      </c>
      <c r="DM28" t="s">
        <v>3</v>
      </c>
      <c r="DN28">
        <v>0</v>
      </c>
      <c r="DO28">
        <v>0</v>
      </c>
      <c r="DP28">
        <v>1</v>
      </c>
      <c r="DQ28">
        <v>1</v>
      </c>
      <c r="DU28">
        <v>1013</v>
      </c>
      <c r="DV28" t="s">
        <v>18</v>
      </c>
      <c r="DW28" t="s">
        <v>18</v>
      </c>
      <c r="DX28">
        <v>1</v>
      </c>
      <c r="DZ28" t="s">
        <v>3</v>
      </c>
      <c r="EA28" t="s">
        <v>3</v>
      </c>
      <c r="EB28" t="s">
        <v>3</v>
      </c>
      <c r="EC28" t="s">
        <v>3</v>
      </c>
      <c r="EE28">
        <v>36520133</v>
      </c>
      <c r="EF28">
        <v>6</v>
      </c>
      <c r="EG28" t="s">
        <v>20</v>
      </c>
      <c r="EH28">
        <v>0</v>
      </c>
      <c r="EI28" t="s">
        <v>3</v>
      </c>
      <c r="EJ28">
        <v>1</v>
      </c>
      <c r="EK28">
        <v>63001</v>
      </c>
      <c r="EL28" t="s">
        <v>21</v>
      </c>
      <c r="EM28" t="s">
        <v>22</v>
      </c>
      <c r="EO28" t="s">
        <v>3</v>
      </c>
      <c r="EQ28">
        <v>0</v>
      </c>
      <c r="ER28">
        <v>69.41</v>
      </c>
      <c r="ES28">
        <v>0</v>
      </c>
      <c r="ET28">
        <v>6.25</v>
      </c>
      <c r="EU28">
        <v>2.7</v>
      </c>
      <c r="EV28">
        <v>63.16</v>
      </c>
      <c r="EW28">
        <v>7.31</v>
      </c>
      <c r="EX28">
        <v>0.2</v>
      </c>
      <c r="EY28">
        <v>0</v>
      </c>
      <c r="FQ28">
        <v>0</v>
      </c>
      <c r="FR28">
        <f t="shared" ref="FR28:FR33" si="46">ROUND(IF(AND(BH28=3,BI28=3),P28,0),2)</f>
        <v>0</v>
      </c>
      <c r="FS28">
        <v>0</v>
      </c>
      <c r="FX28">
        <v>90</v>
      </c>
      <c r="FY28">
        <v>45</v>
      </c>
      <c r="GA28" t="s">
        <v>3</v>
      </c>
      <c r="GD28">
        <v>1</v>
      </c>
      <c r="GF28">
        <v>1104646865</v>
      </c>
      <c r="GG28">
        <v>2</v>
      </c>
      <c r="GH28">
        <v>1</v>
      </c>
      <c r="GI28">
        <v>2</v>
      </c>
      <c r="GJ28">
        <v>0</v>
      </c>
      <c r="GK28">
        <v>0</v>
      </c>
      <c r="GL28">
        <f t="shared" ref="GL28:GL33" si="47">ROUND(IF(AND(BH28=3,BI28=3,FS28&lt;&gt;0),P28,0),2)</f>
        <v>0</v>
      </c>
      <c r="GM28">
        <f t="shared" ref="GM28:GM33" si="48">ROUND(O28+X28+Y28,2)+GX28</f>
        <v>6753.35</v>
      </c>
      <c r="GN28">
        <f t="shared" ref="GN28:GN33" si="49">IF(OR(BI28=0,BI28=1),ROUND(O28+X28+Y28,2),0)</f>
        <v>6753.35</v>
      </c>
      <c r="GO28">
        <f t="shared" ref="GO28:GO33" si="50">IF(BI28=2,ROUND(O28+X28+Y28,2),0)</f>
        <v>0</v>
      </c>
      <c r="GP28">
        <f t="shared" ref="GP28:GP33" si="51">IF(BI28=4,ROUND(O28+X28+Y28,2)+GX28,0)</f>
        <v>0</v>
      </c>
      <c r="GR28">
        <v>0</v>
      </c>
      <c r="GS28">
        <v>3</v>
      </c>
      <c r="GT28">
        <v>0</v>
      </c>
      <c r="GU28" t="s">
        <v>3</v>
      </c>
      <c r="GV28">
        <f t="shared" ref="GV28:GV33" si="52">ROUND((GT28),6)</f>
        <v>0</v>
      </c>
      <c r="GW28">
        <v>1</v>
      </c>
      <c r="GX28">
        <f t="shared" ref="GX28:GX33" si="53">ROUND(HC28*I28,2)</f>
        <v>0</v>
      </c>
      <c r="HA28">
        <v>0</v>
      </c>
      <c r="HB28">
        <v>0</v>
      </c>
      <c r="HC28">
        <f t="shared" ref="HC28:HC33" si="54">GV28*GW28</f>
        <v>0</v>
      </c>
      <c r="HE28" t="s">
        <v>3</v>
      </c>
      <c r="HF28" t="s">
        <v>3</v>
      </c>
      <c r="HM28" t="s">
        <v>3</v>
      </c>
      <c r="HN28" t="s">
        <v>3</v>
      </c>
      <c r="HO28" t="s">
        <v>3</v>
      </c>
      <c r="HP28" t="s">
        <v>3</v>
      </c>
      <c r="HQ28" t="s">
        <v>3</v>
      </c>
      <c r="IK28">
        <v>0</v>
      </c>
    </row>
    <row r="29" spans="1:245">
      <c r="A29">
        <v>17</v>
      </c>
      <c r="B29">
        <v>1</v>
      </c>
      <c r="C29">
        <f>ROW(SmtRes!A4)</f>
        <v>4</v>
      </c>
      <c r="D29">
        <f>ROW(EtalonRes!A4)</f>
        <v>4</v>
      </c>
      <c r="E29" t="s">
        <v>23</v>
      </c>
      <c r="F29" t="s">
        <v>24</v>
      </c>
      <c r="G29" t="s">
        <v>25</v>
      </c>
      <c r="H29" t="s">
        <v>26</v>
      </c>
      <c r="I29">
        <f>ROUND(64.9/100,9)</f>
        <v>0.64900000000000002</v>
      </c>
      <c r="J29">
        <v>0</v>
      </c>
      <c r="K29">
        <f>ROUND(64.9/100,9)</f>
        <v>0.64900000000000002</v>
      </c>
      <c r="O29">
        <f t="shared" si="21"/>
        <v>3881.54</v>
      </c>
      <c r="P29">
        <f t="shared" si="22"/>
        <v>0</v>
      </c>
      <c r="Q29">
        <f t="shared" si="23"/>
        <v>0</v>
      </c>
      <c r="R29">
        <f t="shared" si="24"/>
        <v>0</v>
      </c>
      <c r="S29">
        <f t="shared" si="25"/>
        <v>3881.54</v>
      </c>
      <c r="T29">
        <f t="shared" si="26"/>
        <v>0</v>
      </c>
      <c r="U29">
        <f t="shared" si="27"/>
        <v>14.810180000000001</v>
      </c>
      <c r="V29">
        <f t="shared" si="28"/>
        <v>0</v>
      </c>
      <c r="W29">
        <f t="shared" si="29"/>
        <v>0</v>
      </c>
      <c r="X29">
        <f t="shared" si="30"/>
        <v>3997.99</v>
      </c>
      <c r="Y29">
        <f t="shared" si="30"/>
        <v>2290.11</v>
      </c>
      <c r="AA29">
        <v>35841400</v>
      </c>
      <c r="AB29">
        <f t="shared" si="31"/>
        <v>178</v>
      </c>
      <c r="AC29">
        <f t="shared" si="32"/>
        <v>0</v>
      </c>
      <c r="AD29">
        <f t="shared" si="33"/>
        <v>0</v>
      </c>
      <c r="AE29">
        <f t="shared" si="34"/>
        <v>0</v>
      </c>
      <c r="AF29">
        <f t="shared" si="34"/>
        <v>178</v>
      </c>
      <c r="AG29">
        <f t="shared" si="35"/>
        <v>0</v>
      </c>
      <c r="AH29">
        <f t="shared" si="36"/>
        <v>22.82</v>
      </c>
      <c r="AI29">
        <f t="shared" si="36"/>
        <v>0</v>
      </c>
      <c r="AJ29">
        <f t="shared" si="37"/>
        <v>0</v>
      </c>
      <c r="AK29">
        <v>178</v>
      </c>
      <c r="AL29">
        <v>0</v>
      </c>
      <c r="AM29">
        <v>0</v>
      </c>
      <c r="AN29">
        <v>0</v>
      </c>
      <c r="AO29">
        <v>178</v>
      </c>
      <c r="AP29">
        <v>0</v>
      </c>
      <c r="AQ29">
        <v>22.82</v>
      </c>
      <c r="AR29">
        <v>0</v>
      </c>
      <c r="AS29">
        <v>0</v>
      </c>
      <c r="AT29">
        <v>103</v>
      </c>
      <c r="AU29">
        <v>59</v>
      </c>
      <c r="AV29">
        <v>1</v>
      </c>
      <c r="AW29">
        <v>1</v>
      </c>
      <c r="AZ29">
        <v>1</v>
      </c>
      <c r="BA29">
        <v>33.6</v>
      </c>
      <c r="BB29">
        <v>1</v>
      </c>
      <c r="BC29">
        <v>1</v>
      </c>
      <c r="BD29" t="s">
        <v>3</v>
      </c>
      <c r="BE29" t="s">
        <v>3</v>
      </c>
      <c r="BF29" t="s">
        <v>3</v>
      </c>
      <c r="BG29" t="s">
        <v>3</v>
      </c>
      <c r="BH29">
        <v>0</v>
      </c>
      <c r="BI29">
        <v>1</v>
      </c>
      <c r="BJ29" t="s">
        <v>27</v>
      </c>
      <c r="BM29">
        <v>46001</v>
      </c>
      <c r="BN29">
        <v>0</v>
      </c>
      <c r="BO29" t="s">
        <v>24</v>
      </c>
      <c r="BP29">
        <v>1</v>
      </c>
      <c r="BQ29">
        <v>2</v>
      </c>
      <c r="BR29">
        <v>0</v>
      </c>
      <c r="BS29">
        <v>33.6</v>
      </c>
      <c r="BT29">
        <v>1</v>
      </c>
      <c r="BU29">
        <v>1</v>
      </c>
      <c r="BV29">
        <v>1</v>
      </c>
      <c r="BW29">
        <v>1</v>
      </c>
      <c r="BX29">
        <v>1</v>
      </c>
      <c r="BY29" t="s">
        <v>3</v>
      </c>
      <c r="BZ29">
        <v>103</v>
      </c>
      <c r="CA29">
        <v>59</v>
      </c>
      <c r="CB29" t="s">
        <v>3</v>
      </c>
      <c r="CE29">
        <v>0</v>
      </c>
      <c r="CF29">
        <v>0</v>
      </c>
      <c r="CG29">
        <v>0</v>
      </c>
      <c r="CM29">
        <v>0</v>
      </c>
      <c r="CN29" t="s">
        <v>3</v>
      </c>
      <c r="CO29">
        <v>0</v>
      </c>
      <c r="CP29">
        <f t="shared" si="38"/>
        <v>3881.54</v>
      </c>
      <c r="CQ29">
        <f t="shared" si="39"/>
        <v>0</v>
      </c>
      <c r="CR29">
        <f t="shared" si="40"/>
        <v>0</v>
      </c>
      <c r="CS29">
        <f t="shared" si="41"/>
        <v>0</v>
      </c>
      <c r="CT29">
        <f t="shared" si="42"/>
        <v>5980.8</v>
      </c>
      <c r="CU29">
        <f t="shared" si="43"/>
        <v>0</v>
      </c>
      <c r="CV29">
        <f t="shared" si="43"/>
        <v>22.82</v>
      </c>
      <c r="CW29">
        <f t="shared" si="43"/>
        <v>0</v>
      </c>
      <c r="CX29">
        <f t="shared" si="43"/>
        <v>0</v>
      </c>
      <c r="CY29">
        <f t="shared" si="44"/>
        <v>3997.9861999999998</v>
      </c>
      <c r="CZ29">
        <f t="shared" si="45"/>
        <v>2290.1086</v>
      </c>
      <c r="DC29" t="s">
        <v>3</v>
      </c>
      <c r="DD29" t="s">
        <v>3</v>
      </c>
      <c r="DE29" t="s">
        <v>3</v>
      </c>
      <c r="DF29" t="s">
        <v>3</v>
      </c>
      <c r="DG29" t="s">
        <v>3</v>
      </c>
      <c r="DH29" t="s">
        <v>3</v>
      </c>
      <c r="DI29" t="s">
        <v>3</v>
      </c>
      <c r="DJ29" t="s">
        <v>3</v>
      </c>
      <c r="DK29" t="s">
        <v>3</v>
      </c>
      <c r="DL29" t="s">
        <v>3</v>
      </c>
      <c r="DM29" t="s">
        <v>3</v>
      </c>
      <c r="DN29">
        <v>0</v>
      </c>
      <c r="DO29">
        <v>0</v>
      </c>
      <c r="DP29">
        <v>1</v>
      </c>
      <c r="DQ29">
        <v>1</v>
      </c>
      <c r="DU29">
        <v>1005</v>
      </c>
      <c r="DV29" t="s">
        <v>26</v>
      </c>
      <c r="DW29" t="s">
        <v>26</v>
      </c>
      <c r="DX29">
        <v>100</v>
      </c>
      <c r="DZ29" t="s">
        <v>3</v>
      </c>
      <c r="EA29" t="s">
        <v>3</v>
      </c>
      <c r="EB29" t="s">
        <v>3</v>
      </c>
      <c r="EC29" t="s">
        <v>3</v>
      </c>
      <c r="EE29">
        <v>36520116</v>
      </c>
      <c r="EF29">
        <v>2</v>
      </c>
      <c r="EG29" t="s">
        <v>28</v>
      </c>
      <c r="EH29">
        <v>0</v>
      </c>
      <c r="EI29" t="s">
        <v>3</v>
      </c>
      <c r="EJ29">
        <v>1</v>
      </c>
      <c r="EK29">
        <v>46001</v>
      </c>
      <c r="EL29" t="s">
        <v>29</v>
      </c>
      <c r="EM29" t="s">
        <v>30</v>
      </c>
      <c r="EO29" t="s">
        <v>3</v>
      </c>
      <c r="EQ29">
        <v>0</v>
      </c>
      <c r="ER29">
        <v>178</v>
      </c>
      <c r="ES29">
        <v>0</v>
      </c>
      <c r="ET29">
        <v>0</v>
      </c>
      <c r="EU29">
        <v>0</v>
      </c>
      <c r="EV29">
        <v>178</v>
      </c>
      <c r="EW29">
        <v>22.82</v>
      </c>
      <c r="EX29">
        <v>0</v>
      </c>
      <c r="EY29">
        <v>0</v>
      </c>
      <c r="FQ29">
        <v>0</v>
      </c>
      <c r="FR29">
        <f t="shared" si="46"/>
        <v>0</v>
      </c>
      <c r="FS29">
        <v>0</v>
      </c>
      <c r="FX29">
        <v>103</v>
      </c>
      <c r="FY29">
        <v>59</v>
      </c>
      <c r="GA29" t="s">
        <v>3</v>
      </c>
      <c r="GD29">
        <v>1</v>
      </c>
      <c r="GF29">
        <v>-235003509</v>
      </c>
      <c r="GG29">
        <v>2</v>
      </c>
      <c r="GH29">
        <v>1</v>
      </c>
      <c r="GI29">
        <v>2</v>
      </c>
      <c r="GJ29">
        <v>0</v>
      </c>
      <c r="GK29">
        <v>0</v>
      </c>
      <c r="GL29">
        <f t="shared" si="47"/>
        <v>0</v>
      </c>
      <c r="GM29">
        <f t="shared" si="48"/>
        <v>10169.64</v>
      </c>
      <c r="GN29">
        <f t="shared" si="49"/>
        <v>10169.64</v>
      </c>
      <c r="GO29">
        <f t="shared" si="50"/>
        <v>0</v>
      </c>
      <c r="GP29">
        <f t="shared" si="51"/>
        <v>0</v>
      </c>
      <c r="GR29">
        <v>0</v>
      </c>
      <c r="GS29">
        <v>3</v>
      </c>
      <c r="GT29">
        <v>0</v>
      </c>
      <c r="GU29" t="s">
        <v>3</v>
      </c>
      <c r="GV29">
        <f t="shared" si="52"/>
        <v>0</v>
      </c>
      <c r="GW29">
        <v>1</v>
      </c>
      <c r="GX29">
        <f t="shared" si="53"/>
        <v>0</v>
      </c>
      <c r="HA29">
        <v>0</v>
      </c>
      <c r="HB29">
        <v>0</v>
      </c>
      <c r="HC29">
        <f t="shared" si="54"/>
        <v>0</v>
      </c>
      <c r="HE29" t="s">
        <v>3</v>
      </c>
      <c r="HF29" t="s">
        <v>3</v>
      </c>
      <c r="HM29" t="s">
        <v>3</v>
      </c>
      <c r="HN29" t="s">
        <v>3</v>
      </c>
      <c r="HO29" t="s">
        <v>3</v>
      </c>
      <c r="HP29" t="s">
        <v>3</v>
      </c>
      <c r="HQ29" t="s">
        <v>3</v>
      </c>
      <c r="IK29">
        <v>0</v>
      </c>
    </row>
    <row r="30" spans="1:245">
      <c r="A30">
        <v>17</v>
      </c>
      <c r="B30">
        <v>1</v>
      </c>
      <c r="C30">
        <f>ROW(SmtRes!A6)</f>
        <v>6</v>
      </c>
      <c r="D30">
        <f>ROW(EtalonRes!A6)</f>
        <v>6</v>
      </c>
      <c r="E30" t="s">
        <v>31</v>
      </c>
      <c r="F30" t="s">
        <v>32</v>
      </c>
      <c r="G30" t="s">
        <v>33</v>
      </c>
      <c r="H30" t="s">
        <v>34</v>
      </c>
      <c r="I30">
        <f>ROUND(90.8/100,9)</f>
        <v>0.90800000000000003</v>
      </c>
      <c r="J30">
        <v>0</v>
      </c>
      <c r="K30">
        <f>ROUND(90.8/100,9)</f>
        <v>0.90800000000000003</v>
      </c>
      <c r="O30">
        <f t="shared" si="21"/>
        <v>1825.34</v>
      </c>
      <c r="P30">
        <f t="shared" si="22"/>
        <v>0</v>
      </c>
      <c r="Q30">
        <f t="shared" si="23"/>
        <v>0</v>
      </c>
      <c r="R30">
        <f t="shared" si="24"/>
        <v>0</v>
      </c>
      <c r="S30">
        <f t="shared" si="25"/>
        <v>1825.34</v>
      </c>
      <c r="T30">
        <f t="shared" si="26"/>
        <v>0</v>
      </c>
      <c r="U30">
        <f t="shared" si="27"/>
        <v>6.9643600000000001</v>
      </c>
      <c r="V30">
        <f t="shared" si="28"/>
        <v>0</v>
      </c>
      <c r="W30">
        <f t="shared" si="29"/>
        <v>0</v>
      </c>
      <c r="X30">
        <f t="shared" si="30"/>
        <v>1624.55</v>
      </c>
      <c r="Y30">
        <f t="shared" si="30"/>
        <v>894.42</v>
      </c>
      <c r="AA30">
        <v>35841400</v>
      </c>
      <c r="AB30">
        <f t="shared" si="31"/>
        <v>59.83</v>
      </c>
      <c r="AC30">
        <f t="shared" si="32"/>
        <v>0</v>
      </c>
      <c r="AD30">
        <f t="shared" si="33"/>
        <v>0</v>
      </c>
      <c r="AE30">
        <f t="shared" si="34"/>
        <v>0</v>
      </c>
      <c r="AF30">
        <f t="shared" si="34"/>
        <v>59.83</v>
      </c>
      <c r="AG30">
        <f t="shared" si="35"/>
        <v>0</v>
      </c>
      <c r="AH30">
        <f t="shared" si="36"/>
        <v>7.67</v>
      </c>
      <c r="AI30">
        <f t="shared" si="36"/>
        <v>0</v>
      </c>
      <c r="AJ30">
        <f t="shared" si="37"/>
        <v>0</v>
      </c>
      <c r="AK30">
        <v>59.83</v>
      </c>
      <c r="AL30">
        <v>0</v>
      </c>
      <c r="AM30">
        <v>0</v>
      </c>
      <c r="AN30">
        <v>0</v>
      </c>
      <c r="AO30">
        <v>59.83</v>
      </c>
      <c r="AP30">
        <v>0</v>
      </c>
      <c r="AQ30">
        <v>7.67</v>
      </c>
      <c r="AR30">
        <v>0</v>
      </c>
      <c r="AS30">
        <v>0</v>
      </c>
      <c r="AT30">
        <v>89</v>
      </c>
      <c r="AU30">
        <v>49</v>
      </c>
      <c r="AV30">
        <v>1</v>
      </c>
      <c r="AW30">
        <v>1</v>
      </c>
      <c r="AZ30">
        <v>1</v>
      </c>
      <c r="BA30">
        <v>33.6</v>
      </c>
      <c r="BB30">
        <v>1</v>
      </c>
      <c r="BC30">
        <v>1</v>
      </c>
      <c r="BD30" t="s">
        <v>3</v>
      </c>
      <c r="BE30" t="s">
        <v>3</v>
      </c>
      <c r="BF30" t="s">
        <v>3</v>
      </c>
      <c r="BG30" t="s">
        <v>3</v>
      </c>
      <c r="BH30">
        <v>0</v>
      </c>
      <c r="BI30">
        <v>1</v>
      </c>
      <c r="BJ30" t="s">
        <v>35</v>
      </c>
      <c r="BM30">
        <v>57001</v>
      </c>
      <c r="BN30">
        <v>0</v>
      </c>
      <c r="BO30" t="s">
        <v>32</v>
      </c>
      <c r="BP30">
        <v>1</v>
      </c>
      <c r="BQ30">
        <v>6</v>
      </c>
      <c r="BR30">
        <v>0</v>
      </c>
      <c r="BS30">
        <v>33.6</v>
      </c>
      <c r="BT30">
        <v>1</v>
      </c>
      <c r="BU30">
        <v>1</v>
      </c>
      <c r="BV30">
        <v>1</v>
      </c>
      <c r="BW30">
        <v>1</v>
      </c>
      <c r="BX30">
        <v>1</v>
      </c>
      <c r="BY30" t="s">
        <v>3</v>
      </c>
      <c r="BZ30">
        <v>89</v>
      </c>
      <c r="CA30">
        <v>49</v>
      </c>
      <c r="CB30" t="s">
        <v>3</v>
      </c>
      <c r="CE30">
        <v>0</v>
      </c>
      <c r="CF30">
        <v>0</v>
      </c>
      <c r="CG30">
        <v>0</v>
      </c>
      <c r="CM30">
        <v>0</v>
      </c>
      <c r="CN30" t="s">
        <v>3</v>
      </c>
      <c r="CO30">
        <v>0</v>
      </c>
      <c r="CP30">
        <f t="shared" si="38"/>
        <v>1825.34</v>
      </c>
      <c r="CQ30">
        <f t="shared" si="39"/>
        <v>0</v>
      </c>
      <c r="CR30">
        <f t="shared" si="40"/>
        <v>0</v>
      </c>
      <c r="CS30">
        <f t="shared" si="41"/>
        <v>0</v>
      </c>
      <c r="CT30">
        <f t="shared" si="42"/>
        <v>2010.288</v>
      </c>
      <c r="CU30">
        <f t="shared" si="43"/>
        <v>0</v>
      </c>
      <c r="CV30">
        <f t="shared" si="43"/>
        <v>7.67</v>
      </c>
      <c r="CW30">
        <f t="shared" si="43"/>
        <v>0</v>
      </c>
      <c r="CX30">
        <f t="shared" si="43"/>
        <v>0</v>
      </c>
      <c r="CY30">
        <f t="shared" si="44"/>
        <v>1624.5525999999998</v>
      </c>
      <c r="CZ30">
        <f t="shared" si="45"/>
        <v>894.4165999999999</v>
      </c>
      <c r="DC30" t="s">
        <v>3</v>
      </c>
      <c r="DD30" t="s">
        <v>3</v>
      </c>
      <c r="DE30" t="s">
        <v>3</v>
      </c>
      <c r="DF30" t="s">
        <v>3</v>
      </c>
      <c r="DG30" t="s">
        <v>3</v>
      </c>
      <c r="DH30" t="s">
        <v>3</v>
      </c>
      <c r="DI30" t="s">
        <v>3</v>
      </c>
      <c r="DJ30" t="s">
        <v>3</v>
      </c>
      <c r="DK30" t="s">
        <v>3</v>
      </c>
      <c r="DL30" t="s">
        <v>3</v>
      </c>
      <c r="DM30" t="s">
        <v>3</v>
      </c>
      <c r="DN30">
        <v>0</v>
      </c>
      <c r="DO30">
        <v>0</v>
      </c>
      <c r="DP30">
        <v>1</v>
      </c>
      <c r="DQ30">
        <v>1</v>
      </c>
      <c r="DU30">
        <v>1013</v>
      </c>
      <c r="DV30" t="s">
        <v>34</v>
      </c>
      <c r="DW30" t="s">
        <v>34</v>
      </c>
      <c r="DX30">
        <v>1</v>
      </c>
      <c r="DZ30" t="s">
        <v>3</v>
      </c>
      <c r="EA30" t="s">
        <v>3</v>
      </c>
      <c r="EB30" t="s">
        <v>3</v>
      </c>
      <c r="EC30" t="s">
        <v>3</v>
      </c>
      <c r="EE30">
        <v>36520127</v>
      </c>
      <c r="EF30">
        <v>6</v>
      </c>
      <c r="EG30" t="s">
        <v>20</v>
      </c>
      <c r="EH30">
        <v>0</v>
      </c>
      <c r="EI30" t="s">
        <v>3</v>
      </c>
      <c r="EJ30">
        <v>1</v>
      </c>
      <c r="EK30">
        <v>57001</v>
      </c>
      <c r="EL30" t="s">
        <v>36</v>
      </c>
      <c r="EM30" t="s">
        <v>37</v>
      </c>
      <c r="EO30" t="s">
        <v>3</v>
      </c>
      <c r="EQ30">
        <v>0</v>
      </c>
      <c r="ER30">
        <v>59.83</v>
      </c>
      <c r="ES30">
        <v>0</v>
      </c>
      <c r="ET30">
        <v>0</v>
      </c>
      <c r="EU30">
        <v>0</v>
      </c>
      <c r="EV30">
        <v>59.83</v>
      </c>
      <c r="EW30">
        <v>7.67</v>
      </c>
      <c r="EX30">
        <v>0</v>
      </c>
      <c r="EY30">
        <v>0</v>
      </c>
      <c r="FQ30">
        <v>0</v>
      </c>
      <c r="FR30">
        <f t="shared" si="46"/>
        <v>0</v>
      </c>
      <c r="FS30">
        <v>0</v>
      </c>
      <c r="FX30">
        <v>89</v>
      </c>
      <c r="FY30">
        <v>49</v>
      </c>
      <c r="GA30" t="s">
        <v>3</v>
      </c>
      <c r="GD30">
        <v>1</v>
      </c>
      <c r="GF30">
        <v>1095792533</v>
      </c>
      <c r="GG30">
        <v>2</v>
      </c>
      <c r="GH30">
        <v>2</v>
      </c>
      <c r="GI30">
        <v>2</v>
      </c>
      <c r="GJ30">
        <v>0</v>
      </c>
      <c r="GK30">
        <v>0</v>
      </c>
      <c r="GL30">
        <f t="shared" si="47"/>
        <v>0</v>
      </c>
      <c r="GM30">
        <f t="shared" si="48"/>
        <v>4344.3100000000004</v>
      </c>
      <c r="GN30">
        <f t="shared" si="49"/>
        <v>4344.3100000000004</v>
      </c>
      <c r="GO30">
        <f t="shared" si="50"/>
        <v>0</v>
      </c>
      <c r="GP30">
        <f t="shared" si="51"/>
        <v>0</v>
      </c>
      <c r="GR30">
        <v>0</v>
      </c>
      <c r="GS30">
        <v>3</v>
      </c>
      <c r="GT30">
        <v>0</v>
      </c>
      <c r="GU30" t="s">
        <v>3</v>
      </c>
      <c r="GV30">
        <f t="shared" si="52"/>
        <v>0</v>
      </c>
      <c r="GW30">
        <v>1</v>
      </c>
      <c r="GX30">
        <f t="shared" si="53"/>
        <v>0</v>
      </c>
      <c r="HA30">
        <v>0</v>
      </c>
      <c r="HB30">
        <v>0</v>
      </c>
      <c r="HC30">
        <f t="shared" si="54"/>
        <v>0</v>
      </c>
      <c r="HE30" t="s">
        <v>3</v>
      </c>
      <c r="HF30" t="s">
        <v>3</v>
      </c>
      <c r="HM30" t="s">
        <v>3</v>
      </c>
      <c r="HN30" t="s">
        <v>3</v>
      </c>
      <c r="HO30" t="s">
        <v>3</v>
      </c>
      <c r="HP30" t="s">
        <v>3</v>
      </c>
      <c r="HQ30" t="s">
        <v>3</v>
      </c>
      <c r="IK30">
        <v>0</v>
      </c>
    </row>
    <row r="31" spans="1:245">
      <c r="A31">
        <v>18</v>
      </c>
      <c r="B31">
        <v>1</v>
      </c>
      <c r="C31">
        <v>6</v>
      </c>
      <c r="E31" t="s">
        <v>38</v>
      </c>
      <c r="F31" t="s">
        <v>39</v>
      </c>
      <c r="G31" t="s">
        <v>40</v>
      </c>
      <c r="H31" t="s">
        <v>41</v>
      </c>
      <c r="I31">
        <f>I30*J31</f>
        <v>0.63560000000000005</v>
      </c>
      <c r="J31">
        <v>0.70000000000000007</v>
      </c>
      <c r="K31">
        <v>0.7</v>
      </c>
      <c r="O31">
        <f t="shared" si="21"/>
        <v>0</v>
      </c>
      <c r="P31">
        <f t="shared" si="22"/>
        <v>0</v>
      </c>
      <c r="Q31">
        <f t="shared" si="23"/>
        <v>0</v>
      </c>
      <c r="R31">
        <f t="shared" si="24"/>
        <v>0</v>
      </c>
      <c r="S31">
        <f t="shared" si="25"/>
        <v>0</v>
      </c>
      <c r="T31">
        <f t="shared" si="26"/>
        <v>0</v>
      </c>
      <c r="U31">
        <f t="shared" si="27"/>
        <v>0</v>
      </c>
      <c r="V31">
        <f t="shared" si="28"/>
        <v>0</v>
      </c>
      <c r="W31">
        <f t="shared" si="29"/>
        <v>0</v>
      </c>
      <c r="X31">
        <f t="shared" si="30"/>
        <v>0</v>
      </c>
      <c r="Y31">
        <f t="shared" si="30"/>
        <v>0</v>
      </c>
      <c r="AA31">
        <v>35841400</v>
      </c>
      <c r="AB31">
        <f t="shared" si="31"/>
        <v>0</v>
      </c>
      <c r="AC31">
        <f t="shared" si="32"/>
        <v>0</v>
      </c>
      <c r="AD31">
        <f t="shared" si="33"/>
        <v>0</v>
      </c>
      <c r="AE31">
        <f t="shared" si="34"/>
        <v>0</v>
      </c>
      <c r="AF31">
        <f t="shared" si="34"/>
        <v>0</v>
      </c>
      <c r="AG31">
        <f t="shared" si="35"/>
        <v>0</v>
      </c>
      <c r="AH31">
        <f t="shared" si="36"/>
        <v>0</v>
      </c>
      <c r="AI31">
        <f t="shared" si="36"/>
        <v>0</v>
      </c>
      <c r="AJ31">
        <f t="shared" si="37"/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89</v>
      </c>
      <c r="AU31">
        <v>49</v>
      </c>
      <c r="AV31">
        <v>1</v>
      </c>
      <c r="AW31">
        <v>1</v>
      </c>
      <c r="AZ31">
        <v>1</v>
      </c>
      <c r="BA31">
        <v>1</v>
      </c>
      <c r="BB31">
        <v>1</v>
      </c>
      <c r="BC31">
        <v>1</v>
      </c>
      <c r="BD31" t="s">
        <v>3</v>
      </c>
      <c r="BE31" t="s">
        <v>3</v>
      </c>
      <c r="BF31" t="s">
        <v>3</v>
      </c>
      <c r="BG31" t="s">
        <v>3</v>
      </c>
      <c r="BH31">
        <v>3</v>
      </c>
      <c r="BI31">
        <v>1</v>
      </c>
      <c r="BJ31" t="s">
        <v>42</v>
      </c>
      <c r="BM31">
        <v>57001</v>
      </c>
      <c r="BN31">
        <v>0</v>
      </c>
      <c r="BO31" t="s">
        <v>3</v>
      </c>
      <c r="BP31">
        <v>0</v>
      </c>
      <c r="BQ31">
        <v>6</v>
      </c>
      <c r="BR31">
        <v>0</v>
      </c>
      <c r="BS31">
        <v>1</v>
      </c>
      <c r="BT31">
        <v>1</v>
      </c>
      <c r="BU31">
        <v>1</v>
      </c>
      <c r="BV31">
        <v>1</v>
      </c>
      <c r="BW31">
        <v>1</v>
      </c>
      <c r="BX31">
        <v>1</v>
      </c>
      <c r="BY31" t="s">
        <v>3</v>
      </c>
      <c r="BZ31">
        <v>89</v>
      </c>
      <c r="CA31">
        <v>49</v>
      </c>
      <c r="CB31" t="s">
        <v>3</v>
      </c>
      <c r="CE31">
        <v>0</v>
      </c>
      <c r="CF31">
        <v>0</v>
      </c>
      <c r="CG31">
        <v>0</v>
      </c>
      <c r="CM31">
        <v>0</v>
      </c>
      <c r="CN31" t="s">
        <v>3</v>
      </c>
      <c r="CO31">
        <v>0</v>
      </c>
      <c r="CP31">
        <f t="shared" si="38"/>
        <v>0</v>
      </c>
      <c r="CQ31">
        <f t="shared" si="39"/>
        <v>0</v>
      </c>
      <c r="CR31">
        <f t="shared" si="40"/>
        <v>0</v>
      </c>
      <c r="CS31">
        <f t="shared" si="41"/>
        <v>0</v>
      </c>
      <c r="CT31">
        <f t="shared" si="42"/>
        <v>0</v>
      </c>
      <c r="CU31">
        <f t="shared" si="43"/>
        <v>0</v>
      </c>
      <c r="CV31">
        <f t="shared" si="43"/>
        <v>0</v>
      </c>
      <c r="CW31">
        <f t="shared" si="43"/>
        <v>0</v>
      </c>
      <c r="CX31">
        <f t="shared" si="43"/>
        <v>0</v>
      </c>
      <c r="CY31">
        <f t="shared" si="44"/>
        <v>0</v>
      </c>
      <c r="CZ31">
        <f t="shared" si="45"/>
        <v>0</v>
      </c>
      <c r="DC31" t="s">
        <v>3</v>
      </c>
      <c r="DD31" t="s">
        <v>3</v>
      </c>
      <c r="DE31" t="s">
        <v>3</v>
      </c>
      <c r="DF31" t="s">
        <v>3</v>
      </c>
      <c r="DG31" t="s">
        <v>3</v>
      </c>
      <c r="DH31" t="s">
        <v>3</v>
      </c>
      <c r="DI31" t="s">
        <v>3</v>
      </c>
      <c r="DJ31" t="s">
        <v>3</v>
      </c>
      <c r="DK31" t="s">
        <v>3</v>
      </c>
      <c r="DL31" t="s">
        <v>3</v>
      </c>
      <c r="DM31" t="s">
        <v>3</v>
      </c>
      <c r="DN31">
        <v>0</v>
      </c>
      <c r="DO31">
        <v>0</v>
      </c>
      <c r="DP31">
        <v>1</v>
      </c>
      <c r="DQ31">
        <v>1</v>
      </c>
      <c r="DU31">
        <v>1009</v>
      </c>
      <c r="DV31" t="s">
        <v>41</v>
      </c>
      <c r="DW31" t="s">
        <v>41</v>
      </c>
      <c r="DX31">
        <v>1000</v>
      </c>
      <c r="DZ31" t="s">
        <v>3</v>
      </c>
      <c r="EA31" t="s">
        <v>3</v>
      </c>
      <c r="EB31" t="s">
        <v>3</v>
      </c>
      <c r="EC31" t="s">
        <v>3</v>
      </c>
      <c r="EE31">
        <v>36520127</v>
      </c>
      <c r="EF31">
        <v>6</v>
      </c>
      <c r="EG31" t="s">
        <v>20</v>
      </c>
      <c r="EH31">
        <v>0</v>
      </c>
      <c r="EI31" t="s">
        <v>3</v>
      </c>
      <c r="EJ31">
        <v>1</v>
      </c>
      <c r="EK31">
        <v>57001</v>
      </c>
      <c r="EL31" t="s">
        <v>36</v>
      </c>
      <c r="EM31" t="s">
        <v>37</v>
      </c>
      <c r="EO31" t="s">
        <v>3</v>
      </c>
      <c r="EQ31">
        <v>0</v>
      </c>
      <c r="ER31">
        <v>0</v>
      </c>
      <c r="ES31">
        <v>0</v>
      </c>
      <c r="ET31">
        <v>0</v>
      </c>
      <c r="EU31">
        <v>0</v>
      </c>
      <c r="EV31">
        <v>0</v>
      </c>
      <c r="EW31">
        <v>0</v>
      </c>
      <c r="EX31">
        <v>0</v>
      </c>
      <c r="FQ31">
        <v>0</v>
      </c>
      <c r="FR31">
        <f t="shared" si="46"/>
        <v>0</v>
      </c>
      <c r="FS31">
        <v>0</v>
      </c>
      <c r="FX31">
        <v>89</v>
      </c>
      <c r="FY31">
        <v>49</v>
      </c>
      <c r="GA31" t="s">
        <v>3</v>
      </c>
      <c r="GD31">
        <v>1</v>
      </c>
      <c r="GF31">
        <v>-304821490</v>
      </c>
      <c r="GG31">
        <v>2</v>
      </c>
      <c r="GH31">
        <v>1</v>
      </c>
      <c r="GI31">
        <v>-2</v>
      </c>
      <c r="GJ31">
        <v>0</v>
      </c>
      <c r="GK31">
        <v>0</v>
      </c>
      <c r="GL31">
        <f t="shared" si="47"/>
        <v>0</v>
      </c>
      <c r="GM31">
        <f t="shared" si="48"/>
        <v>0</v>
      </c>
      <c r="GN31">
        <f t="shared" si="49"/>
        <v>0</v>
      </c>
      <c r="GO31">
        <f t="shared" si="50"/>
        <v>0</v>
      </c>
      <c r="GP31">
        <f t="shared" si="51"/>
        <v>0</v>
      </c>
      <c r="GR31">
        <v>0</v>
      </c>
      <c r="GS31">
        <v>3</v>
      </c>
      <c r="GT31">
        <v>0</v>
      </c>
      <c r="GU31" t="s">
        <v>3</v>
      </c>
      <c r="GV31">
        <f t="shared" si="52"/>
        <v>0</v>
      </c>
      <c r="GW31">
        <v>1</v>
      </c>
      <c r="GX31">
        <f t="shared" si="53"/>
        <v>0</v>
      </c>
      <c r="HA31">
        <v>0</v>
      </c>
      <c r="HB31">
        <v>0</v>
      </c>
      <c r="HC31">
        <f t="shared" si="54"/>
        <v>0</v>
      </c>
      <c r="HE31" t="s">
        <v>3</v>
      </c>
      <c r="HF31" t="s">
        <v>3</v>
      </c>
      <c r="HM31" t="s">
        <v>3</v>
      </c>
      <c r="HN31" t="s">
        <v>3</v>
      </c>
      <c r="HO31" t="s">
        <v>3</v>
      </c>
      <c r="HP31" t="s">
        <v>3</v>
      </c>
      <c r="HQ31" t="s">
        <v>3</v>
      </c>
      <c r="IK31">
        <v>0</v>
      </c>
    </row>
    <row r="32" spans="1:245">
      <c r="A32">
        <v>17</v>
      </c>
      <c r="B32">
        <v>1</v>
      </c>
      <c r="C32">
        <f>ROW(SmtRes!A7)</f>
        <v>7</v>
      </c>
      <c r="D32">
        <f>ROW(EtalonRes!A7)</f>
        <v>7</v>
      </c>
      <c r="E32" t="s">
        <v>43</v>
      </c>
      <c r="F32" t="s">
        <v>44</v>
      </c>
      <c r="G32" t="s">
        <v>45</v>
      </c>
      <c r="H32" t="s">
        <v>46</v>
      </c>
      <c r="I32">
        <f>ROUND(4/100,9)</f>
        <v>0.04</v>
      </c>
      <c r="J32">
        <v>0</v>
      </c>
      <c r="K32">
        <f>ROUND(4/100,9)</f>
        <v>0.04</v>
      </c>
      <c r="O32">
        <f t="shared" si="21"/>
        <v>61.22</v>
      </c>
      <c r="P32">
        <f t="shared" si="22"/>
        <v>0</v>
      </c>
      <c r="Q32">
        <f t="shared" si="23"/>
        <v>0</v>
      </c>
      <c r="R32">
        <f t="shared" si="24"/>
        <v>0</v>
      </c>
      <c r="S32">
        <f t="shared" si="25"/>
        <v>61.22</v>
      </c>
      <c r="T32">
        <f t="shared" si="26"/>
        <v>0</v>
      </c>
      <c r="U32">
        <f t="shared" si="27"/>
        <v>0.2336</v>
      </c>
      <c r="V32">
        <f t="shared" si="28"/>
        <v>0</v>
      </c>
      <c r="W32">
        <f t="shared" si="29"/>
        <v>0</v>
      </c>
      <c r="X32">
        <f t="shared" si="30"/>
        <v>55.71</v>
      </c>
      <c r="Y32">
        <f t="shared" si="30"/>
        <v>29.39</v>
      </c>
      <c r="AA32">
        <v>35841400</v>
      </c>
      <c r="AB32">
        <f t="shared" si="31"/>
        <v>45.55</v>
      </c>
      <c r="AC32">
        <f t="shared" si="32"/>
        <v>0</v>
      </c>
      <c r="AD32">
        <f t="shared" si="33"/>
        <v>0</v>
      </c>
      <c r="AE32">
        <f t="shared" si="34"/>
        <v>0</v>
      </c>
      <c r="AF32">
        <f t="shared" si="34"/>
        <v>45.55</v>
      </c>
      <c r="AG32">
        <f t="shared" si="35"/>
        <v>0</v>
      </c>
      <c r="AH32">
        <f t="shared" si="36"/>
        <v>5.84</v>
      </c>
      <c r="AI32">
        <f t="shared" si="36"/>
        <v>0</v>
      </c>
      <c r="AJ32">
        <f t="shared" si="37"/>
        <v>0</v>
      </c>
      <c r="AK32">
        <v>45.55</v>
      </c>
      <c r="AL32">
        <v>0</v>
      </c>
      <c r="AM32">
        <v>0</v>
      </c>
      <c r="AN32">
        <v>0</v>
      </c>
      <c r="AO32">
        <v>45.55</v>
      </c>
      <c r="AP32">
        <v>0</v>
      </c>
      <c r="AQ32">
        <v>5.84</v>
      </c>
      <c r="AR32">
        <v>0</v>
      </c>
      <c r="AS32">
        <v>0</v>
      </c>
      <c r="AT32">
        <v>91</v>
      </c>
      <c r="AU32">
        <v>48</v>
      </c>
      <c r="AV32">
        <v>1</v>
      </c>
      <c r="AW32">
        <v>1</v>
      </c>
      <c r="AZ32">
        <v>1</v>
      </c>
      <c r="BA32">
        <v>33.6</v>
      </c>
      <c r="BB32">
        <v>1</v>
      </c>
      <c r="BC32">
        <v>1</v>
      </c>
      <c r="BD32" t="s">
        <v>3</v>
      </c>
      <c r="BE32" t="s">
        <v>3</v>
      </c>
      <c r="BF32" t="s">
        <v>3</v>
      </c>
      <c r="BG32" t="s">
        <v>3</v>
      </c>
      <c r="BH32">
        <v>0</v>
      </c>
      <c r="BI32">
        <v>1</v>
      </c>
      <c r="BJ32" t="s">
        <v>47</v>
      </c>
      <c r="BM32">
        <v>67001</v>
      </c>
      <c r="BN32">
        <v>0</v>
      </c>
      <c r="BO32" t="s">
        <v>44</v>
      </c>
      <c r="BP32">
        <v>1</v>
      </c>
      <c r="BQ32">
        <v>6</v>
      </c>
      <c r="BR32">
        <v>0</v>
      </c>
      <c r="BS32">
        <v>33.6</v>
      </c>
      <c r="BT32">
        <v>1</v>
      </c>
      <c r="BU32">
        <v>1</v>
      </c>
      <c r="BV32">
        <v>1</v>
      </c>
      <c r="BW32">
        <v>1</v>
      </c>
      <c r="BX32">
        <v>1</v>
      </c>
      <c r="BY32" t="s">
        <v>3</v>
      </c>
      <c r="BZ32">
        <v>91</v>
      </c>
      <c r="CA32">
        <v>48</v>
      </c>
      <c r="CB32" t="s">
        <v>3</v>
      </c>
      <c r="CE32">
        <v>0</v>
      </c>
      <c r="CF32">
        <v>0</v>
      </c>
      <c r="CG32">
        <v>0</v>
      </c>
      <c r="CM32">
        <v>0</v>
      </c>
      <c r="CN32" t="s">
        <v>3</v>
      </c>
      <c r="CO32">
        <v>0</v>
      </c>
      <c r="CP32">
        <f t="shared" si="38"/>
        <v>61.22</v>
      </c>
      <c r="CQ32">
        <f t="shared" si="39"/>
        <v>0</v>
      </c>
      <c r="CR32">
        <f t="shared" si="40"/>
        <v>0</v>
      </c>
      <c r="CS32">
        <f t="shared" si="41"/>
        <v>0</v>
      </c>
      <c r="CT32">
        <f t="shared" si="42"/>
        <v>1530.48</v>
      </c>
      <c r="CU32">
        <f t="shared" si="43"/>
        <v>0</v>
      </c>
      <c r="CV32">
        <f t="shared" si="43"/>
        <v>5.84</v>
      </c>
      <c r="CW32">
        <f t="shared" si="43"/>
        <v>0</v>
      </c>
      <c r="CX32">
        <f t="shared" si="43"/>
        <v>0</v>
      </c>
      <c r="CY32">
        <f t="shared" si="44"/>
        <v>55.710199999999993</v>
      </c>
      <c r="CZ32">
        <f t="shared" si="45"/>
        <v>29.3856</v>
      </c>
      <c r="DC32" t="s">
        <v>3</v>
      </c>
      <c r="DD32" t="s">
        <v>3</v>
      </c>
      <c r="DE32" t="s">
        <v>3</v>
      </c>
      <c r="DF32" t="s">
        <v>3</v>
      </c>
      <c r="DG32" t="s">
        <v>3</v>
      </c>
      <c r="DH32" t="s">
        <v>3</v>
      </c>
      <c r="DI32" t="s">
        <v>3</v>
      </c>
      <c r="DJ32" t="s">
        <v>3</v>
      </c>
      <c r="DK32" t="s">
        <v>3</v>
      </c>
      <c r="DL32" t="s">
        <v>3</v>
      </c>
      <c r="DM32" t="s">
        <v>3</v>
      </c>
      <c r="DN32">
        <v>0</v>
      </c>
      <c r="DO32">
        <v>0</v>
      </c>
      <c r="DP32">
        <v>1</v>
      </c>
      <c r="DQ32">
        <v>1</v>
      </c>
      <c r="DU32">
        <v>1010</v>
      </c>
      <c r="DV32" t="s">
        <v>46</v>
      </c>
      <c r="DW32" t="s">
        <v>46</v>
      </c>
      <c r="DX32">
        <v>100</v>
      </c>
      <c r="DZ32" t="s">
        <v>3</v>
      </c>
      <c r="EA32" t="s">
        <v>3</v>
      </c>
      <c r="EB32" t="s">
        <v>3</v>
      </c>
      <c r="EC32" t="s">
        <v>3</v>
      </c>
      <c r="EE32">
        <v>36520174</v>
      </c>
      <c r="EF32">
        <v>6</v>
      </c>
      <c r="EG32" t="s">
        <v>20</v>
      </c>
      <c r="EH32">
        <v>0</v>
      </c>
      <c r="EI32" t="s">
        <v>3</v>
      </c>
      <c r="EJ32">
        <v>1</v>
      </c>
      <c r="EK32">
        <v>67001</v>
      </c>
      <c r="EL32" t="s">
        <v>48</v>
      </c>
      <c r="EM32" t="s">
        <v>49</v>
      </c>
      <c r="EO32" t="s">
        <v>3</v>
      </c>
      <c r="EQ32">
        <v>0</v>
      </c>
      <c r="ER32">
        <v>45.55</v>
      </c>
      <c r="ES32">
        <v>0</v>
      </c>
      <c r="ET32">
        <v>0</v>
      </c>
      <c r="EU32">
        <v>0</v>
      </c>
      <c r="EV32">
        <v>45.55</v>
      </c>
      <c r="EW32">
        <v>5.84</v>
      </c>
      <c r="EX32">
        <v>0</v>
      </c>
      <c r="EY32">
        <v>0</v>
      </c>
      <c r="FQ32">
        <v>0</v>
      </c>
      <c r="FR32">
        <f t="shared" si="46"/>
        <v>0</v>
      </c>
      <c r="FS32">
        <v>0</v>
      </c>
      <c r="FX32">
        <v>91</v>
      </c>
      <c r="FY32">
        <v>48</v>
      </c>
      <c r="GA32" t="s">
        <v>3</v>
      </c>
      <c r="GD32">
        <v>1</v>
      </c>
      <c r="GF32">
        <v>-1255865036</v>
      </c>
      <c r="GG32">
        <v>2</v>
      </c>
      <c r="GH32">
        <v>2</v>
      </c>
      <c r="GI32">
        <v>2</v>
      </c>
      <c r="GJ32">
        <v>0</v>
      </c>
      <c r="GK32">
        <v>0</v>
      </c>
      <c r="GL32">
        <f t="shared" si="47"/>
        <v>0</v>
      </c>
      <c r="GM32">
        <f t="shared" si="48"/>
        <v>146.32</v>
      </c>
      <c r="GN32">
        <f t="shared" si="49"/>
        <v>146.32</v>
      </c>
      <c r="GO32">
        <f t="shared" si="50"/>
        <v>0</v>
      </c>
      <c r="GP32">
        <f t="shared" si="51"/>
        <v>0</v>
      </c>
      <c r="GR32">
        <v>0</v>
      </c>
      <c r="GS32">
        <v>3</v>
      </c>
      <c r="GT32">
        <v>0</v>
      </c>
      <c r="GU32" t="s">
        <v>3</v>
      </c>
      <c r="GV32">
        <f t="shared" si="52"/>
        <v>0</v>
      </c>
      <c r="GW32">
        <v>1</v>
      </c>
      <c r="GX32">
        <f t="shared" si="53"/>
        <v>0</v>
      </c>
      <c r="HA32">
        <v>0</v>
      </c>
      <c r="HB32">
        <v>0</v>
      </c>
      <c r="HC32">
        <f t="shared" si="54"/>
        <v>0</v>
      </c>
      <c r="HE32" t="s">
        <v>3</v>
      </c>
      <c r="HF32" t="s">
        <v>3</v>
      </c>
      <c r="HM32" t="s">
        <v>3</v>
      </c>
      <c r="HN32" t="s">
        <v>3</v>
      </c>
      <c r="HO32" t="s">
        <v>3</v>
      </c>
      <c r="HP32" t="s">
        <v>3</v>
      </c>
      <c r="HQ32" t="s">
        <v>3</v>
      </c>
      <c r="IK32">
        <v>0</v>
      </c>
    </row>
    <row r="33" spans="1:245">
      <c r="A33">
        <v>17</v>
      </c>
      <c r="B33">
        <v>1</v>
      </c>
      <c r="C33">
        <f>ROW(SmtRes!A10)</f>
        <v>10</v>
      </c>
      <c r="D33">
        <f>ROW(EtalonRes!A10)</f>
        <v>10</v>
      </c>
      <c r="E33" t="s">
        <v>50</v>
      </c>
      <c r="F33" t="s">
        <v>51</v>
      </c>
      <c r="G33" t="s">
        <v>52</v>
      </c>
      <c r="H33" t="s">
        <v>46</v>
      </c>
      <c r="I33">
        <f>ROUND(6/100,9)</f>
        <v>0.06</v>
      </c>
      <c r="J33">
        <v>0</v>
      </c>
      <c r="K33">
        <f>ROUND(6/100,9)</f>
        <v>0.06</v>
      </c>
      <c r="O33">
        <f t="shared" si="21"/>
        <v>291.5</v>
      </c>
      <c r="P33">
        <f t="shared" si="22"/>
        <v>0</v>
      </c>
      <c r="Q33">
        <f t="shared" si="23"/>
        <v>2.2400000000000002</v>
      </c>
      <c r="R33">
        <f t="shared" si="24"/>
        <v>2.1800000000000002</v>
      </c>
      <c r="S33">
        <f t="shared" si="25"/>
        <v>289.26</v>
      </c>
      <c r="T33">
        <f t="shared" si="26"/>
        <v>0</v>
      </c>
      <c r="U33">
        <f t="shared" si="27"/>
        <v>1.0733999999999999</v>
      </c>
      <c r="V33">
        <f t="shared" si="28"/>
        <v>4.7999999999999996E-3</v>
      </c>
      <c r="W33">
        <f t="shared" si="29"/>
        <v>0</v>
      </c>
      <c r="X33">
        <f t="shared" si="30"/>
        <v>265.20999999999998</v>
      </c>
      <c r="Y33">
        <f t="shared" si="30"/>
        <v>139.88999999999999</v>
      </c>
      <c r="AA33">
        <v>35841400</v>
      </c>
      <c r="AB33">
        <f t="shared" si="31"/>
        <v>145.97999999999999</v>
      </c>
      <c r="AC33">
        <f t="shared" si="32"/>
        <v>0</v>
      </c>
      <c r="AD33">
        <f t="shared" si="33"/>
        <v>2.5</v>
      </c>
      <c r="AE33">
        <f t="shared" si="34"/>
        <v>1.08</v>
      </c>
      <c r="AF33">
        <f t="shared" si="34"/>
        <v>143.47999999999999</v>
      </c>
      <c r="AG33">
        <f t="shared" si="35"/>
        <v>0</v>
      </c>
      <c r="AH33">
        <f t="shared" si="36"/>
        <v>17.89</v>
      </c>
      <c r="AI33">
        <f t="shared" si="36"/>
        <v>0.08</v>
      </c>
      <c r="AJ33">
        <f t="shared" si="37"/>
        <v>0</v>
      </c>
      <c r="AK33">
        <v>145.97999999999999</v>
      </c>
      <c r="AL33">
        <v>0</v>
      </c>
      <c r="AM33">
        <v>2.5</v>
      </c>
      <c r="AN33">
        <v>1.08</v>
      </c>
      <c r="AO33">
        <v>143.47999999999999</v>
      </c>
      <c r="AP33">
        <v>0</v>
      </c>
      <c r="AQ33">
        <v>17.89</v>
      </c>
      <c r="AR33">
        <v>0.08</v>
      </c>
      <c r="AS33">
        <v>0</v>
      </c>
      <c r="AT33">
        <v>91</v>
      </c>
      <c r="AU33">
        <v>48</v>
      </c>
      <c r="AV33">
        <v>1</v>
      </c>
      <c r="AW33">
        <v>1</v>
      </c>
      <c r="AZ33">
        <v>1</v>
      </c>
      <c r="BA33">
        <v>33.6</v>
      </c>
      <c r="BB33">
        <v>14.94</v>
      </c>
      <c r="BC33">
        <v>1</v>
      </c>
      <c r="BD33" t="s">
        <v>3</v>
      </c>
      <c r="BE33" t="s">
        <v>3</v>
      </c>
      <c r="BF33" t="s">
        <v>3</v>
      </c>
      <c r="BG33" t="s">
        <v>3</v>
      </c>
      <c r="BH33">
        <v>0</v>
      </c>
      <c r="BI33">
        <v>1</v>
      </c>
      <c r="BJ33" t="s">
        <v>53</v>
      </c>
      <c r="BM33">
        <v>67001</v>
      </c>
      <c r="BN33">
        <v>0</v>
      </c>
      <c r="BO33" t="s">
        <v>51</v>
      </c>
      <c r="BP33">
        <v>1</v>
      </c>
      <c r="BQ33">
        <v>6</v>
      </c>
      <c r="BR33">
        <v>0</v>
      </c>
      <c r="BS33">
        <v>33.6</v>
      </c>
      <c r="BT33">
        <v>1</v>
      </c>
      <c r="BU33">
        <v>1</v>
      </c>
      <c r="BV33">
        <v>1</v>
      </c>
      <c r="BW33">
        <v>1</v>
      </c>
      <c r="BX33">
        <v>1</v>
      </c>
      <c r="BY33" t="s">
        <v>3</v>
      </c>
      <c r="BZ33">
        <v>91</v>
      </c>
      <c r="CA33">
        <v>48</v>
      </c>
      <c r="CB33" t="s">
        <v>3</v>
      </c>
      <c r="CE33">
        <v>0</v>
      </c>
      <c r="CF33">
        <v>0</v>
      </c>
      <c r="CG33">
        <v>0</v>
      </c>
      <c r="CM33">
        <v>0</v>
      </c>
      <c r="CN33" t="s">
        <v>3</v>
      </c>
      <c r="CO33">
        <v>0</v>
      </c>
      <c r="CP33">
        <f t="shared" si="38"/>
        <v>291.5</v>
      </c>
      <c r="CQ33">
        <f t="shared" si="39"/>
        <v>0</v>
      </c>
      <c r="CR33">
        <f t="shared" si="40"/>
        <v>37.35</v>
      </c>
      <c r="CS33">
        <f t="shared" si="41"/>
        <v>36.288000000000004</v>
      </c>
      <c r="CT33">
        <f t="shared" si="42"/>
        <v>4820.9279999999999</v>
      </c>
      <c r="CU33">
        <f t="shared" si="43"/>
        <v>0</v>
      </c>
      <c r="CV33">
        <f t="shared" si="43"/>
        <v>17.89</v>
      </c>
      <c r="CW33">
        <f t="shared" si="43"/>
        <v>0.08</v>
      </c>
      <c r="CX33">
        <f t="shared" si="43"/>
        <v>0</v>
      </c>
      <c r="CY33">
        <f t="shared" si="44"/>
        <v>265.21039999999999</v>
      </c>
      <c r="CZ33">
        <f t="shared" si="45"/>
        <v>139.8912</v>
      </c>
      <c r="DC33" t="s">
        <v>3</v>
      </c>
      <c r="DD33" t="s">
        <v>3</v>
      </c>
      <c r="DE33" t="s">
        <v>3</v>
      </c>
      <c r="DF33" t="s">
        <v>3</v>
      </c>
      <c r="DG33" t="s">
        <v>3</v>
      </c>
      <c r="DH33" t="s">
        <v>3</v>
      </c>
      <c r="DI33" t="s">
        <v>3</v>
      </c>
      <c r="DJ33" t="s">
        <v>3</v>
      </c>
      <c r="DK33" t="s">
        <v>3</v>
      </c>
      <c r="DL33" t="s">
        <v>3</v>
      </c>
      <c r="DM33" t="s">
        <v>3</v>
      </c>
      <c r="DN33">
        <v>0</v>
      </c>
      <c r="DO33">
        <v>0</v>
      </c>
      <c r="DP33">
        <v>1</v>
      </c>
      <c r="DQ33">
        <v>1</v>
      </c>
      <c r="DU33">
        <v>1010</v>
      </c>
      <c r="DV33" t="s">
        <v>46</v>
      </c>
      <c r="DW33" t="s">
        <v>46</v>
      </c>
      <c r="DX33">
        <v>100</v>
      </c>
      <c r="DZ33" t="s">
        <v>3</v>
      </c>
      <c r="EA33" t="s">
        <v>3</v>
      </c>
      <c r="EB33" t="s">
        <v>3</v>
      </c>
      <c r="EC33" t="s">
        <v>3</v>
      </c>
      <c r="EE33">
        <v>36520174</v>
      </c>
      <c r="EF33">
        <v>6</v>
      </c>
      <c r="EG33" t="s">
        <v>20</v>
      </c>
      <c r="EH33">
        <v>0</v>
      </c>
      <c r="EI33" t="s">
        <v>3</v>
      </c>
      <c r="EJ33">
        <v>1</v>
      </c>
      <c r="EK33">
        <v>67001</v>
      </c>
      <c r="EL33" t="s">
        <v>48</v>
      </c>
      <c r="EM33" t="s">
        <v>49</v>
      </c>
      <c r="EO33" t="s">
        <v>3</v>
      </c>
      <c r="EQ33">
        <v>0</v>
      </c>
      <c r="ER33">
        <v>145.97999999999999</v>
      </c>
      <c r="ES33">
        <v>0</v>
      </c>
      <c r="ET33">
        <v>2.5</v>
      </c>
      <c r="EU33">
        <v>1.08</v>
      </c>
      <c r="EV33">
        <v>143.47999999999999</v>
      </c>
      <c r="EW33">
        <v>17.89</v>
      </c>
      <c r="EX33">
        <v>0.08</v>
      </c>
      <c r="EY33">
        <v>0</v>
      </c>
      <c r="FQ33">
        <v>0</v>
      </c>
      <c r="FR33">
        <f t="shared" si="46"/>
        <v>0</v>
      </c>
      <c r="FS33">
        <v>0</v>
      </c>
      <c r="FX33">
        <v>91</v>
      </c>
      <c r="FY33">
        <v>48</v>
      </c>
      <c r="GA33" t="s">
        <v>3</v>
      </c>
      <c r="GD33">
        <v>1</v>
      </c>
      <c r="GF33">
        <v>1945260508</v>
      </c>
      <c r="GG33">
        <v>2</v>
      </c>
      <c r="GH33">
        <v>2</v>
      </c>
      <c r="GI33">
        <v>2</v>
      </c>
      <c r="GJ33">
        <v>0</v>
      </c>
      <c r="GK33">
        <v>0</v>
      </c>
      <c r="GL33">
        <f t="shared" si="47"/>
        <v>0</v>
      </c>
      <c r="GM33">
        <f t="shared" si="48"/>
        <v>696.6</v>
      </c>
      <c r="GN33">
        <f t="shared" si="49"/>
        <v>696.6</v>
      </c>
      <c r="GO33">
        <f t="shared" si="50"/>
        <v>0</v>
      </c>
      <c r="GP33">
        <f t="shared" si="51"/>
        <v>0</v>
      </c>
      <c r="GR33">
        <v>0</v>
      </c>
      <c r="GS33">
        <v>3</v>
      </c>
      <c r="GT33">
        <v>0</v>
      </c>
      <c r="GU33" t="s">
        <v>3</v>
      </c>
      <c r="GV33">
        <f t="shared" si="52"/>
        <v>0</v>
      </c>
      <c r="GW33">
        <v>1</v>
      </c>
      <c r="GX33">
        <f t="shared" si="53"/>
        <v>0</v>
      </c>
      <c r="HA33">
        <v>0</v>
      </c>
      <c r="HB33">
        <v>0</v>
      </c>
      <c r="HC33">
        <f t="shared" si="54"/>
        <v>0</v>
      </c>
      <c r="HE33" t="s">
        <v>3</v>
      </c>
      <c r="HF33" t="s">
        <v>3</v>
      </c>
      <c r="HM33" t="s">
        <v>3</v>
      </c>
      <c r="HN33" t="s">
        <v>3</v>
      </c>
      <c r="HO33" t="s">
        <v>3</v>
      </c>
      <c r="HP33" t="s">
        <v>3</v>
      </c>
      <c r="HQ33" t="s">
        <v>3</v>
      </c>
      <c r="IK33">
        <v>0</v>
      </c>
    </row>
    <row r="35" spans="1:245">
      <c r="A35" s="2">
        <v>51</v>
      </c>
      <c r="B35" s="2">
        <f>B24</f>
        <v>1</v>
      </c>
      <c r="C35" s="2">
        <f>A24</f>
        <v>4</v>
      </c>
      <c r="D35" s="2">
        <f>ROW(A24)</f>
        <v>24</v>
      </c>
      <c r="E35" s="2"/>
      <c r="F35" s="2" t="str">
        <f>IF(F24&lt;&gt;"",F24,"")</f>
        <v>Новый раздел</v>
      </c>
      <c r="G35" s="2" t="str">
        <f>IF(G24&lt;&gt;"",G24,"")</f>
        <v>Демонтаж</v>
      </c>
      <c r="H35" s="2">
        <v>0</v>
      </c>
      <c r="I35" s="2"/>
      <c r="J35" s="2"/>
      <c r="K35" s="2"/>
      <c r="L35" s="2"/>
      <c r="M35" s="2"/>
      <c r="N35" s="2"/>
      <c r="O35" s="2">
        <f t="shared" ref="O35:T35" si="55">ROUND(AB35,2)</f>
        <v>8935.2999999999993</v>
      </c>
      <c r="P35" s="2">
        <f t="shared" si="55"/>
        <v>0</v>
      </c>
      <c r="Q35" s="2">
        <f t="shared" si="55"/>
        <v>123.36</v>
      </c>
      <c r="R35" s="2">
        <f t="shared" si="55"/>
        <v>119.93</v>
      </c>
      <c r="S35" s="2">
        <f t="shared" si="55"/>
        <v>8811.94</v>
      </c>
      <c r="T35" s="2">
        <f t="shared" si="55"/>
        <v>0</v>
      </c>
      <c r="U35" s="2">
        <f>AH35</f>
        <v>32.569920000000003</v>
      </c>
      <c r="V35" s="2">
        <f>AI35</f>
        <v>0.26440000000000002</v>
      </c>
      <c r="W35" s="2">
        <f>ROUND(AJ35,2)</f>
        <v>0</v>
      </c>
      <c r="X35" s="2">
        <f>ROUND(AK35,2)</f>
        <v>8528.56</v>
      </c>
      <c r="Y35" s="2">
        <f>ROUND(AL35,2)</f>
        <v>4646.3599999999997</v>
      </c>
      <c r="Z35" s="2"/>
      <c r="AA35" s="2"/>
      <c r="AB35" s="2">
        <f>ROUND(SUMIF(AA28:AA33,"=35841400",O28:O33),2)</f>
        <v>8935.2999999999993</v>
      </c>
      <c r="AC35" s="2">
        <f>ROUND(SUMIF(AA28:AA33,"=35841400",P28:P33),2)</f>
        <v>0</v>
      </c>
      <c r="AD35" s="2">
        <f>ROUND(SUMIF(AA28:AA33,"=35841400",Q28:Q33),2)</f>
        <v>123.36</v>
      </c>
      <c r="AE35" s="2">
        <f>ROUND(SUMIF(AA28:AA33,"=35841400",R28:R33),2)</f>
        <v>119.93</v>
      </c>
      <c r="AF35" s="2">
        <f>ROUND(SUMIF(AA28:AA33,"=35841400",S28:S33),2)</f>
        <v>8811.94</v>
      </c>
      <c r="AG35" s="2">
        <f>ROUND(SUMIF(AA28:AA33,"=35841400",T28:T33),2)</f>
        <v>0</v>
      </c>
      <c r="AH35" s="2">
        <f>SUMIF(AA28:AA33,"=35841400",U28:U33)</f>
        <v>32.569920000000003</v>
      </c>
      <c r="AI35" s="2">
        <f>SUMIF(AA28:AA33,"=35841400",V28:V33)</f>
        <v>0.26440000000000002</v>
      </c>
      <c r="AJ35" s="2">
        <f>ROUND(SUMIF(AA28:AA33,"=35841400",W28:W33),2)</f>
        <v>0</v>
      </c>
      <c r="AK35" s="2">
        <f>ROUND(SUMIF(AA28:AA33,"=35841400",X28:X33),2)</f>
        <v>8528.56</v>
      </c>
      <c r="AL35" s="2">
        <f>ROUND(SUMIF(AA28:AA33,"=35841400",Y28:Y33),2)</f>
        <v>4646.3599999999997</v>
      </c>
      <c r="AM35" s="2"/>
      <c r="AN35" s="2"/>
      <c r="AO35" s="2">
        <f t="shared" ref="AO35:BD35" si="56">ROUND(BX35,2)</f>
        <v>0</v>
      </c>
      <c r="AP35" s="2">
        <f t="shared" si="56"/>
        <v>0</v>
      </c>
      <c r="AQ35" s="2">
        <f t="shared" si="56"/>
        <v>0</v>
      </c>
      <c r="AR35" s="2">
        <f t="shared" si="56"/>
        <v>22110.22</v>
      </c>
      <c r="AS35" s="2">
        <f t="shared" si="56"/>
        <v>22110.22</v>
      </c>
      <c r="AT35" s="2">
        <f t="shared" si="56"/>
        <v>0</v>
      </c>
      <c r="AU35" s="2">
        <f t="shared" si="56"/>
        <v>0</v>
      </c>
      <c r="AV35" s="2">
        <f t="shared" si="56"/>
        <v>0</v>
      </c>
      <c r="AW35" s="2">
        <f t="shared" si="56"/>
        <v>0</v>
      </c>
      <c r="AX35" s="2">
        <f t="shared" si="56"/>
        <v>0</v>
      </c>
      <c r="AY35" s="2">
        <f t="shared" si="56"/>
        <v>0</v>
      </c>
      <c r="AZ35" s="2">
        <f t="shared" si="56"/>
        <v>0</v>
      </c>
      <c r="BA35" s="2">
        <f t="shared" si="56"/>
        <v>0</v>
      </c>
      <c r="BB35" s="2">
        <f t="shared" si="56"/>
        <v>0</v>
      </c>
      <c r="BC35" s="2">
        <f t="shared" si="56"/>
        <v>0</v>
      </c>
      <c r="BD35" s="2">
        <f t="shared" si="56"/>
        <v>0</v>
      </c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>
        <f>ROUND(SUMIF(AA28:AA33,"=35841400",FQ28:FQ33),2)</f>
        <v>0</v>
      </c>
      <c r="BY35" s="2">
        <f>ROUND(SUMIF(AA28:AA33,"=35841400",FR28:FR33),2)</f>
        <v>0</v>
      </c>
      <c r="BZ35" s="2">
        <f>ROUND(SUMIF(AA28:AA33,"=35841400",GL28:GL33),2)</f>
        <v>0</v>
      </c>
      <c r="CA35" s="2">
        <f>ROUND(SUMIF(AA28:AA33,"=35841400",GM28:GM33),2)</f>
        <v>22110.22</v>
      </c>
      <c r="CB35" s="2">
        <f>ROUND(SUMIF(AA28:AA33,"=35841400",GN28:GN33),2)</f>
        <v>22110.22</v>
      </c>
      <c r="CC35" s="2">
        <f>ROUND(SUMIF(AA28:AA33,"=35841400",GO28:GO33),2)</f>
        <v>0</v>
      </c>
      <c r="CD35" s="2">
        <f>ROUND(SUMIF(AA28:AA33,"=35841400",GP28:GP33),2)</f>
        <v>0</v>
      </c>
      <c r="CE35" s="2">
        <f>AC35-BX35</f>
        <v>0</v>
      </c>
      <c r="CF35" s="2">
        <f>AC35-BY35</f>
        <v>0</v>
      </c>
      <c r="CG35" s="2">
        <f>BX35-BZ35</f>
        <v>0</v>
      </c>
      <c r="CH35" s="2">
        <f>AC35-BX35-BY35+BZ35</f>
        <v>0</v>
      </c>
      <c r="CI35" s="2">
        <f>BY35-BZ35</f>
        <v>0</v>
      </c>
      <c r="CJ35" s="2">
        <f>ROUND(SUMIF(AA28:AA33,"=35841400",GX28:GX33),2)</f>
        <v>0</v>
      </c>
      <c r="CK35" s="2">
        <f>ROUND(SUMIF(AA28:AA33,"=35841400",GY28:GY33),2)</f>
        <v>0</v>
      </c>
      <c r="CL35" s="2">
        <f>ROUND(SUMIF(AA28:AA33,"=35841400",GZ28:GZ33),2)</f>
        <v>0</v>
      </c>
      <c r="CM35" s="2">
        <f>ROUND(SUMIF(AA28:AA33,"=35841400",HD28:HD33),2)</f>
        <v>0</v>
      </c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>
        <v>0</v>
      </c>
    </row>
    <row r="37" spans="1:245">
      <c r="A37" s="4">
        <v>50</v>
      </c>
      <c r="B37" s="4">
        <v>0</v>
      </c>
      <c r="C37" s="4">
        <v>0</v>
      </c>
      <c r="D37" s="4">
        <v>1</v>
      </c>
      <c r="E37" s="4">
        <v>201</v>
      </c>
      <c r="F37" s="4">
        <f>ROUND(Source!O35,O37)</f>
        <v>8935.2999999999993</v>
      </c>
      <c r="G37" s="4" t="s">
        <v>54</v>
      </c>
      <c r="H37" s="4" t="s">
        <v>55</v>
      </c>
      <c r="I37" s="4"/>
      <c r="J37" s="4"/>
      <c r="K37" s="4">
        <v>201</v>
      </c>
      <c r="L37" s="4">
        <v>1</v>
      </c>
      <c r="M37" s="4">
        <v>3</v>
      </c>
      <c r="N37" s="4" t="s">
        <v>3</v>
      </c>
      <c r="O37" s="4">
        <v>2</v>
      </c>
      <c r="P37" s="4"/>
      <c r="Q37" s="4"/>
      <c r="R37" s="4"/>
      <c r="S37" s="4"/>
      <c r="T37" s="4"/>
      <c r="U37" s="4"/>
      <c r="V37" s="4"/>
      <c r="W37" s="4">
        <v>8935.2999999999993</v>
      </c>
      <c r="X37" s="4">
        <v>1</v>
      </c>
      <c r="Y37" s="4">
        <v>8935.2999999999993</v>
      </c>
      <c r="Z37" s="4"/>
      <c r="AA37" s="4"/>
      <c r="AB37" s="4"/>
    </row>
    <row r="38" spans="1:245">
      <c r="A38" s="4">
        <v>50</v>
      </c>
      <c r="B38" s="4">
        <v>0</v>
      </c>
      <c r="C38" s="4">
        <v>0</v>
      </c>
      <c r="D38" s="4">
        <v>1</v>
      </c>
      <c r="E38" s="4">
        <v>202</v>
      </c>
      <c r="F38" s="4">
        <f>ROUND(Source!P35,O38)</f>
        <v>0</v>
      </c>
      <c r="G38" s="4" t="s">
        <v>56</v>
      </c>
      <c r="H38" s="4" t="s">
        <v>57</v>
      </c>
      <c r="I38" s="4"/>
      <c r="J38" s="4"/>
      <c r="K38" s="4">
        <v>202</v>
      </c>
      <c r="L38" s="4">
        <v>2</v>
      </c>
      <c r="M38" s="4">
        <v>3</v>
      </c>
      <c r="N38" s="4" t="s">
        <v>3</v>
      </c>
      <c r="O38" s="4">
        <v>2</v>
      </c>
      <c r="P38" s="4"/>
      <c r="Q38" s="4"/>
      <c r="R38" s="4"/>
      <c r="S38" s="4"/>
      <c r="T38" s="4"/>
      <c r="U38" s="4"/>
      <c r="V38" s="4"/>
      <c r="W38" s="4">
        <v>0</v>
      </c>
      <c r="X38" s="4">
        <v>1</v>
      </c>
      <c r="Y38" s="4">
        <v>0</v>
      </c>
      <c r="Z38" s="4"/>
      <c r="AA38" s="4"/>
      <c r="AB38" s="4"/>
    </row>
    <row r="39" spans="1:245">
      <c r="A39" s="4">
        <v>50</v>
      </c>
      <c r="B39" s="4">
        <v>0</v>
      </c>
      <c r="C39" s="4">
        <v>0</v>
      </c>
      <c r="D39" s="4">
        <v>1</v>
      </c>
      <c r="E39" s="4">
        <v>222</v>
      </c>
      <c r="F39" s="4">
        <f>ROUND(Source!AO35,O39)</f>
        <v>0</v>
      </c>
      <c r="G39" s="4" t="s">
        <v>58</v>
      </c>
      <c r="H39" s="4" t="s">
        <v>59</v>
      </c>
      <c r="I39" s="4"/>
      <c r="J39" s="4"/>
      <c r="K39" s="4">
        <v>222</v>
      </c>
      <c r="L39" s="4">
        <v>3</v>
      </c>
      <c r="M39" s="4">
        <v>3</v>
      </c>
      <c r="N39" s="4" t="s">
        <v>3</v>
      </c>
      <c r="O39" s="4">
        <v>2</v>
      </c>
      <c r="P39" s="4"/>
      <c r="Q39" s="4"/>
      <c r="R39" s="4"/>
      <c r="S39" s="4"/>
      <c r="T39" s="4"/>
      <c r="U39" s="4"/>
      <c r="V39" s="4"/>
      <c r="W39" s="4">
        <v>0</v>
      </c>
      <c r="X39" s="4">
        <v>1</v>
      </c>
      <c r="Y39" s="4">
        <v>0</v>
      </c>
      <c r="Z39" s="4"/>
      <c r="AA39" s="4"/>
      <c r="AB39" s="4"/>
    </row>
    <row r="40" spans="1:245">
      <c r="A40" s="4">
        <v>50</v>
      </c>
      <c r="B40" s="4">
        <v>0</v>
      </c>
      <c r="C40" s="4">
        <v>0</v>
      </c>
      <c r="D40" s="4">
        <v>1</v>
      </c>
      <c r="E40" s="4">
        <v>225</v>
      </c>
      <c r="F40" s="4">
        <f>ROUND(Source!AV35,O40)</f>
        <v>0</v>
      </c>
      <c r="G40" s="4" t="s">
        <v>60</v>
      </c>
      <c r="H40" s="4" t="s">
        <v>61</v>
      </c>
      <c r="I40" s="4"/>
      <c r="J40" s="4"/>
      <c r="K40" s="4">
        <v>225</v>
      </c>
      <c r="L40" s="4">
        <v>4</v>
      </c>
      <c r="M40" s="4">
        <v>3</v>
      </c>
      <c r="N40" s="4" t="s">
        <v>3</v>
      </c>
      <c r="O40" s="4">
        <v>2</v>
      </c>
      <c r="P40" s="4"/>
      <c r="Q40" s="4"/>
      <c r="R40" s="4"/>
      <c r="S40" s="4"/>
      <c r="T40" s="4"/>
      <c r="U40" s="4"/>
      <c r="V40" s="4"/>
      <c r="W40" s="4">
        <v>0</v>
      </c>
      <c r="X40" s="4">
        <v>1</v>
      </c>
      <c r="Y40" s="4">
        <v>0</v>
      </c>
      <c r="Z40" s="4"/>
      <c r="AA40" s="4"/>
      <c r="AB40" s="4"/>
    </row>
    <row r="41" spans="1:245">
      <c r="A41" s="4">
        <v>50</v>
      </c>
      <c r="B41" s="4">
        <v>0</v>
      </c>
      <c r="C41" s="4">
        <v>0</v>
      </c>
      <c r="D41" s="4">
        <v>1</v>
      </c>
      <c r="E41" s="4">
        <v>226</v>
      </c>
      <c r="F41" s="4">
        <f>ROUND(Source!AW35,O41)</f>
        <v>0</v>
      </c>
      <c r="G41" s="4" t="s">
        <v>62</v>
      </c>
      <c r="H41" s="4" t="s">
        <v>63</v>
      </c>
      <c r="I41" s="4"/>
      <c r="J41" s="4"/>
      <c r="K41" s="4">
        <v>226</v>
      </c>
      <c r="L41" s="4">
        <v>5</v>
      </c>
      <c r="M41" s="4">
        <v>3</v>
      </c>
      <c r="N41" s="4" t="s">
        <v>3</v>
      </c>
      <c r="O41" s="4">
        <v>2</v>
      </c>
      <c r="P41" s="4"/>
      <c r="Q41" s="4"/>
      <c r="R41" s="4"/>
      <c r="S41" s="4"/>
      <c r="T41" s="4"/>
      <c r="U41" s="4"/>
      <c r="V41" s="4"/>
      <c r="W41" s="4">
        <v>0</v>
      </c>
      <c r="X41" s="4">
        <v>1</v>
      </c>
      <c r="Y41" s="4">
        <v>0</v>
      </c>
      <c r="Z41" s="4"/>
      <c r="AA41" s="4"/>
      <c r="AB41" s="4"/>
    </row>
    <row r="42" spans="1:245">
      <c r="A42" s="4">
        <v>50</v>
      </c>
      <c r="B42" s="4">
        <v>0</v>
      </c>
      <c r="C42" s="4">
        <v>0</v>
      </c>
      <c r="D42" s="4">
        <v>1</v>
      </c>
      <c r="E42" s="4">
        <v>227</v>
      </c>
      <c r="F42" s="4">
        <f>ROUND(Source!AX35,O42)</f>
        <v>0</v>
      </c>
      <c r="G42" s="4" t="s">
        <v>64</v>
      </c>
      <c r="H42" s="4" t="s">
        <v>65</v>
      </c>
      <c r="I42" s="4"/>
      <c r="J42" s="4"/>
      <c r="K42" s="4">
        <v>227</v>
      </c>
      <c r="L42" s="4">
        <v>6</v>
      </c>
      <c r="M42" s="4">
        <v>3</v>
      </c>
      <c r="N42" s="4" t="s">
        <v>3</v>
      </c>
      <c r="O42" s="4">
        <v>2</v>
      </c>
      <c r="P42" s="4"/>
      <c r="Q42" s="4"/>
      <c r="R42" s="4"/>
      <c r="S42" s="4"/>
      <c r="T42" s="4"/>
      <c r="U42" s="4"/>
      <c r="V42" s="4"/>
      <c r="W42" s="4">
        <v>0</v>
      </c>
      <c r="X42" s="4">
        <v>1</v>
      </c>
      <c r="Y42" s="4">
        <v>0</v>
      </c>
      <c r="Z42" s="4"/>
      <c r="AA42" s="4"/>
      <c r="AB42" s="4"/>
    </row>
    <row r="43" spans="1:245">
      <c r="A43" s="4">
        <v>50</v>
      </c>
      <c r="B43" s="4">
        <v>0</v>
      </c>
      <c r="C43" s="4">
        <v>0</v>
      </c>
      <c r="D43" s="4">
        <v>1</v>
      </c>
      <c r="E43" s="4">
        <v>228</v>
      </c>
      <c r="F43" s="4">
        <f>ROUND(Source!AY35,O43)</f>
        <v>0</v>
      </c>
      <c r="G43" s="4" t="s">
        <v>66</v>
      </c>
      <c r="H43" s="4" t="s">
        <v>67</v>
      </c>
      <c r="I43" s="4"/>
      <c r="J43" s="4"/>
      <c r="K43" s="4">
        <v>228</v>
      </c>
      <c r="L43" s="4">
        <v>7</v>
      </c>
      <c r="M43" s="4">
        <v>3</v>
      </c>
      <c r="N43" s="4" t="s">
        <v>3</v>
      </c>
      <c r="O43" s="4">
        <v>2</v>
      </c>
      <c r="P43" s="4"/>
      <c r="Q43" s="4"/>
      <c r="R43" s="4"/>
      <c r="S43" s="4"/>
      <c r="T43" s="4"/>
      <c r="U43" s="4"/>
      <c r="V43" s="4"/>
      <c r="W43" s="4">
        <v>0</v>
      </c>
      <c r="X43" s="4">
        <v>1</v>
      </c>
      <c r="Y43" s="4">
        <v>0</v>
      </c>
      <c r="Z43" s="4"/>
      <c r="AA43" s="4"/>
      <c r="AB43" s="4"/>
    </row>
    <row r="44" spans="1:245">
      <c r="A44" s="4">
        <v>50</v>
      </c>
      <c r="B44" s="4">
        <v>0</v>
      </c>
      <c r="C44" s="4">
        <v>0</v>
      </c>
      <c r="D44" s="4">
        <v>1</v>
      </c>
      <c r="E44" s="4">
        <v>216</v>
      </c>
      <c r="F44" s="4">
        <f>ROUND(Source!AP35,O44)</f>
        <v>0</v>
      </c>
      <c r="G44" s="4" t="s">
        <v>68</v>
      </c>
      <c r="H44" s="4" t="s">
        <v>69</v>
      </c>
      <c r="I44" s="4"/>
      <c r="J44" s="4"/>
      <c r="K44" s="4">
        <v>216</v>
      </c>
      <c r="L44" s="4">
        <v>8</v>
      </c>
      <c r="M44" s="4">
        <v>3</v>
      </c>
      <c r="N44" s="4" t="s">
        <v>3</v>
      </c>
      <c r="O44" s="4">
        <v>2</v>
      </c>
      <c r="P44" s="4"/>
      <c r="Q44" s="4"/>
      <c r="R44" s="4"/>
      <c r="S44" s="4"/>
      <c r="T44" s="4"/>
      <c r="U44" s="4"/>
      <c r="V44" s="4"/>
      <c r="W44" s="4">
        <v>0</v>
      </c>
      <c r="X44" s="4">
        <v>1</v>
      </c>
      <c r="Y44" s="4">
        <v>0</v>
      </c>
      <c r="Z44" s="4"/>
      <c r="AA44" s="4"/>
      <c r="AB44" s="4"/>
    </row>
    <row r="45" spans="1:245">
      <c r="A45" s="4">
        <v>50</v>
      </c>
      <c r="B45" s="4">
        <v>0</v>
      </c>
      <c r="C45" s="4">
        <v>0</v>
      </c>
      <c r="D45" s="4">
        <v>1</v>
      </c>
      <c r="E45" s="4">
        <v>223</v>
      </c>
      <c r="F45" s="4">
        <f>ROUND(Source!AQ35,O45)</f>
        <v>0</v>
      </c>
      <c r="G45" s="4" t="s">
        <v>70</v>
      </c>
      <c r="H45" s="4" t="s">
        <v>71</v>
      </c>
      <c r="I45" s="4"/>
      <c r="J45" s="4"/>
      <c r="K45" s="4">
        <v>223</v>
      </c>
      <c r="L45" s="4">
        <v>9</v>
      </c>
      <c r="M45" s="4">
        <v>3</v>
      </c>
      <c r="N45" s="4" t="s">
        <v>3</v>
      </c>
      <c r="O45" s="4">
        <v>2</v>
      </c>
      <c r="P45" s="4"/>
      <c r="Q45" s="4"/>
      <c r="R45" s="4"/>
      <c r="S45" s="4"/>
      <c r="T45" s="4"/>
      <c r="U45" s="4"/>
      <c r="V45" s="4"/>
      <c r="W45" s="4">
        <v>0</v>
      </c>
      <c r="X45" s="4">
        <v>1</v>
      </c>
      <c r="Y45" s="4">
        <v>0</v>
      </c>
      <c r="Z45" s="4"/>
      <c r="AA45" s="4"/>
      <c r="AB45" s="4"/>
    </row>
    <row r="46" spans="1:245">
      <c r="A46" s="4">
        <v>50</v>
      </c>
      <c r="B46" s="4">
        <v>0</v>
      </c>
      <c r="C46" s="4">
        <v>0</v>
      </c>
      <c r="D46" s="4">
        <v>1</v>
      </c>
      <c r="E46" s="4">
        <v>229</v>
      </c>
      <c r="F46" s="4">
        <f>ROUND(Source!AZ35,O46)</f>
        <v>0</v>
      </c>
      <c r="G46" s="4" t="s">
        <v>72</v>
      </c>
      <c r="H46" s="4" t="s">
        <v>73</v>
      </c>
      <c r="I46" s="4"/>
      <c r="J46" s="4"/>
      <c r="K46" s="4">
        <v>229</v>
      </c>
      <c r="L46" s="4">
        <v>10</v>
      </c>
      <c r="M46" s="4">
        <v>3</v>
      </c>
      <c r="N46" s="4" t="s">
        <v>3</v>
      </c>
      <c r="O46" s="4">
        <v>2</v>
      </c>
      <c r="P46" s="4"/>
      <c r="Q46" s="4"/>
      <c r="R46" s="4"/>
      <c r="S46" s="4"/>
      <c r="T46" s="4"/>
      <c r="U46" s="4"/>
      <c r="V46" s="4"/>
      <c r="W46" s="4">
        <v>0</v>
      </c>
      <c r="X46" s="4">
        <v>1</v>
      </c>
      <c r="Y46" s="4">
        <v>0</v>
      </c>
      <c r="Z46" s="4"/>
      <c r="AA46" s="4"/>
      <c r="AB46" s="4"/>
    </row>
    <row r="47" spans="1:245">
      <c r="A47" s="4">
        <v>50</v>
      </c>
      <c r="B47" s="4">
        <v>0</v>
      </c>
      <c r="C47" s="4">
        <v>0</v>
      </c>
      <c r="D47" s="4">
        <v>1</v>
      </c>
      <c r="E47" s="4">
        <v>203</v>
      </c>
      <c r="F47" s="4">
        <f>ROUND(Source!Q35,O47)</f>
        <v>123.36</v>
      </c>
      <c r="G47" s="4" t="s">
        <v>74</v>
      </c>
      <c r="H47" s="4" t="s">
        <v>75</v>
      </c>
      <c r="I47" s="4"/>
      <c r="J47" s="4"/>
      <c r="K47" s="4">
        <v>203</v>
      </c>
      <c r="L47" s="4">
        <v>11</v>
      </c>
      <c r="M47" s="4">
        <v>3</v>
      </c>
      <c r="N47" s="4" t="s">
        <v>3</v>
      </c>
      <c r="O47" s="4">
        <v>2</v>
      </c>
      <c r="P47" s="4"/>
      <c r="Q47" s="4"/>
      <c r="R47" s="4"/>
      <c r="S47" s="4"/>
      <c r="T47" s="4"/>
      <c r="U47" s="4"/>
      <c r="V47" s="4"/>
      <c r="W47" s="4">
        <v>123.36</v>
      </c>
      <c r="X47" s="4">
        <v>1</v>
      </c>
      <c r="Y47" s="4">
        <v>123.36</v>
      </c>
      <c r="Z47" s="4"/>
      <c r="AA47" s="4"/>
      <c r="AB47" s="4"/>
    </row>
    <row r="48" spans="1:245">
      <c r="A48" s="4">
        <v>50</v>
      </c>
      <c r="B48" s="4">
        <v>0</v>
      </c>
      <c r="C48" s="4">
        <v>0</v>
      </c>
      <c r="D48" s="4">
        <v>1</v>
      </c>
      <c r="E48" s="4">
        <v>231</v>
      </c>
      <c r="F48" s="4">
        <f>ROUND(Source!BB35,O48)</f>
        <v>0</v>
      </c>
      <c r="G48" s="4" t="s">
        <v>76</v>
      </c>
      <c r="H48" s="4" t="s">
        <v>77</v>
      </c>
      <c r="I48" s="4"/>
      <c r="J48" s="4"/>
      <c r="K48" s="4">
        <v>231</v>
      </c>
      <c r="L48" s="4">
        <v>12</v>
      </c>
      <c r="M48" s="4">
        <v>3</v>
      </c>
      <c r="N48" s="4" t="s">
        <v>3</v>
      </c>
      <c r="O48" s="4">
        <v>2</v>
      </c>
      <c r="P48" s="4"/>
      <c r="Q48" s="4"/>
      <c r="R48" s="4"/>
      <c r="S48" s="4"/>
      <c r="T48" s="4"/>
      <c r="U48" s="4"/>
      <c r="V48" s="4"/>
      <c r="W48" s="4">
        <v>0</v>
      </c>
      <c r="X48" s="4">
        <v>1</v>
      </c>
      <c r="Y48" s="4">
        <v>0</v>
      </c>
      <c r="Z48" s="4"/>
      <c r="AA48" s="4"/>
      <c r="AB48" s="4"/>
    </row>
    <row r="49" spans="1:28">
      <c r="A49" s="4">
        <v>50</v>
      </c>
      <c r="B49" s="4">
        <v>0</v>
      </c>
      <c r="C49" s="4">
        <v>0</v>
      </c>
      <c r="D49" s="4">
        <v>1</v>
      </c>
      <c r="E49" s="4">
        <v>204</v>
      </c>
      <c r="F49" s="4">
        <f>ROUND(Source!R35,O49)</f>
        <v>119.93</v>
      </c>
      <c r="G49" s="4" t="s">
        <v>78</v>
      </c>
      <c r="H49" s="4" t="s">
        <v>79</v>
      </c>
      <c r="I49" s="4"/>
      <c r="J49" s="4"/>
      <c r="K49" s="4">
        <v>204</v>
      </c>
      <c r="L49" s="4">
        <v>13</v>
      </c>
      <c r="M49" s="4">
        <v>3</v>
      </c>
      <c r="N49" s="4" t="s">
        <v>3</v>
      </c>
      <c r="O49" s="4">
        <v>2</v>
      </c>
      <c r="P49" s="4"/>
      <c r="Q49" s="4"/>
      <c r="R49" s="4"/>
      <c r="S49" s="4"/>
      <c r="T49" s="4"/>
      <c r="U49" s="4"/>
      <c r="V49" s="4"/>
      <c r="W49" s="4">
        <v>119.93</v>
      </c>
      <c r="X49" s="4">
        <v>1</v>
      </c>
      <c r="Y49" s="4">
        <v>119.93</v>
      </c>
      <c r="Z49" s="4"/>
      <c r="AA49" s="4"/>
      <c r="AB49" s="4"/>
    </row>
    <row r="50" spans="1:28">
      <c r="A50" s="4">
        <v>50</v>
      </c>
      <c r="B50" s="4">
        <v>0</v>
      </c>
      <c r="C50" s="4">
        <v>0</v>
      </c>
      <c r="D50" s="4">
        <v>1</v>
      </c>
      <c r="E50" s="4">
        <v>205</v>
      </c>
      <c r="F50" s="4">
        <f>ROUND(Source!S35,O50)</f>
        <v>8811.94</v>
      </c>
      <c r="G50" s="4" t="s">
        <v>80</v>
      </c>
      <c r="H50" s="4" t="s">
        <v>81</v>
      </c>
      <c r="I50" s="4"/>
      <c r="J50" s="4"/>
      <c r="K50" s="4">
        <v>205</v>
      </c>
      <c r="L50" s="4">
        <v>14</v>
      </c>
      <c r="M50" s="4">
        <v>3</v>
      </c>
      <c r="N50" s="4" t="s">
        <v>3</v>
      </c>
      <c r="O50" s="4">
        <v>2</v>
      </c>
      <c r="P50" s="4"/>
      <c r="Q50" s="4"/>
      <c r="R50" s="4"/>
      <c r="S50" s="4"/>
      <c r="T50" s="4"/>
      <c r="U50" s="4"/>
      <c r="V50" s="4"/>
      <c r="W50" s="4">
        <v>8811.94</v>
      </c>
      <c r="X50" s="4">
        <v>1</v>
      </c>
      <c r="Y50" s="4">
        <v>8811.94</v>
      </c>
      <c r="Z50" s="4"/>
      <c r="AA50" s="4"/>
      <c r="AB50" s="4"/>
    </row>
    <row r="51" spans="1:28">
      <c r="A51" s="4">
        <v>50</v>
      </c>
      <c r="B51" s="4">
        <v>0</v>
      </c>
      <c r="C51" s="4">
        <v>0</v>
      </c>
      <c r="D51" s="4">
        <v>1</v>
      </c>
      <c r="E51" s="4">
        <v>232</v>
      </c>
      <c r="F51" s="4">
        <f>ROUND(Source!BC35,O51)</f>
        <v>0</v>
      </c>
      <c r="G51" s="4" t="s">
        <v>82</v>
      </c>
      <c r="H51" s="4" t="s">
        <v>83</v>
      </c>
      <c r="I51" s="4"/>
      <c r="J51" s="4"/>
      <c r="K51" s="4">
        <v>232</v>
      </c>
      <c r="L51" s="4">
        <v>15</v>
      </c>
      <c r="M51" s="4">
        <v>3</v>
      </c>
      <c r="N51" s="4" t="s">
        <v>3</v>
      </c>
      <c r="O51" s="4">
        <v>2</v>
      </c>
      <c r="P51" s="4"/>
      <c r="Q51" s="4"/>
      <c r="R51" s="4"/>
      <c r="S51" s="4"/>
      <c r="T51" s="4"/>
      <c r="U51" s="4"/>
      <c r="V51" s="4"/>
      <c r="W51" s="4">
        <v>0</v>
      </c>
      <c r="X51" s="4">
        <v>1</v>
      </c>
      <c r="Y51" s="4">
        <v>0</v>
      </c>
      <c r="Z51" s="4"/>
      <c r="AA51" s="4"/>
      <c r="AB51" s="4"/>
    </row>
    <row r="52" spans="1:28">
      <c r="A52" s="4">
        <v>50</v>
      </c>
      <c r="B52" s="4">
        <v>0</v>
      </c>
      <c r="C52" s="4">
        <v>0</v>
      </c>
      <c r="D52" s="4">
        <v>1</v>
      </c>
      <c r="E52" s="4">
        <v>214</v>
      </c>
      <c r="F52" s="4">
        <f>ROUND(Source!AS35,O52)</f>
        <v>22110.22</v>
      </c>
      <c r="G52" s="4" t="s">
        <v>84</v>
      </c>
      <c r="H52" s="4" t="s">
        <v>85</v>
      </c>
      <c r="I52" s="4"/>
      <c r="J52" s="4"/>
      <c r="K52" s="4">
        <v>214</v>
      </c>
      <c r="L52" s="4">
        <v>16</v>
      </c>
      <c r="M52" s="4">
        <v>3</v>
      </c>
      <c r="N52" s="4" t="s">
        <v>3</v>
      </c>
      <c r="O52" s="4">
        <v>2</v>
      </c>
      <c r="P52" s="4"/>
      <c r="Q52" s="4"/>
      <c r="R52" s="4"/>
      <c r="S52" s="4"/>
      <c r="T52" s="4"/>
      <c r="U52" s="4"/>
      <c r="V52" s="4"/>
      <c r="W52" s="4">
        <v>22110.22</v>
      </c>
      <c r="X52" s="4">
        <v>1</v>
      </c>
      <c r="Y52" s="4">
        <v>22110.22</v>
      </c>
      <c r="Z52" s="4"/>
      <c r="AA52" s="4"/>
      <c r="AB52" s="4"/>
    </row>
    <row r="53" spans="1:28">
      <c r="A53" s="4">
        <v>50</v>
      </c>
      <c r="B53" s="4">
        <v>0</v>
      </c>
      <c r="C53" s="4">
        <v>0</v>
      </c>
      <c r="D53" s="4">
        <v>1</v>
      </c>
      <c r="E53" s="4">
        <v>215</v>
      </c>
      <c r="F53" s="4">
        <f>ROUND(Source!AT35,O53)</f>
        <v>0</v>
      </c>
      <c r="G53" s="4" t="s">
        <v>86</v>
      </c>
      <c r="H53" s="4" t="s">
        <v>87</v>
      </c>
      <c r="I53" s="4"/>
      <c r="J53" s="4"/>
      <c r="K53" s="4">
        <v>215</v>
      </c>
      <c r="L53" s="4">
        <v>17</v>
      </c>
      <c r="M53" s="4">
        <v>3</v>
      </c>
      <c r="N53" s="4" t="s">
        <v>3</v>
      </c>
      <c r="O53" s="4">
        <v>2</v>
      </c>
      <c r="P53" s="4"/>
      <c r="Q53" s="4"/>
      <c r="R53" s="4"/>
      <c r="S53" s="4"/>
      <c r="T53" s="4"/>
      <c r="U53" s="4"/>
      <c r="V53" s="4"/>
      <c r="W53" s="4">
        <v>0</v>
      </c>
      <c r="X53" s="4">
        <v>1</v>
      </c>
      <c r="Y53" s="4">
        <v>0</v>
      </c>
      <c r="Z53" s="4"/>
      <c r="AA53" s="4"/>
      <c r="AB53" s="4"/>
    </row>
    <row r="54" spans="1:28">
      <c r="A54" s="4">
        <v>50</v>
      </c>
      <c r="B54" s="4">
        <v>0</v>
      </c>
      <c r="C54" s="4">
        <v>0</v>
      </c>
      <c r="D54" s="4">
        <v>1</v>
      </c>
      <c r="E54" s="4">
        <v>217</v>
      </c>
      <c r="F54" s="4">
        <f>ROUND(Source!AU35,O54)</f>
        <v>0</v>
      </c>
      <c r="G54" s="4" t="s">
        <v>88</v>
      </c>
      <c r="H54" s="4" t="s">
        <v>89</v>
      </c>
      <c r="I54" s="4"/>
      <c r="J54" s="4"/>
      <c r="K54" s="4">
        <v>217</v>
      </c>
      <c r="L54" s="4">
        <v>18</v>
      </c>
      <c r="M54" s="4">
        <v>3</v>
      </c>
      <c r="N54" s="4" t="s">
        <v>3</v>
      </c>
      <c r="O54" s="4">
        <v>2</v>
      </c>
      <c r="P54" s="4"/>
      <c r="Q54" s="4"/>
      <c r="R54" s="4"/>
      <c r="S54" s="4"/>
      <c r="T54" s="4"/>
      <c r="U54" s="4"/>
      <c r="V54" s="4"/>
      <c r="W54" s="4">
        <v>0</v>
      </c>
      <c r="X54" s="4">
        <v>1</v>
      </c>
      <c r="Y54" s="4">
        <v>0</v>
      </c>
      <c r="Z54" s="4"/>
      <c r="AA54" s="4"/>
      <c r="AB54" s="4"/>
    </row>
    <row r="55" spans="1:28">
      <c r="A55" s="4">
        <v>50</v>
      </c>
      <c r="B55" s="4">
        <v>0</v>
      </c>
      <c r="C55" s="4">
        <v>0</v>
      </c>
      <c r="D55" s="4">
        <v>1</v>
      </c>
      <c r="E55" s="4">
        <v>230</v>
      </c>
      <c r="F55" s="4">
        <f>ROUND(Source!BA35,O55)</f>
        <v>0</v>
      </c>
      <c r="G55" s="4" t="s">
        <v>90</v>
      </c>
      <c r="H55" s="4" t="s">
        <v>91</v>
      </c>
      <c r="I55" s="4"/>
      <c r="J55" s="4"/>
      <c r="K55" s="4">
        <v>230</v>
      </c>
      <c r="L55" s="4">
        <v>19</v>
      </c>
      <c r="M55" s="4">
        <v>3</v>
      </c>
      <c r="N55" s="4" t="s">
        <v>3</v>
      </c>
      <c r="O55" s="4">
        <v>2</v>
      </c>
      <c r="P55" s="4"/>
      <c r="Q55" s="4"/>
      <c r="R55" s="4"/>
      <c r="S55" s="4"/>
      <c r="T55" s="4"/>
      <c r="U55" s="4"/>
      <c r="V55" s="4"/>
      <c r="W55" s="4">
        <v>0</v>
      </c>
      <c r="X55" s="4">
        <v>1</v>
      </c>
      <c r="Y55" s="4">
        <v>0</v>
      </c>
      <c r="Z55" s="4"/>
      <c r="AA55" s="4"/>
      <c r="AB55" s="4"/>
    </row>
    <row r="56" spans="1:28">
      <c r="A56" s="4">
        <v>50</v>
      </c>
      <c r="B56" s="4">
        <v>0</v>
      </c>
      <c r="C56" s="4">
        <v>0</v>
      </c>
      <c r="D56" s="4">
        <v>1</v>
      </c>
      <c r="E56" s="4">
        <v>206</v>
      </c>
      <c r="F56" s="4">
        <f>ROUND(Source!T35,O56)</f>
        <v>0</v>
      </c>
      <c r="G56" s="4" t="s">
        <v>92</v>
      </c>
      <c r="H56" s="4" t="s">
        <v>93</v>
      </c>
      <c r="I56" s="4"/>
      <c r="J56" s="4"/>
      <c r="K56" s="4">
        <v>206</v>
      </c>
      <c r="L56" s="4">
        <v>20</v>
      </c>
      <c r="M56" s="4">
        <v>3</v>
      </c>
      <c r="N56" s="4" t="s">
        <v>3</v>
      </c>
      <c r="O56" s="4">
        <v>2</v>
      </c>
      <c r="P56" s="4"/>
      <c r="Q56" s="4"/>
      <c r="R56" s="4"/>
      <c r="S56" s="4"/>
      <c r="T56" s="4"/>
      <c r="U56" s="4"/>
      <c r="V56" s="4"/>
      <c r="W56" s="4">
        <v>0</v>
      </c>
      <c r="X56" s="4">
        <v>1</v>
      </c>
      <c r="Y56" s="4">
        <v>0</v>
      </c>
      <c r="Z56" s="4"/>
      <c r="AA56" s="4"/>
      <c r="AB56" s="4"/>
    </row>
    <row r="57" spans="1:28">
      <c r="A57" s="4">
        <v>50</v>
      </c>
      <c r="B57" s="4">
        <v>0</v>
      </c>
      <c r="C57" s="4">
        <v>0</v>
      </c>
      <c r="D57" s="4">
        <v>1</v>
      </c>
      <c r="E57" s="4">
        <v>207</v>
      </c>
      <c r="F57" s="4">
        <f>Source!U35</f>
        <v>32.569920000000003</v>
      </c>
      <c r="G57" s="4" t="s">
        <v>94</v>
      </c>
      <c r="H57" s="4" t="s">
        <v>95</v>
      </c>
      <c r="I57" s="4"/>
      <c r="J57" s="4"/>
      <c r="K57" s="4">
        <v>207</v>
      </c>
      <c r="L57" s="4">
        <v>21</v>
      </c>
      <c r="M57" s="4">
        <v>3</v>
      </c>
      <c r="N57" s="4" t="s">
        <v>3</v>
      </c>
      <c r="O57" s="4">
        <v>-1</v>
      </c>
      <c r="P57" s="4"/>
      <c r="Q57" s="4"/>
      <c r="R57" s="4"/>
      <c r="S57" s="4"/>
      <c r="T57" s="4"/>
      <c r="U57" s="4"/>
      <c r="V57" s="4"/>
      <c r="W57" s="4">
        <v>32.569920000000003</v>
      </c>
      <c r="X57" s="4">
        <v>1</v>
      </c>
      <c r="Y57" s="4">
        <v>32.569920000000003</v>
      </c>
      <c r="Z57" s="4"/>
      <c r="AA57" s="4"/>
      <c r="AB57" s="4"/>
    </row>
    <row r="58" spans="1:28">
      <c r="A58" s="4">
        <v>50</v>
      </c>
      <c r="B58" s="4">
        <v>0</v>
      </c>
      <c r="C58" s="4">
        <v>0</v>
      </c>
      <c r="D58" s="4">
        <v>1</v>
      </c>
      <c r="E58" s="4">
        <v>208</v>
      </c>
      <c r="F58" s="4">
        <f>Source!V35</f>
        <v>0.26440000000000002</v>
      </c>
      <c r="G58" s="4" t="s">
        <v>96</v>
      </c>
      <c r="H58" s="4" t="s">
        <v>97</v>
      </c>
      <c r="I58" s="4"/>
      <c r="J58" s="4"/>
      <c r="K58" s="4">
        <v>208</v>
      </c>
      <c r="L58" s="4">
        <v>22</v>
      </c>
      <c r="M58" s="4">
        <v>3</v>
      </c>
      <c r="N58" s="4" t="s">
        <v>3</v>
      </c>
      <c r="O58" s="4">
        <v>-1</v>
      </c>
      <c r="P58" s="4"/>
      <c r="Q58" s="4"/>
      <c r="R58" s="4"/>
      <c r="S58" s="4"/>
      <c r="T58" s="4"/>
      <c r="U58" s="4"/>
      <c r="V58" s="4"/>
      <c r="W58" s="4">
        <v>0.26440000000000002</v>
      </c>
      <c r="X58" s="4">
        <v>1</v>
      </c>
      <c r="Y58" s="4">
        <v>0.26440000000000002</v>
      </c>
      <c r="Z58" s="4"/>
      <c r="AA58" s="4"/>
      <c r="AB58" s="4"/>
    </row>
    <row r="59" spans="1:28">
      <c r="A59" s="4">
        <v>50</v>
      </c>
      <c r="B59" s="4">
        <v>0</v>
      </c>
      <c r="C59" s="4">
        <v>0</v>
      </c>
      <c r="D59" s="4">
        <v>1</v>
      </c>
      <c r="E59" s="4">
        <v>209</v>
      </c>
      <c r="F59" s="4">
        <f>ROUND(Source!W35,O59)</f>
        <v>0</v>
      </c>
      <c r="G59" s="4" t="s">
        <v>98</v>
      </c>
      <c r="H59" s="4" t="s">
        <v>99</v>
      </c>
      <c r="I59" s="4"/>
      <c r="J59" s="4"/>
      <c r="K59" s="4">
        <v>209</v>
      </c>
      <c r="L59" s="4">
        <v>23</v>
      </c>
      <c r="M59" s="4">
        <v>3</v>
      </c>
      <c r="N59" s="4" t="s">
        <v>3</v>
      </c>
      <c r="O59" s="4">
        <v>2</v>
      </c>
      <c r="P59" s="4"/>
      <c r="Q59" s="4"/>
      <c r="R59" s="4"/>
      <c r="S59" s="4"/>
      <c r="T59" s="4"/>
      <c r="U59" s="4"/>
      <c r="V59" s="4"/>
      <c r="W59" s="4">
        <v>0</v>
      </c>
      <c r="X59" s="4">
        <v>1</v>
      </c>
      <c r="Y59" s="4">
        <v>0</v>
      </c>
      <c r="Z59" s="4"/>
      <c r="AA59" s="4"/>
      <c r="AB59" s="4"/>
    </row>
    <row r="60" spans="1:28">
      <c r="A60" s="4">
        <v>50</v>
      </c>
      <c r="B60" s="4">
        <v>0</v>
      </c>
      <c r="C60" s="4">
        <v>0</v>
      </c>
      <c r="D60" s="4">
        <v>1</v>
      </c>
      <c r="E60" s="4">
        <v>233</v>
      </c>
      <c r="F60" s="4">
        <f>ROUND(Source!BD35,O60)</f>
        <v>0</v>
      </c>
      <c r="G60" s="4" t="s">
        <v>100</v>
      </c>
      <c r="H60" s="4" t="s">
        <v>101</v>
      </c>
      <c r="I60" s="4"/>
      <c r="J60" s="4"/>
      <c r="K60" s="4">
        <v>233</v>
      </c>
      <c r="L60" s="4">
        <v>24</v>
      </c>
      <c r="M60" s="4">
        <v>3</v>
      </c>
      <c r="N60" s="4" t="s">
        <v>3</v>
      </c>
      <c r="O60" s="4">
        <v>2</v>
      </c>
      <c r="P60" s="4"/>
      <c r="Q60" s="4"/>
      <c r="R60" s="4"/>
      <c r="S60" s="4"/>
      <c r="T60" s="4"/>
      <c r="U60" s="4"/>
      <c r="V60" s="4"/>
      <c r="W60" s="4">
        <v>0</v>
      </c>
      <c r="X60" s="4">
        <v>1</v>
      </c>
      <c r="Y60" s="4">
        <v>0</v>
      </c>
      <c r="Z60" s="4"/>
      <c r="AA60" s="4"/>
      <c r="AB60" s="4"/>
    </row>
    <row r="61" spans="1:28">
      <c r="A61" s="4">
        <v>50</v>
      </c>
      <c r="B61" s="4">
        <v>0</v>
      </c>
      <c r="C61" s="4">
        <v>0</v>
      </c>
      <c r="D61" s="4">
        <v>1</v>
      </c>
      <c r="E61" s="4">
        <v>210</v>
      </c>
      <c r="F61" s="4">
        <f>ROUND(Source!X35,O61)</f>
        <v>8528.56</v>
      </c>
      <c r="G61" s="4" t="s">
        <v>102</v>
      </c>
      <c r="H61" s="4" t="s">
        <v>103</v>
      </c>
      <c r="I61" s="4"/>
      <c r="J61" s="4"/>
      <c r="K61" s="4">
        <v>210</v>
      </c>
      <c r="L61" s="4">
        <v>25</v>
      </c>
      <c r="M61" s="4">
        <v>3</v>
      </c>
      <c r="N61" s="4" t="s">
        <v>3</v>
      </c>
      <c r="O61" s="4">
        <v>2</v>
      </c>
      <c r="P61" s="4"/>
      <c r="Q61" s="4"/>
      <c r="R61" s="4"/>
      <c r="S61" s="4"/>
      <c r="T61" s="4"/>
      <c r="U61" s="4"/>
      <c r="V61" s="4"/>
      <c r="W61" s="4">
        <v>8528.56</v>
      </c>
      <c r="X61" s="4">
        <v>1</v>
      </c>
      <c r="Y61" s="4">
        <v>8528.56</v>
      </c>
      <c r="Z61" s="4"/>
      <c r="AA61" s="4"/>
      <c r="AB61" s="4"/>
    </row>
    <row r="62" spans="1:28">
      <c r="A62" s="4">
        <v>50</v>
      </c>
      <c r="B62" s="4">
        <v>0</v>
      </c>
      <c r="C62" s="4">
        <v>0</v>
      </c>
      <c r="D62" s="4">
        <v>1</v>
      </c>
      <c r="E62" s="4">
        <v>211</v>
      </c>
      <c r="F62" s="4">
        <f>ROUND(Source!Y35,O62)</f>
        <v>4646.3599999999997</v>
      </c>
      <c r="G62" s="4" t="s">
        <v>104</v>
      </c>
      <c r="H62" s="4" t="s">
        <v>105</v>
      </c>
      <c r="I62" s="4"/>
      <c r="J62" s="4"/>
      <c r="K62" s="4">
        <v>211</v>
      </c>
      <c r="L62" s="4">
        <v>26</v>
      </c>
      <c r="M62" s="4">
        <v>3</v>
      </c>
      <c r="N62" s="4" t="s">
        <v>3</v>
      </c>
      <c r="O62" s="4">
        <v>2</v>
      </c>
      <c r="P62" s="4"/>
      <c r="Q62" s="4"/>
      <c r="R62" s="4"/>
      <c r="S62" s="4"/>
      <c r="T62" s="4"/>
      <c r="U62" s="4"/>
      <c r="V62" s="4"/>
      <c r="W62" s="4">
        <v>4646.3599999999997</v>
      </c>
      <c r="X62" s="4">
        <v>1</v>
      </c>
      <c r="Y62" s="4">
        <v>4646.3599999999997</v>
      </c>
      <c r="Z62" s="4"/>
      <c r="AA62" s="4"/>
      <c r="AB62" s="4"/>
    </row>
    <row r="63" spans="1:28">
      <c r="A63" s="4">
        <v>50</v>
      </c>
      <c r="B63" s="4">
        <v>0</v>
      </c>
      <c r="C63" s="4">
        <v>0</v>
      </c>
      <c r="D63" s="4">
        <v>1</v>
      </c>
      <c r="E63" s="4">
        <v>224</v>
      </c>
      <c r="F63" s="4">
        <f>ROUND(Source!AR35,O63)</f>
        <v>22110.22</v>
      </c>
      <c r="G63" s="4" t="s">
        <v>106</v>
      </c>
      <c r="H63" s="4" t="s">
        <v>107</v>
      </c>
      <c r="I63" s="4"/>
      <c r="J63" s="4"/>
      <c r="K63" s="4">
        <v>224</v>
      </c>
      <c r="L63" s="4">
        <v>27</v>
      </c>
      <c r="M63" s="4">
        <v>3</v>
      </c>
      <c r="N63" s="4" t="s">
        <v>3</v>
      </c>
      <c r="O63" s="4">
        <v>2</v>
      </c>
      <c r="P63" s="4"/>
      <c r="Q63" s="4"/>
      <c r="R63" s="4"/>
      <c r="S63" s="4"/>
      <c r="T63" s="4"/>
      <c r="U63" s="4"/>
      <c r="V63" s="4"/>
      <c r="W63" s="4">
        <v>22110.22</v>
      </c>
      <c r="X63" s="4">
        <v>1</v>
      </c>
      <c r="Y63" s="4">
        <v>22110.22</v>
      </c>
      <c r="Z63" s="4"/>
      <c r="AA63" s="4"/>
      <c r="AB63" s="4"/>
    </row>
    <row r="65" spans="1:245">
      <c r="A65" s="1">
        <v>4</v>
      </c>
      <c r="B65" s="1">
        <v>1</v>
      </c>
      <c r="C65" s="1"/>
      <c r="D65" s="1">
        <f>ROW(A121)</f>
        <v>121</v>
      </c>
      <c r="E65" s="1"/>
      <c r="F65" s="1" t="s">
        <v>13</v>
      </c>
      <c r="G65" s="1" t="s">
        <v>86</v>
      </c>
      <c r="H65" s="1" t="s">
        <v>3</v>
      </c>
      <c r="I65" s="1">
        <v>0</v>
      </c>
      <c r="J65" s="1"/>
      <c r="K65" s="1">
        <v>0</v>
      </c>
      <c r="L65" s="1"/>
      <c r="M65" s="1" t="s">
        <v>3</v>
      </c>
      <c r="N65" s="1"/>
      <c r="O65" s="1"/>
      <c r="P65" s="1"/>
      <c r="Q65" s="1"/>
      <c r="R65" s="1"/>
      <c r="S65" s="1">
        <v>0</v>
      </c>
      <c r="T65" s="1"/>
      <c r="U65" s="1" t="s">
        <v>3</v>
      </c>
      <c r="V65" s="1">
        <v>0</v>
      </c>
      <c r="W65" s="1"/>
      <c r="X65" s="1"/>
      <c r="Y65" s="1"/>
      <c r="Z65" s="1"/>
      <c r="AA65" s="1"/>
      <c r="AB65" s="1" t="s">
        <v>3</v>
      </c>
      <c r="AC65" s="1" t="s">
        <v>3</v>
      </c>
      <c r="AD65" s="1" t="s">
        <v>3</v>
      </c>
      <c r="AE65" s="1" t="s">
        <v>3</v>
      </c>
      <c r="AF65" s="1" t="s">
        <v>3</v>
      </c>
      <c r="AG65" s="1" t="s">
        <v>3</v>
      </c>
      <c r="AH65" s="1"/>
      <c r="AI65" s="1"/>
      <c r="AJ65" s="1"/>
      <c r="AK65" s="1"/>
      <c r="AL65" s="1"/>
      <c r="AM65" s="1"/>
      <c r="AN65" s="1"/>
      <c r="AO65" s="1"/>
      <c r="AP65" s="1" t="s">
        <v>3</v>
      </c>
      <c r="AQ65" s="1" t="s">
        <v>3</v>
      </c>
      <c r="AR65" s="1" t="s">
        <v>3</v>
      </c>
      <c r="AS65" s="1"/>
      <c r="AT65" s="1"/>
      <c r="AU65" s="1"/>
      <c r="AV65" s="1"/>
      <c r="AW65" s="1"/>
      <c r="AX65" s="1"/>
      <c r="AY65" s="1"/>
      <c r="AZ65" s="1" t="s">
        <v>3</v>
      </c>
      <c r="BA65" s="1"/>
      <c r="BB65" s="1" t="s">
        <v>3</v>
      </c>
      <c r="BC65" s="1" t="s">
        <v>3</v>
      </c>
      <c r="BD65" s="1" t="s">
        <v>3</v>
      </c>
      <c r="BE65" s="1" t="s">
        <v>3</v>
      </c>
      <c r="BF65" s="1" t="s">
        <v>3</v>
      </c>
      <c r="BG65" s="1" t="s">
        <v>3</v>
      </c>
      <c r="BH65" s="1" t="s">
        <v>3</v>
      </c>
      <c r="BI65" s="1" t="s">
        <v>3</v>
      </c>
      <c r="BJ65" s="1" t="s">
        <v>3</v>
      </c>
      <c r="BK65" s="1" t="s">
        <v>3</v>
      </c>
      <c r="BL65" s="1" t="s">
        <v>3</v>
      </c>
      <c r="BM65" s="1" t="s">
        <v>3</v>
      </c>
      <c r="BN65" s="1" t="s">
        <v>3</v>
      </c>
      <c r="BO65" s="1" t="s">
        <v>3</v>
      </c>
      <c r="BP65" s="1" t="s">
        <v>3</v>
      </c>
      <c r="BQ65" s="1"/>
      <c r="BR65" s="1"/>
      <c r="BS65" s="1"/>
      <c r="BT65" s="1"/>
      <c r="BU65" s="1"/>
      <c r="BV65" s="1"/>
      <c r="BW65" s="1"/>
      <c r="BX65" s="1">
        <v>0</v>
      </c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>
        <v>0</v>
      </c>
    </row>
    <row r="67" spans="1:245">
      <c r="A67" s="2">
        <v>52</v>
      </c>
      <c r="B67" s="2">
        <f t="shared" ref="B67:G67" si="57">B121</f>
        <v>1</v>
      </c>
      <c r="C67" s="2">
        <f t="shared" si="57"/>
        <v>4</v>
      </c>
      <c r="D67" s="2">
        <f t="shared" si="57"/>
        <v>65</v>
      </c>
      <c r="E67" s="2">
        <f t="shared" si="57"/>
        <v>0</v>
      </c>
      <c r="F67" s="2" t="str">
        <f t="shared" si="57"/>
        <v>Новый раздел</v>
      </c>
      <c r="G67" s="2" t="str">
        <f t="shared" si="57"/>
        <v>Монтаж</v>
      </c>
      <c r="H67" s="2"/>
      <c r="I67" s="2"/>
      <c r="J67" s="2"/>
      <c r="K67" s="2"/>
      <c r="L67" s="2"/>
      <c r="M67" s="2"/>
      <c r="N67" s="2"/>
      <c r="O67" s="2">
        <f t="shared" ref="O67:AT67" si="58">O121</f>
        <v>429268.53</v>
      </c>
      <c r="P67" s="2">
        <f t="shared" si="58"/>
        <v>325487.63</v>
      </c>
      <c r="Q67" s="2">
        <f t="shared" si="58"/>
        <v>6839.72</v>
      </c>
      <c r="R67" s="2">
        <f t="shared" si="58"/>
        <v>3070.52</v>
      </c>
      <c r="S67" s="2">
        <f t="shared" si="58"/>
        <v>96941.18</v>
      </c>
      <c r="T67" s="2">
        <f t="shared" si="58"/>
        <v>0</v>
      </c>
      <c r="U67" s="2">
        <f t="shared" si="58"/>
        <v>334.28727049999998</v>
      </c>
      <c r="V67" s="2">
        <f t="shared" si="58"/>
        <v>8.6663899999999998</v>
      </c>
      <c r="W67" s="2">
        <f t="shared" si="58"/>
        <v>20.18</v>
      </c>
      <c r="X67" s="2">
        <f t="shared" si="58"/>
        <v>95008.639999999999</v>
      </c>
      <c r="Y67" s="2">
        <f t="shared" si="58"/>
        <v>48477.5</v>
      </c>
      <c r="Z67" s="2">
        <f t="shared" si="58"/>
        <v>0</v>
      </c>
      <c r="AA67" s="2">
        <f t="shared" si="58"/>
        <v>0</v>
      </c>
      <c r="AB67" s="2">
        <f t="shared" si="58"/>
        <v>0</v>
      </c>
      <c r="AC67" s="2">
        <f t="shared" si="58"/>
        <v>0</v>
      </c>
      <c r="AD67" s="2">
        <f t="shared" si="58"/>
        <v>0</v>
      </c>
      <c r="AE67" s="2">
        <f t="shared" si="58"/>
        <v>0</v>
      </c>
      <c r="AF67" s="2">
        <f t="shared" si="58"/>
        <v>0</v>
      </c>
      <c r="AG67" s="2">
        <f t="shared" si="58"/>
        <v>0</v>
      </c>
      <c r="AH67" s="2">
        <f t="shared" si="58"/>
        <v>0</v>
      </c>
      <c r="AI67" s="2">
        <f t="shared" si="58"/>
        <v>0</v>
      </c>
      <c r="AJ67" s="2">
        <f t="shared" si="58"/>
        <v>0</v>
      </c>
      <c r="AK67" s="2">
        <f t="shared" si="58"/>
        <v>0</v>
      </c>
      <c r="AL67" s="2">
        <f t="shared" si="58"/>
        <v>0</v>
      </c>
      <c r="AM67" s="2">
        <f t="shared" si="58"/>
        <v>0</v>
      </c>
      <c r="AN67" s="2">
        <f t="shared" si="58"/>
        <v>0</v>
      </c>
      <c r="AO67" s="2">
        <f t="shared" si="58"/>
        <v>0</v>
      </c>
      <c r="AP67" s="2">
        <f t="shared" si="58"/>
        <v>0</v>
      </c>
      <c r="AQ67" s="2">
        <f t="shared" si="58"/>
        <v>0</v>
      </c>
      <c r="AR67" s="2">
        <f t="shared" si="58"/>
        <v>572754.67000000004</v>
      </c>
      <c r="AS67" s="2">
        <f t="shared" si="58"/>
        <v>572754.67000000004</v>
      </c>
      <c r="AT67" s="2">
        <f t="shared" si="58"/>
        <v>0</v>
      </c>
      <c r="AU67" s="2">
        <f t="shared" ref="AU67:BZ67" si="59">AU121</f>
        <v>0</v>
      </c>
      <c r="AV67" s="2">
        <f t="shared" si="59"/>
        <v>325487.63</v>
      </c>
      <c r="AW67" s="2">
        <f t="shared" si="59"/>
        <v>325487.63</v>
      </c>
      <c r="AX67" s="2">
        <f t="shared" si="59"/>
        <v>0</v>
      </c>
      <c r="AY67" s="2">
        <f t="shared" si="59"/>
        <v>325487.63</v>
      </c>
      <c r="AZ67" s="2">
        <f t="shared" si="59"/>
        <v>0</v>
      </c>
      <c r="BA67" s="2">
        <f t="shared" si="59"/>
        <v>0</v>
      </c>
      <c r="BB67" s="2">
        <f t="shared" si="59"/>
        <v>0</v>
      </c>
      <c r="BC67" s="2">
        <f t="shared" si="59"/>
        <v>0</v>
      </c>
      <c r="BD67" s="2">
        <f t="shared" si="59"/>
        <v>0</v>
      </c>
      <c r="BE67" s="2">
        <f t="shared" si="59"/>
        <v>0</v>
      </c>
      <c r="BF67" s="2">
        <f t="shared" si="59"/>
        <v>0</v>
      </c>
      <c r="BG67" s="2">
        <f t="shared" si="59"/>
        <v>0</v>
      </c>
      <c r="BH67" s="2">
        <f t="shared" si="59"/>
        <v>0</v>
      </c>
      <c r="BI67" s="2">
        <f t="shared" si="59"/>
        <v>0</v>
      </c>
      <c r="BJ67" s="2">
        <f t="shared" si="59"/>
        <v>0</v>
      </c>
      <c r="BK67" s="2">
        <f t="shared" si="59"/>
        <v>0</v>
      </c>
      <c r="BL67" s="2">
        <f t="shared" si="59"/>
        <v>0</v>
      </c>
      <c r="BM67" s="2">
        <f t="shared" si="59"/>
        <v>0</v>
      </c>
      <c r="BN67" s="2">
        <f t="shared" si="59"/>
        <v>0</v>
      </c>
      <c r="BO67" s="2">
        <f t="shared" si="59"/>
        <v>0</v>
      </c>
      <c r="BP67" s="2">
        <f t="shared" si="59"/>
        <v>0</v>
      </c>
      <c r="BQ67" s="2">
        <f t="shared" si="59"/>
        <v>0</v>
      </c>
      <c r="BR67" s="2">
        <f t="shared" si="59"/>
        <v>0</v>
      </c>
      <c r="BS67" s="2">
        <f t="shared" si="59"/>
        <v>0</v>
      </c>
      <c r="BT67" s="2">
        <f t="shared" si="59"/>
        <v>0</v>
      </c>
      <c r="BU67" s="2">
        <f t="shared" si="59"/>
        <v>0</v>
      </c>
      <c r="BV67" s="2">
        <f t="shared" si="59"/>
        <v>0</v>
      </c>
      <c r="BW67" s="2">
        <f t="shared" si="59"/>
        <v>0</v>
      </c>
      <c r="BX67" s="2">
        <f t="shared" si="59"/>
        <v>0</v>
      </c>
      <c r="BY67" s="2">
        <f t="shared" si="59"/>
        <v>0</v>
      </c>
      <c r="BZ67" s="2">
        <f t="shared" si="59"/>
        <v>0</v>
      </c>
      <c r="CA67" s="2">
        <f t="shared" ref="CA67:DF67" si="60">CA121</f>
        <v>0</v>
      </c>
      <c r="CB67" s="2">
        <f t="shared" si="60"/>
        <v>0</v>
      </c>
      <c r="CC67" s="2">
        <f t="shared" si="60"/>
        <v>0</v>
      </c>
      <c r="CD67" s="2">
        <f t="shared" si="60"/>
        <v>0</v>
      </c>
      <c r="CE67" s="2">
        <f t="shared" si="60"/>
        <v>0</v>
      </c>
      <c r="CF67" s="2">
        <f t="shared" si="60"/>
        <v>0</v>
      </c>
      <c r="CG67" s="2">
        <f t="shared" si="60"/>
        <v>0</v>
      </c>
      <c r="CH67" s="2">
        <f t="shared" si="60"/>
        <v>0</v>
      </c>
      <c r="CI67" s="2">
        <f t="shared" si="60"/>
        <v>0</v>
      </c>
      <c r="CJ67" s="2">
        <f t="shared" si="60"/>
        <v>0</v>
      </c>
      <c r="CK67" s="2">
        <f t="shared" si="60"/>
        <v>0</v>
      </c>
      <c r="CL67" s="2">
        <f t="shared" si="60"/>
        <v>0</v>
      </c>
      <c r="CM67" s="2">
        <f t="shared" si="60"/>
        <v>0</v>
      </c>
      <c r="CN67" s="2">
        <f t="shared" si="60"/>
        <v>0</v>
      </c>
      <c r="CO67" s="2">
        <f t="shared" si="60"/>
        <v>0</v>
      </c>
      <c r="CP67" s="2">
        <f t="shared" si="60"/>
        <v>0</v>
      </c>
      <c r="CQ67" s="2">
        <f t="shared" si="60"/>
        <v>0</v>
      </c>
      <c r="CR67" s="2">
        <f t="shared" si="60"/>
        <v>0</v>
      </c>
      <c r="CS67" s="2">
        <f t="shared" si="60"/>
        <v>0</v>
      </c>
      <c r="CT67" s="2">
        <f t="shared" si="60"/>
        <v>0</v>
      </c>
      <c r="CU67" s="2">
        <f t="shared" si="60"/>
        <v>0</v>
      </c>
      <c r="CV67" s="2">
        <f t="shared" si="60"/>
        <v>0</v>
      </c>
      <c r="CW67" s="2">
        <f t="shared" si="60"/>
        <v>0</v>
      </c>
      <c r="CX67" s="2">
        <f t="shared" si="60"/>
        <v>0</v>
      </c>
      <c r="CY67" s="2">
        <f t="shared" si="60"/>
        <v>0</v>
      </c>
      <c r="CZ67" s="2">
        <f t="shared" si="60"/>
        <v>0</v>
      </c>
      <c r="DA67" s="2">
        <f t="shared" si="60"/>
        <v>0</v>
      </c>
      <c r="DB67" s="2">
        <f t="shared" si="60"/>
        <v>0</v>
      </c>
      <c r="DC67" s="2">
        <f t="shared" si="60"/>
        <v>0</v>
      </c>
      <c r="DD67" s="2">
        <f t="shared" si="60"/>
        <v>0</v>
      </c>
      <c r="DE67" s="2">
        <f t="shared" si="60"/>
        <v>0</v>
      </c>
      <c r="DF67" s="2">
        <f t="shared" si="60"/>
        <v>0</v>
      </c>
      <c r="DG67" s="3">
        <f t="shared" ref="DG67:EL67" si="61">DG121</f>
        <v>0</v>
      </c>
      <c r="DH67" s="3">
        <f t="shared" si="61"/>
        <v>0</v>
      </c>
      <c r="DI67" s="3">
        <f t="shared" si="61"/>
        <v>0</v>
      </c>
      <c r="DJ67" s="3">
        <f t="shared" si="61"/>
        <v>0</v>
      </c>
      <c r="DK67" s="3">
        <f t="shared" si="61"/>
        <v>0</v>
      </c>
      <c r="DL67" s="3">
        <f t="shared" si="61"/>
        <v>0</v>
      </c>
      <c r="DM67" s="3">
        <f t="shared" si="61"/>
        <v>0</v>
      </c>
      <c r="DN67" s="3">
        <f t="shared" si="61"/>
        <v>0</v>
      </c>
      <c r="DO67" s="3">
        <f t="shared" si="61"/>
        <v>0</v>
      </c>
      <c r="DP67" s="3">
        <f t="shared" si="61"/>
        <v>0</v>
      </c>
      <c r="DQ67" s="3">
        <f t="shared" si="61"/>
        <v>0</v>
      </c>
      <c r="DR67" s="3">
        <f t="shared" si="61"/>
        <v>0</v>
      </c>
      <c r="DS67" s="3">
        <f t="shared" si="61"/>
        <v>0</v>
      </c>
      <c r="DT67" s="3">
        <f t="shared" si="61"/>
        <v>0</v>
      </c>
      <c r="DU67" s="3">
        <f t="shared" si="61"/>
        <v>0</v>
      </c>
      <c r="DV67" s="3">
        <f t="shared" si="61"/>
        <v>0</v>
      </c>
      <c r="DW67" s="3">
        <f t="shared" si="61"/>
        <v>0</v>
      </c>
      <c r="DX67" s="3">
        <f t="shared" si="61"/>
        <v>0</v>
      </c>
      <c r="DY67" s="3">
        <f t="shared" si="61"/>
        <v>0</v>
      </c>
      <c r="DZ67" s="3">
        <f t="shared" si="61"/>
        <v>0</v>
      </c>
      <c r="EA67" s="3">
        <f t="shared" si="61"/>
        <v>0</v>
      </c>
      <c r="EB67" s="3">
        <f t="shared" si="61"/>
        <v>0</v>
      </c>
      <c r="EC67" s="3">
        <f t="shared" si="61"/>
        <v>0</v>
      </c>
      <c r="ED67" s="3">
        <f t="shared" si="61"/>
        <v>0</v>
      </c>
      <c r="EE67" s="3">
        <f t="shared" si="61"/>
        <v>0</v>
      </c>
      <c r="EF67" s="3">
        <f t="shared" si="61"/>
        <v>0</v>
      </c>
      <c r="EG67" s="3">
        <f t="shared" si="61"/>
        <v>0</v>
      </c>
      <c r="EH67" s="3">
        <f t="shared" si="61"/>
        <v>0</v>
      </c>
      <c r="EI67" s="3">
        <f t="shared" si="61"/>
        <v>0</v>
      </c>
      <c r="EJ67" s="3">
        <f t="shared" si="61"/>
        <v>0</v>
      </c>
      <c r="EK67" s="3">
        <f t="shared" si="61"/>
        <v>0</v>
      </c>
      <c r="EL67" s="3">
        <f t="shared" si="61"/>
        <v>0</v>
      </c>
      <c r="EM67" s="3">
        <f t="shared" ref="EM67:FR67" si="62">EM121</f>
        <v>0</v>
      </c>
      <c r="EN67" s="3">
        <f t="shared" si="62"/>
        <v>0</v>
      </c>
      <c r="EO67" s="3">
        <f t="shared" si="62"/>
        <v>0</v>
      </c>
      <c r="EP67" s="3">
        <f t="shared" si="62"/>
        <v>0</v>
      </c>
      <c r="EQ67" s="3">
        <f t="shared" si="62"/>
        <v>0</v>
      </c>
      <c r="ER67" s="3">
        <f t="shared" si="62"/>
        <v>0</v>
      </c>
      <c r="ES67" s="3">
        <f t="shared" si="62"/>
        <v>0</v>
      </c>
      <c r="ET67" s="3">
        <f t="shared" si="62"/>
        <v>0</v>
      </c>
      <c r="EU67" s="3">
        <f t="shared" si="62"/>
        <v>0</v>
      </c>
      <c r="EV67" s="3">
        <f t="shared" si="62"/>
        <v>0</v>
      </c>
      <c r="EW67" s="3">
        <f t="shared" si="62"/>
        <v>0</v>
      </c>
      <c r="EX67" s="3">
        <f t="shared" si="62"/>
        <v>0</v>
      </c>
      <c r="EY67" s="3">
        <f t="shared" si="62"/>
        <v>0</v>
      </c>
      <c r="EZ67" s="3">
        <f t="shared" si="62"/>
        <v>0</v>
      </c>
      <c r="FA67" s="3">
        <f t="shared" si="62"/>
        <v>0</v>
      </c>
      <c r="FB67" s="3">
        <f t="shared" si="62"/>
        <v>0</v>
      </c>
      <c r="FC67" s="3">
        <f t="shared" si="62"/>
        <v>0</v>
      </c>
      <c r="FD67" s="3">
        <f t="shared" si="62"/>
        <v>0</v>
      </c>
      <c r="FE67" s="3">
        <f t="shared" si="62"/>
        <v>0</v>
      </c>
      <c r="FF67" s="3">
        <f t="shared" si="62"/>
        <v>0</v>
      </c>
      <c r="FG67" s="3">
        <f t="shared" si="62"/>
        <v>0</v>
      </c>
      <c r="FH67" s="3">
        <f t="shared" si="62"/>
        <v>0</v>
      </c>
      <c r="FI67" s="3">
        <f t="shared" si="62"/>
        <v>0</v>
      </c>
      <c r="FJ67" s="3">
        <f t="shared" si="62"/>
        <v>0</v>
      </c>
      <c r="FK67" s="3">
        <f t="shared" si="62"/>
        <v>0</v>
      </c>
      <c r="FL67" s="3">
        <f t="shared" si="62"/>
        <v>0</v>
      </c>
      <c r="FM67" s="3">
        <f t="shared" si="62"/>
        <v>0</v>
      </c>
      <c r="FN67" s="3">
        <f t="shared" si="62"/>
        <v>0</v>
      </c>
      <c r="FO67" s="3">
        <f t="shared" si="62"/>
        <v>0</v>
      </c>
      <c r="FP67" s="3">
        <f t="shared" si="62"/>
        <v>0</v>
      </c>
      <c r="FQ67" s="3">
        <f t="shared" si="62"/>
        <v>0</v>
      </c>
      <c r="FR67" s="3">
        <f t="shared" si="62"/>
        <v>0</v>
      </c>
      <c r="FS67" s="3">
        <f t="shared" ref="FS67:GX67" si="63">FS121</f>
        <v>0</v>
      </c>
      <c r="FT67" s="3">
        <f t="shared" si="63"/>
        <v>0</v>
      </c>
      <c r="FU67" s="3">
        <f t="shared" si="63"/>
        <v>0</v>
      </c>
      <c r="FV67" s="3">
        <f t="shared" si="63"/>
        <v>0</v>
      </c>
      <c r="FW67" s="3">
        <f t="shared" si="63"/>
        <v>0</v>
      </c>
      <c r="FX67" s="3">
        <f t="shared" si="63"/>
        <v>0</v>
      </c>
      <c r="FY67" s="3">
        <f t="shared" si="63"/>
        <v>0</v>
      </c>
      <c r="FZ67" s="3">
        <f t="shared" si="63"/>
        <v>0</v>
      </c>
      <c r="GA67" s="3">
        <f t="shared" si="63"/>
        <v>0</v>
      </c>
      <c r="GB67" s="3">
        <f t="shared" si="63"/>
        <v>0</v>
      </c>
      <c r="GC67" s="3">
        <f t="shared" si="63"/>
        <v>0</v>
      </c>
      <c r="GD67" s="3">
        <f t="shared" si="63"/>
        <v>0</v>
      </c>
      <c r="GE67" s="3">
        <f t="shared" si="63"/>
        <v>0</v>
      </c>
      <c r="GF67" s="3">
        <f t="shared" si="63"/>
        <v>0</v>
      </c>
      <c r="GG67" s="3">
        <f t="shared" si="63"/>
        <v>0</v>
      </c>
      <c r="GH67" s="3">
        <f t="shared" si="63"/>
        <v>0</v>
      </c>
      <c r="GI67" s="3">
        <f t="shared" si="63"/>
        <v>0</v>
      </c>
      <c r="GJ67" s="3">
        <f t="shared" si="63"/>
        <v>0</v>
      </c>
      <c r="GK67" s="3">
        <f t="shared" si="63"/>
        <v>0</v>
      </c>
      <c r="GL67" s="3">
        <f t="shared" si="63"/>
        <v>0</v>
      </c>
      <c r="GM67" s="3">
        <f t="shared" si="63"/>
        <v>0</v>
      </c>
      <c r="GN67" s="3">
        <f t="shared" si="63"/>
        <v>0</v>
      </c>
      <c r="GO67" s="3">
        <f t="shared" si="63"/>
        <v>0</v>
      </c>
      <c r="GP67" s="3">
        <f t="shared" si="63"/>
        <v>0</v>
      </c>
      <c r="GQ67" s="3">
        <f t="shared" si="63"/>
        <v>0</v>
      </c>
      <c r="GR67" s="3">
        <f t="shared" si="63"/>
        <v>0</v>
      </c>
      <c r="GS67" s="3">
        <f t="shared" si="63"/>
        <v>0</v>
      </c>
      <c r="GT67" s="3">
        <f t="shared" si="63"/>
        <v>0</v>
      </c>
      <c r="GU67" s="3">
        <f t="shared" si="63"/>
        <v>0</v>
      </c>
      <c r="GV67" s="3">
        <f t="shared" si="63"/>
        <v>0</v>
      </c>
      <c r="GW67" s="3">
        <f t="shared" si="63"/>
        <v>0</v>
      </c>
      <c r="GX67" s="3">
        <f t="shared" si="63"/>
        <v>0</v>
      </c>
    </row>
    <row r="69" spans="1:245">
      <c r="A69" s="1">
        <v>5</v>
      </c>
      <c r="B69" s="1">
        <v>1</v>
      </c>
      <c r="C69" s="1"/>
      <c r="D69" s="1">
        <f>ROW(A91)</f>
        <v>91</v>
      </c>
      <c r="E69" s="1"/>
      <c r="F69" s="1" t="s">
        <v>108</v>
      </c>
      <c r="G69" s="1" t="s">
        <v>109</v>
      </c>
      <c r="H69" s="1" t="s">
        <v>3</v>
      </c>
      <c r="I69" s="1">
        <v>0</v>
      </c>
      <c r="J69" s="1"/>
      <c r="K69" s="1">
        <v>0</v>
      </c>
      <c r="L69" s="1"/>
      <c r="M69" s="1" t="s">
        <v>3</v>
      </c>
      <c r="N69" s="1"/>
      <c r="O69" s="1"/>
      <c r="P69" s="1"/>
      <c r="Q69" s="1"/>
      <c r="R69" s="1"/>
      <c r="S69" s="1">
        <v>0</v>
      </c>
      <c r="T69" s="1"/>
      <c r="U69" s="1" t="s">
        <v>3</v>
      </c>
      <c r="V69" s="1">
        <v>0</v>
      </c>
      <c r="W69" s="1"/>
      <c r="X69" s="1"/>
      <c r="Y69" s="1"/>
      <c r="Z69" s="1"/>
      <c r="AA69" s="1"/>
      <c r="AB69" s="1" t="s">
        <v>3</v>
      </c>
      <c r="AC69" s="1" t="s">
        <v>3</v>
      </c>
      <c r="AD69" s="1" t="s">
        <v>3</v>
      </c>
      <c r="AE69" s="1" t="s">
        <v>3</v>
      </c>
      <c r="AF69" s="1" t="s">
        <v>3</v>
      </c>
      <c r="AG69" s="1" t="s">
        <v>3</v>
      </c>
      <c r="AH69" s="1"/>
      <c r="AI69" s="1"/>
      <c r="AJ69" s="1"/>
      <c r="AK69" s="1"/>
      <c r="AL69" s="1"/>
      <c r="AM69" s="1"/>
      <c r="AN69" s="1"/>
      <c r="AO69" s="1"/>
      <c r="AP69" s="1" t="s">
        <v>3</v>
      </c>
      <c r="AQ69" s="1" t="s">
        <v>3</v>
      </c>
      <c r="AR69" s="1" t="s">
        <v>3</v>
      </c>
      <c r="AS69" s="1"/>
      <c r="AT69" s="1"/>
      <c r="AU69" s="1"/>
      <c r="AV69" s="1"/>
      <c r="AW69" s="1"/>
      <c r="AX69" s="1"/>
      <c r="AY69" s="1"/>
      <c r="AZ69" s="1" t="s">
        <v>3</v>
      </c>
      <c r="BA69" s="1"/>
      <c r="BB69" s="1" t="s">
        <v>3</v>
      </c>
      <c r="BC69" s="1" t="s">
        <v>3</v>
      </c>
      <c r="BD69" s="1" t="s">
        <v>3</v>
      </c>
      <c r="BE69" s="1" t="s">
        <v>3</v>
      </c>
      <c r="BF69" s="1" t="s">
        <v>3</v>
      </c>
      <c r="BG69" s="1" t="s">
        <v>3</v>
      </c>
      <c r="BH69" s="1" t="s">
        <v>3</v>
      </c>
      <c r="BI69" s="1" t="s">
        <v>3</v>
      </c>
      <c r="BJ69" s="1" t="s">
        <v>3</v>
      </c>
      <c r="BK69" s="1" t="s">
        <v>3</v>
      </c>
      <c r="BL69" s="1" t="s">
        <v>3</v>
      </c>
      <c r="BM69" s="1" t="s">
        <v>3</v>
      </c>
      <c r="BN69" s="1" t="s">
        <v>3</v>
      </c>
      <c r="BO69" s="1" t="s">
        <v>3</v>
      </c>
      <c r="BP69" s="1" t="s">
        <v>3</v>
      </c>
      <c r="BQ69" s="1"/>
      <c r="BR69" s="1"/>
      <c r="BS69" s="1"/>
      <c r="BT69" s="1"/>
      <c r="BU69" s="1"/>
      <c r="BV69" s="1"/>
      <c r="BW69" s="1"/>
      <c r="BX69" s="1">
        <v>0</v>
      </c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>
        <v>0</v>
      </c>
    </row>
    <row r="71" spans="1:245">
      <c r="A71" s="2">
        <v>52</v>
      </c>
      <c r="B71" s="2">
        <f t="shared" ref="B71:G71" si="64">B91</f>
        <v>1</v>
      </c>
      <c r="C71" s="2">
        <f t="shared" si="64"/>
        <v>5</v>
      </c>
      <c r="D71" s="2">
        <f t="shared" si="64"/>
        <v>69</v>
      </c>
      <c r="E71" s="2">
        <f t="shared" si="64"/>
        <v>0</v>
      </c>
      <c r="F71" s="2" t="str">
        <f t="shared" si="64"/>
        <v>Новый подраздел</v>
      </c>
      <c r="G71" s="2" t="str">
        <f t="shared" si="64"/>
        <v>стены</v>
      </c>
      <c r="H71" s="2"/>
      <c r="I71" s="2"/>
      <c r="J71" s="2"/>
      <c r="K71" s="2"/>
      <c r="L71" s="2"/>
      <c r="M71" s="2"/>
      <c r="N71" s="2"/>
      <c r="O71" s="2">
        <f t="shared" ref="O71:AT71" si="65">O91</f>
        <v>429268.53</v>
      </c>
      <c r="P71" s="2">
        <f t="shared" si="65"/>
        <v>325487.63</v>
      </c>
      <c r="Q71" s="2">
        <f t="shared" si="65"/>
        <v>6839.72</v>
      </c>
      <c r="R71" s="2">
        <f t="shared" si="65"/>
        <v>3070.52</v>
      </c>
      <c r="S71" s="2">
        <f t="shared" si="65"/>
        <v>96941.18</v>
      </c>
      <c r="T71" s="2">
        <f t="shared" si="65"/>
        <v>0</v>
      </c>
      <c r="U71" s="2">
        <f t="shared" si="65"/>
        <v>334.28727049999998</v>
      </c>
      <c r="V71" s="2">
        <f t="shared" si="65"/>
        <v>8.6663899999999998</v>
      </c>
      <c r="W71" s="2">
        <f t="shared" si="65"/>
        <v>20.18</v>
      </c>
      <c r="X71" s="2">
        <f t="shared" si="65"/>
        <v>95008.639999999999</v>
      </c>
      <c r="Y71" s="2">
        <f t="shared" si="65"/>
        <v>48477.5</v>
      </c>
      <c r="Z71" s="2">
        <f t="shared" si="65"/>
        <v>0</v>
      </c>
      <c r="AA71" s="2">
        <f t="shared" si="65"/>
        <v>0</v>
      </c>
      <c r="AB71" s="2">
        <f t="shared" si="65"/>
        <v>429268.53</v>
      </c>
      <c r="AC71" s="2">
        <f t="shared" si="65"/>
        <v>325487.63</v>
      </c>
      <c r="AD71" s="2">
        <f t="shared" si="65"/>
        <v>6839.72</v>
      </c>
      <c r="AE71" s="2">
        <f t="shared" si="65"/>
        <v>3070.52</v>
      </c>
      <c r="AF71" s="2">
        <f t="shared" si="65"/>
        <v>96941.18</v>
      </c>
      <c r="AG71" s="2">
        <f t="shared" si="65"/>
        <v>0</v>
      </c>
      <c r="AH71" s="2">
        <f t="shared" si="65"/>
        <v>334.28727049999998</v>
      </c>
      <c r="AI71" s="2">
        <f t="shared" si="65"/>
        <v>8.6663899999999998</v>
      </c>
      <c r="AJ71" s="2">
        <f t="shared" si="65"/>
        <v>20.18</v>
      </c>
      <c r="AK71" s="2">
        <f t="shared" si="65"/>
        <v>95008.639999999999</v>
      </c>
      <c r="AL71" s="2">
        <f t="shared" si="65"/>
        <v>48477.5</v>
      </c>
      <c r="AM71" s="2">
        <f t="shared" si="65"/>
        <v>0</v>
      </c>
      <c r="AN71" s="2">
        <f t="shared" si="65"/>
        <v>0</v>
      </c>
      <c r="AO71" s="2">
        <f t="shared" si="65"/>
        <v>0</v>
      </c>
      <c r="AP71" s="2">
        <f t="shared" si="65"/>
        <v>0</v>
      </c>
      <c r="AQ71" s="2">
        <f t="shared" si="65"/>
        <v>0</v>
      </c>
      <c r="AR71" s="2">
        <f t="shared" si="65"/>
        <v>572754.67000000004</v>
      </c>
      <c r="AS71" s="2">
        <f t="shared" si="65"/>
        <v>572754.67000000004</v>
      </c>
      <c r="AT71" s="2">
        <f t="shared" si="65"/>
        <v>0</v>
      </c>
      <c r="AU71" s="2">
        <f t="shared" ref="AU71:BZ71" si="66">AU91</f>
        <v>0</v>
      </c>
      <c r="AV71" s="2">
        <f t="shared" si="66"/>
        <v>325487.63</v>
      </c>
      <c r="AW71" s="2">
        <f t="shared" si="66"/>
        <v>325487.63</v>
      </c>
      <c r="AX71" s="2">
        <f t="shared" si="66"/>
        <v>0</v>
      </c>
      <c r="AY71" s="2">
        <f t="shared" si="66"/>
        <v>325487.63</v>
      </c>
      <c r="AZ71" s="2">
        <f t="shared" si="66"/>
        <v>0</v>
      </c>
      <c r="BA71" s="2">
        <f t="shared" si="66"/>
        <v>0</v>
      </c>
      <c r="BB71" s="2">
        <f t="shared" si="66"/>
        <v>0</v>
      </c>
      <c r="BC71" s="2">
        <f t="shared" si="66"/>
        <v>0</v>
      </c>
      <c r="BD71" s="2">
        <f t="shared" si="66"/>
        <v>0</v>
      </c>
      <c r="BE71" s="2">
        <f t="shared" si="66"/>
        <v>0</v>
      </c>
      <c r="BF71" s="2">
        <f t="shared" si="66"/>
        <v>0</v>
      </c>
      <c r="BG71" s="2">
        <f t="shared" si="66"/>
        <v>0</v>
      </c>
      <c r="BH71" s="2">
        <f t="shared" si="66"/>
        <v>0</v>
      </c>
      <c r="BI71" s="2">
        <f t="shared" si="66"/>
        <v>0</v>
      </c>
      <c r="BJ71" s="2">
        <f t="shared" si="66"/>
        <v>0</v>
      </c>
      <c r="BK71" s="2">
        <f t="shared" si="66"/>
        <v>0</v>
      </c>
      <c r="BL71" s="2">
        <f t="shared" si="66"/>
        <v>0</v>
      </c>
      <c r="BM71" s="2">
        <f t="shared" si="66"/>
        <v>0</v>
      </c>
      <c r="BN71" s="2">
        <f t="shared" si="66"/>
        <v>0</v>
      </c>
      <c r="BO71" s="2">
        <f t="shared" si="66"/>
        <v>0</v>
      </c>
      <c r="BP71" s="2">
        <f t="shared" si="66"/>
        <v>0</v>
      </c>
      <c r="BQ71" s="2">
        <f t="shared" si="66"/>
        <v>0</v>
      </c>
      <c r="BR71" s="2">
        <f t="shared" si="66"/>
        <v>0</v>
      </c>
      <c r="BS71" s="2">
        <f t="shared" si="66"/>
        <v>0</v>
      </c>
      <c r="BT71" s="2">
        <f t="shared" si="66"/>
        <v>0</v>
      </c>
      <c r="BU71" s="2">
        <f t="shared" si="66"/>
        <v>0</v>
      </c>
      <c r="BV71" s="2">
        <f t="shared" si="66"/>
        <v>0</v>
      </c>
      <c r="BW71" s="2">
        <f t="shared" si="66"/>
        <v>0</v>
      </c>
      <c r="BX71" s="2">
        <f t="shared" si="66"/>
        <v>0</v>
      </c>
      <c r="BY71" s="2">
        <f t="shared" si="66"/>
        <v>0</v>
      </c>
      <c r="BZ71" s="2">
        <f t="shared" si="66"/>
        <v>0</v>
      </c>
      <c r="CA71" s="2">
        <f t="shared" ref="CA71:DF71" si="67">CA91</f>
        <v>572754.67000000004</v>
      </c>
      <c r="CB71" s="2">
        <f t="shared" si="67"/>
        <v>572754.67000000004</v>
      </c>
      <c r="CC71" s="2">
        <f t="shared" si="67"/>
        <v>0</v>
      </c>
      <c r="CD71" s="2">
        <f t="shared" si="67"/>
        <v>0</v>
      </c>
      <c r="CE71" s="2">
        <f t="shared" si="67"/>
        <v>325487.63</v>
      </c>
      <c r="CF71" s="2">
        <f t="shared" si="67"/>
        <v>325487.63</v>
      </c>
      <c r="CG71" s="2">
        <f t="shared" si="67"/>
        <v>0</v>
      </c>
      <c r="CH71" s="2">
        <f t="shared" si="67"/>
        <v>325487.63</v>
      </c>
      <c r="CI71" s="2">
        <f t="shared" si="67"/>
        <v>0</v>
      </c>
      <c r="CJ71" s="2">
        <f t="shared" si="67"/>
        <v>0</v>
      </c>
      <c r="CK71" s="2">
        <f t="shared" si="67"/>
        <v>0</v>
      </c>
      <c r="CL71" s="2">
        <f t="shared" si="67"/>
        <v>0</v>
      </c>
      <c r="CM71" s="2">
        <f t="shared" si="67"/>
        <v>0</v>
      </c>
      <c r="CN71" s="2">
        <f t="shared" si="67"/>
        <v>0</v>
      </c>
      <c r="CO71" s="2">
        <f t="shared" si="67"/>
        <v>0</v>
      </c>
      <c r="CP71" s="2">
        <f t="shared" si="67"/>
        <v>0</v>
      </c>
      <c r="CQ71" s="2">
        <f t="shared" si="67"/>
        <v>0</v>
      </c>
      <c r="CR71" s="2">
        <f t="shared" si="67"/>
        <v>0</v>
      </c>
      <c r="CS71" s="2">
        <f t="shared" si="67"/>
        <v>0</v>
      </c>
      <c r="CT71" s="2">
        <f t="shared" si="67"/>
        <v>0</v>
      </c>
      <c r="CU71" s="2">
        <f t="shared" si="67"/>
        <v>0</v>
      </c>
      <c r="CV71" s="2">
        <f t="shared" si="67"/>
        <v>0</v>
      </c>
      <c r="CW71" s="2">
        <f t="shared" si="67"/>
        <v>0</v>
      </c>
      <c r="CX71" s="2">
        <f t="shared" si="67"/>
        <v>0</v>
      </c>
      <c r="CY71" s="2">
        <f t="shared" si="67"/>
        <v>0</v>
      </c>
      <c r="CZ71" s="2">
        <f t="shared" si="67"/>
        <v>0</v>
      </c>
      <c r="DA71" s="2">
        <f t="shared" si="67"/>
        <v>0</v>
      </c>
      <c r="DB71" s="2">
        <f t="shared" si="67"/>
        <v>0</v>
      </c>
      <c r="DC71" s="2">
        <f t="shared" si="67"/>
        <v>0</v>
      </c>
      <c r="DD71" s="2">
        <f t="shared" si="67"/>
        <v>0</v>
      </c>
      <c r="DE71" s="2">
        <f t="shared" si="67"/>
        <v>0</v>
      </c>
      <c r="DF71" s="2">
        <f t="shared" si="67"/>
        <v>0</v>
      </c>
      <c r="DG71" s="3">
        <f t="shared" ref="DG71:EL71" si="68">DG91</f>
        <v>0</v>
      </c>
      <c r="DH71" s="3">
        <f t="shared" si="68"/>
        <v>0</v>
      </c>
      <c r="DI71" s="3">
        <f t="shared" si="68"/>
        <v>0</v>
      </c>
      <c r="DJ71" s="3">
        <f t="shared" si="68"/>
        <v>0</v>
      </c>
      <c r="DK71" s="3">
        <f t="shared" si="68"/>
        <v>0</v>
      </c>
      <c r="DL71" s="3">
        <f t="shared" si="68"/>
        <v>0</v>
      </c>
      <c r="DM71" s="3">
        <f t="shared" si="68"/>
        <v>0</v>
      </c>
      <c r="DN71" s="3">
        <f t="shared" si="68"/>
        <v>0</v>
      </c>
      <c r="DO71" s="3">
        <f t="shared" si="68"/>
        <v>0</v>
      </c>
      <c r="DP71" s="3">
        <f t="shared" si="68"/>
        <v>0</v>
      </c>
      <c r="DQ71" s="3">
        <f t="shared" si="68"/>
        <v>0</v>
      </c>
      <c r="DR71" s="3">
        <f t="shared" si="68"/>
        <v>0</v>
      </c>
      <c r="DS71" s="3">
        <f t="shared" si="68"/>
        <v>0</v>
      </c>
      <c r="DT71" s="3">
        <f t="shared" si="68"/>
        <v>0</v>
      </c>
      <c r="DU71" s="3">
        <f t="shared" si="68"/>
        <v>0</v>
      </c>
      <c r="DV71" s="3">
        <f t="shared" si="68"/>
        <v>0</v>
      </c>
      <c r="DW71" s="3">
        <f t="shared" si="68"/>
        <v>0</v>
      </c>
      <c r="DX71" s="3">
        <f t="shared" si="68"/>
        <v>0</v>
      </c>
      <c r="DY71" s="3">
        <f t="shared" si="68"/>
        <v>0</v>
      </c>
      <c r="DZ71" s="3">
        <f t="shared" si="68"/>
        <v>0</v>
      </c>
      <c r="EA71" s="3">
        <f t="shared" si="68"/>
        <v>0</v>
      </c>
      <c r="EB71" s="3">
        <f t="shared" si="68"/>
        <v>0</v>
      </c>
      <c r="EC71" s="3">
        <f t="shared" si="68"/>
        <v>0</v>
      </c>
      <c r="ED71" s="3">
        <f t="shared" si="68"/>
        <v>0</v>
      </c>
      <c r="EE71" s="3">
        <f t="shared" si="68"/>
        <v>0</v>
      </c>
      <c r="EF71" s="3">
        <f t="shared" si="68"/>
        <v>0</v>
      </c>
      <c r="EG71" s="3">
        <f t="shared" si="68"/>
        <v>0</v>
      </c>
      <c r="EH71" s="3">
        <f t="shared" si="68"/>
        <v>0</v>
      </c>
      <c r="EI71" s="3">
        <f t="shared" si="68"/>
        <v>0</v>
      </c>
      <c r="EJ71" s="3">
        <f t="shared" si="68"/>
        <v>0</v>
      </c>
      <c r="EK71" s="3">
        <f t="shared" si="68"/>
        <v>0</v>
      </c>
      <c r="EL71" s="3">
        <f t="shared" si="68"/>
        <v>0</v>
      </c>
      <c r="EM71" s="3">
        <f t="shared" ref="EM71:FR71" si="69">EM91</f>
        <v>0</v>
      </c>
      <c r="EN71" s="3">
        <f t="shared" si="69"/>
        <v>0</v>
      </c>
      <c r="EO71" s="3">
        <f t="shared" si="69"/>
        <v>0</v>
      </c>
      <c r="EP71" s="3">
        <f t="shared" si="69"/>
        <v>0</v>
      </c>
      <c r="EQ71" s="3">
        <f t="shared" si="69"/>
        <v>0</v>
      </c>
      <c r="ER71" s="3">
        <f t="shared" si="69"/>
        <v>0</v>
      </c>
      <c r="ES71" s="3">
        <f t="shared" si="69"/>
        <v>0</v>
      </c>
      <c r="ET71" s="3">
        <f t="shared" si="69"/>
        <v>0</v>
      </c>
      <c r="EU71" s="3">
        <f t="shared" si="69"/>
        <v>0</v>
      </c>
      <c r="EV71" s="3">
        <f t="shared" si="69"/>
        <v>0</v>
      </c>
      <c r="EW71" s="3">
        <f t="shared" si="69"/>
        <v>0</v>
      </c>
      <c r="EX71" s="3">
        <f t="shared" si="69"/>
        <v>0</v>
      </c>
      <c r="EY71" s="3">
        <f t="shared" si="69"/>
        <v>0</v>
      </c>
      <c r="EZ71" s="3">
        <f t="shared" si="69"/>
        <v>0</v>
      </c>
      <c r="FA71" s="3">
        <f t="shared" si="69"/>
        <v>0</v>
      </c>
      <c r="FB71" s="3">
        <f t="shared" si="69"/>
        <v>0</v>
      </c>
      <c r="FC71" s="3">
        <f t="shared" si="69"/>
        <v>0</v>
      </c>
      <c r="FD71" s="3">
        <f t="shared" si="69"/>
        <v>0</v>
      </c>
      <c r="FE71" s="3">
        <f t="shared" si="69"/>
        <v>0</v>
      </c>
      <c r="FF71" s="3">
        <f t="shared" si="69"/>
        <v>0</v>
      </c>
      <c r="FG71" s="3">
        <f t="shared" si="69"/>
        <v>0</v>
      </c>
      <c r="FH71" s="3">
        <f t="shared" si="69"/>
        <v>0</v>
      </c>
      <c r="FI71" s="3">
        <f t="shared" si="69"/>
        <v>0</v>
      </c>
      <c r="FJ71" s="3">
        <f t="shared" si="69"/>
        <v>0</v>
      </c>
      <c r="FK71" s="3">
        <f t="shared" si="69"/>
        <v>0</v>
      </c>
      <c r="FL71" s="3">
        <f t="shared" si="69"/>
        <v>0</v>
      </c>
      <c r="FM71" s="3">
        <f t="shared" si="69"/>
        <v>0</v>
      </c>
      <c r="FN71" s="3">
        <f t="shared" si="69"/>
        <v>0</v>
      </c>
      <c r="FO71" s="3">
        <f t="shared" si="69"/>
        <v>0</v>
      </c>
      <c r="FP71" s="3">
        <f t="shared" si="69"/>
        <v>0</v>
      </c>
      <c r="FQ71" s="3">
        <f t="shared" si="69"/>
        <v>0</v>
      </c>
      <c r="FR71" s="3">
        <f t="shared" si="69"/>
        <v>0</v>
      </c>
      <c r="FS71" s="3">
        <f t="shared" ref="FS71:GX71" si="70">FS91</f>
        <v>0</v>
      </c>
      <c r="FT71" s="3">
        <f t="shared" si="70"/>
        <v>0</v>
      </c>
      <c r="FU71" s="3">
        <f t="shared" si="70"/>
        <v>0</v>
      </c>
      <c r="FV71" s="3">
        <f t="shared" si="70"/>
        <v>0</v>
      </c>
      <c r="FW71" s="3">
        <f t="shared" si="70"/>
        <v>0</v>
      </c>
      <c r="FX71" s="3">
        <f t="shared" si="70"/>
        <v>0</v>
      </c>
      <c r="FY71" s="3">
        <f t="shared" si="70"/>
        <v>0</v>
      </c>
      <c r="FZ71" s="3">
        <f t="shared" si="70"/>
        <v>0</v>
      </c>
      <c r="GA71" s="3">
        <f t="shared" si="70"/>
        <v>0</v>
      </c>
      <c r="GB71" s="3">
        <f t="shared" si="70"/>
        <v>0</v>
      </c>
      <c r="GC71" s="3">
        <f t="shared" si="70"/>
        <v>0</v>
      </c>
      <c r="GD71" s="3">
        <f t="shared" si="70"/>
        <v>0</v>
      </c>
      <c r="GE71" s="3">
        <f t="shared" si="70"/>
        <v>0</v>
      </c>
      <c r="GF71" s="3">
        <f t="shared" si="70"/>
        <v>0</v>
      </c>
      <c r="GG71" s="3">
        <f t="shared" si="70"/>
        <v>0</v>
      </c>
      <c r="GH71" s="3">
        <f t="shared" si="70"/>
        <v>0</v>
      </c>
      <c r="GI71" s="3">
        <f t="shared" si="70"/>
        <v>0</v>
      </c>
      <c r="GJ71" s="3">
        <f t="shared" si="70"/>
        <v>0</v>
      </c>
      <c r="GK71" s="3">
        <f t="shared" si="70"/>
        <v>0</v>
      </c>
      <c r="GL71" s="3">
        <f t="shared" si="70"/>
        <v>0</v>
      </c>
      <c r="GM71" s="3">
        <f t="shared" si="70"/>
        <v>0</v>
      </c>
      <c r="GN71" s="3">
        <f t="shared" si="70"/>
        <v>0</v>
      </c>
      <c r="GO71" s="3">
        <f t="shared" si="70"/>
        <v>0</v>
      </c>
      <c r="GP71" s="3">
        <f t="shared" si="70"/>
        <v>0</v>
      </c>
      <c r="GQ71" s="3">
        <f t="shared" si="70"/>
        <v>0</v>
      </c>
      <c r="GR71" s="3">
        <f t="shared" si="70"/>
        <v>0</v>
      </c>
      <c r="GS71" s="3">
        <f t="shared" si="70"/>
        <v>0</v>
      </c>
      <c r="GT71" s="3">
        <f t="shared" si="70"/>
        <v>0</v>
      </c>
      <c r="GU71" s="3">
        <f t="shared" si="70"/>
        <v>0</v>
      </c>
      <c r="GV71" s="3">
        <f t="shared" si="70"/>
        <v>0</v>
      </c>
      <c r="GW71" s="3">
        <f t="shared" si="70"/>
        <v>0</v>
      </c>
      <c r="GX71" s="3">
        <f t="shared" si="70"/>
        <v>0</v>
      </c>
    </row>
    <row r="73" spans="1:245">
      <c r="A73">
        <v>17</v>
      </c>
      <c r="B73">
        <v>1</v>
      </c>
      <c r="C73">
        <f>ROW(SmtRes!A18)</f>
        <v>18</v>
      </c>
      <c r="D73">
        <f>ROW(EtalonRes!A18)</f>
        <v>18</v>
      </c>
      <c r="E73" t="s">
        <v>15</v>
      </c>
      <c r="F73" t="s">
        <v>110</v>
      </c>
      <c r="G73" t="s">
        <v>111</v>
      </c>
      <c r="H73" t="s">
        <v>112</v>
      </c>
      <c r="I73">
        <f>ROUND(128.9/100,9)</f>
        <v>1.2889999999999999</v>
      </c>
      <c r="J73">
        <v>0</v>
      </c>
      <c r="K73">
        <f>ROUND(128.9/100,9)</f>
        <v>1.2889999999999999</v>
      </c>
      <c r="O73">
        <f t="shared" ref="O73:O89" si="71">ROUND(CP73,2)</f>
        <v>4941.9799999999996</v>
      </c>
      <c r="P73">
        <f t="shared" ref="P73:P89" si="72">ROUND(CQ73*I73,2)</f>
        <v>2088.5500000000002</v>
      </c>
      <c r="Q73">
        <f t="shared" ref="Q73:Q89" si="73">ROUND(CR73*I73,2)</f>
        <v>350.63</v>
      </c>
      <c r="R73">
        <f t="shared" ref="R73:R89" si="74">ROUND(CS73*I73,2)</f>
        <v>19.920000000000002</v>
      </c>
      <c r="S73">
        <f t="shared" ref="S73:S89" si="75">ROUND(CT73*I73,2)</f>
        <v>2502.8000000000002</v>
      </c>
      <c r="T73">
        <f t="shared" ref="T73:T89" si="76">ROUND(CU73*I73,2)</f>
        <v>0</v>
      </c>
      <c r="U73">
        <f t="shared" ref="U73:U89" si="77">CV73*I73</f>
        <v>8.8051589999999997</v>
      </c>
      <c r="V73">
        <f t="shared" ref="V73:V89" si="78">CW73*I73</f>
        <v>5.1559999999999995E-2</v>
      </c>
      <c r="W73">
        <f t="shared" ref="W73:W89" si="79">ROUND(CX73*I73,2)</f>
        <v>0</v>
      </c>
      <c r="X73">
        <f t="shared" ref="X73:X89" si="80">ROUND(CY73,2)</f>
        <v>2452.08</v>
      </c>
      <c r="Y73">
        <f t="shared" ref="Y73:Y89" si="81">ROUND(CZ73,2)</f>
        <v>1179.3699999999999</v>
      </c>
      <c r="AA73">
        <v>35841400</v>
      </c>
      <c r="AB73">
        <f t="shared" ref="AB73:AB89" si="82">ROUND((AC73+AD73+AF73),6)</f>
        <v>256.98750000000001</v>
      </c>
      <c r="AC73">
        <f t="shared" ref="AC73:AC89" si="83">ROUND((ES73),6)</f>
        <v>154.46</v>
      </c>
      <c r="AD73">
        <f>ROUND((((ET73)-(EU73))+AE73),6)</f>
        <v>44.74</v>
      </c>
      <c r="AE73">
        <f>ROUND((EU73),6)</f>
        <v>0.46</v>
      </c>
      <c r="AF73">
        <f>ROUND(((EV73*1.15)),6)</f>
        <v>57.787500000000001</v>
      </c>
      <c r="AG73">
        <f t="shared" ref="AG73:AG89" si="84">ROUND((AP73),6)</f>
        <v>0</v>
      </c>
      <c r="AH73">
        <f>((EW73*1.15))</f>
        <v>6.8309999999999995</v>
      </c>
      <c r="AI73">
        <f>(EX73)</f>
        <v>0.04</v>
      </c>
      <c r="AJ73">
        <f t="shared" ref="AJ73:AJ89" si="85">(AS73)</f>
        <v>0</v>
      </c>
      <c r="AK73">
        <v>249.45</v>
      </c>
      <c r="AL73">
        <v>154.46</v>
      </c>
      <c r="AM73">
        <v>44.74</v>
      </c>
      <c r="AN73">
        <v>0.46</v>
      </c>
      <c r="AO73">
        <v>50.25</v>
      </c>
      <c r="AP73">
        <v>0</v>
      </c>
      <c r="AQ73">
        <v>5.94</v>
      </c>
      <c r="AR73">
        <v>0.04</v>
      </c>
      <c r="AS73">
        <v>0</v>
      </c>
      <c r="AT73">
        <v>97.2</v>
      </c>
      <c r="AU73">
        <v>46.75</v>
      </c>
      <c r="AV73">
        <v>1</v>
      </c>
      <c r="AW73">
        <v>1</v>
      </c>
      <c r="AZ73">
        <v>1</v>
      </c>
      <c r="BA73">
        <v>33.6</v>
      </c>
      <c r="BB73">
        <v>6.08</v>
      </c>
      <c r="BC73">
        <v>10.49</v>
      </c>
      <c r="BD73" t="s">
        <v>3</v>
      </c>
      <c r="BE73" t="s">
        <v>3</v>
      </c>
      <c r="BF73" t="s">
        <v>3</v>
      </c>
      <c r="BG73" t="s">
        <v>3</v>
      </c>
      <c r="BH73">
        <v>0</v>
      </c>
      <c r="BI73">
        <v>1</v>
      </c>
      <c r="BJ73" t="s">
        <v>113</v>
      </c>
      <c r="BM73">
        <v>10001</v>
      </c>
      <c r="BN73">
        <v>0</v>
      </c>
      <c r="BO73" t="s">
        <v>110</v>
      </c>
      <c r="BP73">
        <v>1</v>
      </c>
      <c r="BQ73">
        <v>2</v>
      </c>
      <c r="BR73">
        <v>0</v>
      </c>
      <c r="BS73">
        <v>33.6</v>
      </c>
      <c r="BT73">
        <v>1</v>
      </c>
      <c r="BU73">
        <v>1</v>
      </c>
      <c r="BV73">
        <v>1</v>
      </c>
      <c r="BW73">
        <v>1</v>
      </c>
      <c r="BX73">
        <v>1</v>
      </c>
      <c r="BY73" t="s">
        <v>3</v>
      </c>
      <c r="BZ73">
        <v>97.2</v>
      </c>
      <c r="CA73">
        <v>46.75</v>
      </c>
      <c r="CB73" t="s">
        <v>3</v>
      </c>
      <c r="CE73">
        <v>0</v>
      </c>
      <c r="CF73">
        <v>0</v>
      </c>
      <c r="CG73">
        <v>0</v>
      </c>
      <c r="CM73">
        <v>0</v>
      </c>
      <c r="CN73" t="s">
        <v>606</v>
      </c>
      <c r="CO73">
        <v>0</v>
      </c>
      <c r="CP73">
        <f t="shared" ref="CP73:CP89" si="86">(P73+Q73+S73)</f>
        <v>4941.9800000000005</v>
      </c>
      <c r="CQ73">
        <f t="shared" ref="CQ73:CQ89" si="87">AC73*BC73</f>
        <v>1620.2854000000002</v>
      </c>
      <c r="CR73">
        <f t="shared" ref="CR73:CR89" si="88">AD73*BB73</f>
        <v>272.01920000000001</v>
      </c>
      <c r="CS73">
        <f t="shared" ref="CS73:CS89" si="89">AE73*BS73</f>
        <v>15.456000000000001</v>
      </c>
      <c r="CT73">
        <f t="shared" ref="CT73:CT89" si="90">AF73*BA73</f>
        <v>1941.66</v>
      </c>
      <c r="CU73">
        <f t="shared" ref="CU73:CU89" si="91">AG73</f>
        <v>0</v>
      </c>
      <c r="CV73">
        <f t="shared" ref="CV73:CV89" si="92">AH73</f>
        <v>6.8309999999999995</v>
      </c>
      <c r="CW73">
        <f t="shared" ref="CW73:CW89" si="93">AI73</f>
        <v>0.04</v>
      </c>
      <c r="CX73">
        <f t="shared" ref="CX73:CX89" si="94">AJ73</f>
        <v>0</v>
      </c>
      <c r="CY73">
        <f t="shared" ref="CY73:CY89" si="95">(((S73+R73)*AT73)/100)</f>
        <v>2452.0838400000002</v>
      </c>
      <c r="CZ73">
        <f t="shared" ref="CZ73:CZ89" si="96">(((S73+R73)*AU73)/100)</f>
        <v>1179.3716000000002</v>
      </c>
      <c r="DC73" t="s">
        <v>3</v>
      </c>
      <c r="DD73" t="s">
        <v>3</v>
      </c>
      <c r="DE73" t="s">
        <v>3</v>
      </c>
      <c r="DF73" t="s">
        <v>3</v>
      </c>
      <c r="DG73" t="s">
        <v>114</v>
      </c>
      <c r="DH73" t="s">
        <v>3</v>
      </c>
      <c r="DI73" t="s">
        <v>114</v>
      </c>
      <c r="DJ73" t="s">
        <v>3</v>
      </c>
      <c r="DK73" t="s">
        <v>3</v>
      </c>
      <c r="DL73" t="s">
        <v>3</v>
      </c>
      <c r="DM73" t="s">
        <v>3</v>
      </c>
      <c r="DN73">
        <v>0</v>
      </c>
      <c r="DO73">
        <v>0</v>
      </c>
      <c r="DP73">
        <v>1</v>
      </c>
      <c r="DQ73">
        <v>1</v>
      </c>
      <c r="DU73">
        <v>1013</v>
      </c>
      <c r="DV73" t="s">
        <v>112</v>
      </c>
      <c r="DW73" t="s">
        <v>112</v>
      </c>
      <c r="DX73">
        <v>1</v>
      </c>
      <c r="DZ73" t="s">
        <v>3</v>
      </c>
      <c r="EA73" t="s">
        <v>3</v>
      </c>
      <c r="EB73" t="s">
        <v>3</v>
      </c>
      <c r="EC73" t="s">
        <v>3</v>
      </c>
      <c r="EE73">
        <v>36520026</v>
      </c>
      <c r="EF73">
        <v>2</v>
      </c>
      <c r="EG73" t="s">
        <v>28</v>
      </c>
      <c r="EH73">
        <v>0</v>
      </c>
      <c r="EI73" t="s">
        <v>3</v>
      </c>
      <c r="EJ73">
        <v>1</v>
      </c>
      <c r="EK73">
        <v>10001</v>
      </c>
      <c r="EL73" t="s">
        <v>115</v>
      </c>
      <c r="EM73" t="s">
        <v>116</v>
      </c>
      <c r="EO73" t="s">
        <v>117</v>
      </c>
      <c r="EQ73">
        <v>0</v>
      </c>
      <c r="ER73">
        <v>249.45</v>
      </c>
      <c r="ES73">
        <v>154.46</v>
      </c>
      <c r="ET73">
        <v>44.74</v>
      </c>
      <c r="EU73">
        <v>0.46</v>
      </c>
      <c r="EV73">
        <v>50.25</v>
      </c>
      <c r="EW73">
        <v>5.94</v>
      </c>
      <c r="EX73">
        <v>0.04</v>
      </c>
      <c r="EY73">
        <v>0</v>
      </c>
      <c r="FQ73">
        <v>0</v>
      </c>
      <c r="FR73">
        <f t="shared" ref="FR73:FR89" si="97">ROUND(IF(AND(BH73=3,BI73=3),P73,0),2)</f>
        <v>0</v>
      </c>
      <c r="FS73">
        <v>0</v>
      </c>
      <c r="FX73">
        <v>97.2</v>
      </c>
      <c r="FY73">
        <v>46.75</v>
      </c>
      <c r="GA73" t="s">
        <v>3</v>
      </c>
      <c r="GD73">
        <v>1</v>
      </c>
      <c r="GF73">
        <v>513310785</v>
      </c>
      <c r="GG73">
        <v>2</v>
      </c>
      <c r="GH73">
        <v>2</v>
      </c>
      <c r="GI73">
        <v>2</v>
      </c>
      <c r="GJ73">
        <v>0</v>
      </c>
      <c r="GK73">
        <v>0</v>
      </c>
      <c r="GL73">
        <f t="shared" ref="GL73:GL89" si="98">ROUND(IF(AND(BH73=3,BI73=3,FS73&lt;&gt;0),P73,0),2)</f>
        <v>0</v>
      </c>
      <c r="GM73">
        <f t="shared" ref="GM73:GM89" si="99">ROUND(O73+X73+Y73,2)+GX73</f>
        <v>8573.43</v>
      </c>
      <c r="GN73">
        <f t="shared" ref="GN73:GN89" si="100">IF(OR(BI73=0,BI73=1),ROUND(O73+X73+Y73,2),0)</f>
        <v>8573.43</v>
      </c>
      <c r="GO73">
        <f t="shared" ref="GO73:GO89" si="101">IF(BI73=2,ROUND(O73+X73+Y73,2),0)</f>
        <v>0</v>
      </c>
      <c r="GP73">
        <f t="shared" ref="GP73:GP89" si="102">IF(BI73=4,ROUND(O73+X73+Y73,2)+GX73,0)</f>
        <v>0</v>
      </c>
      <c r="GR73">
        <v>0</v>
      </c>
      <c r="GS73">
        <v>3</v>
      </c>
      <c r="GT73">
        <v>0</v>
      </c>
      <c r="GU73" t="s">
        <v>3</v>
      </c>
      <c r="GV73">
        <f t="shared" ref="GV73:GV89" si="103">ROUND((GT73),6)</f>
        <v>0</v>
      </c>
      <c r="GW73">
        <v>1</v>
      </c>
      <c r="GX73">
        <f t="shared" ref="GX73:GX89" si="104">ROUND(HC73*I73,2)</f>
        <v>0</v>
      </c>
      <c r="HA73">
        <v>0</v>
      </c>
      <c r="HB73">
        <v>0</v>
      </c>
      <c r="HC73">
        <f t="shared" ref="HC73:HC89" si="105">GV73*GW73</f>
        <v>0</v>
      </c>
      <c r="HE73" t="s">
        <v>3</v>
      </c>
      <c r="HF73" t="s">
        <v>3</v>
      </c>
      <c r="HM73" t="s">
        <v>3</v>
      </c>
      <c r="HN73" t="s">
        <v>3</v>
      </c>
      <c r="HO73" t="s">
        <v>3</v>
      </c>
      <c r="HP73" t="s">
        <v>3</v>
      </c>
      <c r="HQ73" t="s">
        <v>3</v>
      </c>
      <c r="IK73">
        <v>0</v>
      </c>
    </row>
    <row r="74" spans="1:245">
      <c r="A74">
        <v>17</v>
      </c>
      <c r="B74">
        <v>1</v>
      </c>
      <c r="C74">
        <f>ROW(SmtRes!A37)</f>
        <v>37</v>
      </c>
      <c r="D74">
        <f>ROW(EtalonRes!A37)</f>
        <v>37</v>
      </c>
      <c r="E74" t="s">
        <v>31</v>
      </c>
      <c r="F74" t="s">
        <v>118</v>
      </c>
      <c r="G74" t="s">
        <v>119</v>
      </c>
      <c r="H74" t="s">
        <v>120</v>
      </c>
      <c r="I74">
        <f>ROUND(51/100,9)</f>
        <v>0.51</v>
      </c>
      <c r="J74">
        <v>0</v>
      </c>
      <c r="K74">
        <f>ROUND(51/100,9)</f>
        <v>0.51</v>
      </c>
      <c r="O74">
        <f t="shared" si="71"/>
        <v>33024.21</v>
      </c>
      <c r="P74">
        <f t="shared" si="72"/>
        <v>20279.310000000001</v>
      </c>
      <c r="Q74">
        <f t="shared" si="73"/>
        <v>54.57</v>
      </c>
      <c r="R74">
        <f t="shared" si="74"/>
        <v>0</v>
      </c>
      <c r="S74">
        <f t="shared" si="75"/>
        <v>12690.33</v>
      </c>
      <c r="T74">
        <f t="shared" si="76"/>
        <v>0</v>
      </c>
      <c r="U74">
        <f t="shared" si="77"/>
        <v>41.641499999999994</v>
      </c>
      <c r="V74">
        <f t="shared" si="78"/>
        <v>0</v>
      </c>
      <c r="W74">
        <f t="shared" si="79"/>
        <v>0</v>
      </c>
      <c r="X74">
        <f t="shared" si="80"/>
        <v>12335</v>
      </c>
      <c r="Y74">
        <f t="shared" si="81"/>
        <v>5932.73</v>
      </c>
      <c r="AA74">
        <v>35841400</v>
      </c>
      <c r="AB74">
        <f t="shared" si="82"/>
        <v>6463.9754999999996</v>
      </c>
      <c r="AC74">
        <f t="shared" si="83"/>
        <v>5704.93</v>
      </c>
      <c r="AD74">
        <f>ROUND((((ET74)-(EU74))+AE74),6)</f>
        <v>18.48</v>
      </c>
      <c r="AE74">
        <f>ROUND((EU74),6)</f>
        <v>0</v>
      </c>
      <c r="AF74">
        <f>ROUND(((EV74*1.15)),6)</f>
        <v>740.56550000000004</v>
      </c>
      <c r="AG74">
        <f t="shared" si="84"/>
        <v>0</v>
      </c>
      <c r="AH74">
        <f>((EW74*1.15))</f>
        <v>81.649999999999991</v>
      </c>
      <c r="AI74">
        <f>(EX74)</f>
        <v>0</v>
      </c>
      <c r="AJ74">
        <f t="shared" si="85"/>
        <v>0</v>
      </c>
      <c r="AK74">
        <v>6367.38</v>
      </c>
      <c r="AL74">
        <v>5704.93</v>
      </c>
      <c r="AM74">
        <v>18.48</v>
      </c>
      <c r="AN74">
        <v>0</v>
      </c>
      <c r="AO74">
        <v>643.97</v>
      </c>
      <c r="AP74">
        <v>0</v>
      </c>
      <c r="AQ74">
        <v>71</v>
      </c>
      <c r="AR74">
        <v>0</v>
      </c>
      <c r="AS74">
        <v>0</v>
      </c>
      <c r="AT74">
        <v>97.2</v>
      </c>
      <c r="AU74">
        <v>46.75</v>
      </c>
      <c r="AV74">
        <v>1</v>
      </c>
      <c r="AW74">
        <v>1</v>
      </c>
      <c r="AZ74">
        <v>1</v>
      </c>
      <c r="BA74">
        <v>33.6</v>
      </c>
      <c r="BB74">
        <v>5.79</v>
      </c>
      <c r="BC74">
        <v>6.97</v>
      </c>
      <c r="BD74" t="s">
        <v>3</v>
      </c>
      <c r="BE74" t="s">
        <v>3</v>
      </c>
      <c r="BF74" t="s">
        <v>3</v>
      </c>
      <c r="BG74" t="s">
        <v>3</v>
      </c>
      <c r="BH74">
        <v>0</v>
      </c>
      <c r="BI74">
        <v>1</v>
      </c>
      <c r="BJ74" t="s">
        <v>121</v>
      </c>
      <c r="BM74">
        <v>10001</v>
      </c>
      <c r="BN74">
        <v>0</v>
      </c>
      <c r="BO74" t="s">
        <v>118</v>
      </c>
      <c r="BP74">
        <v>1</v>
      </c>
      <c r="BQ74">
        <v>2</v>
      </c>
      <c r="BR74">
        <v>0</v>
      </c>
      <c r="BS74">
        <v>33.6</v>
      </c>
      <c r="BT74">
        <v>1</v>
      </c>
      <c r="BU74">
        <v>1</v>
      </c>
      <c r="BV74">
        <v>1</v>
      </c>
      <c r="BW74">
        <v>1</v>
      </c>
      <c r="BX74">
        <v>1</v>
      </c>
      <c r="BY74" t="s">
        <v>3</v>
      </c>
      <c r="BZ74">
        <v>97.2</v>
      </c>
      <c r="CA74">
        <v>46.75</v>
      </c>
      <c r="CB74" t="s">
        <v>3</v>
      </c>
      <c r="CE74">
        <v>0</v>
      </c>
      <c r="CF74">
        <v>0</v>
      </c>
      <c r="CG74">
        <v>0</v>
      </c>
      <c r="CM74">
        <v>0</v>
      </c>
      <c r="CN74" t="s">
        <v>606</v>
      </c>
      <c r="CO74">
        <v>0</v>
      </c>
      <c r="CP74">
        <f t="shared" si="86"/>
        <v>33024.21</v>
      </c>
      <c r="CQ74">
        <f t="shared" si="87"/>
        <v>39763.362099999998</v>
      </c>
      <c r="CR74">
        <f t="shared" si="88"/>
        <v>106.9992</v>
      </c>
      <c r="CS74">
        <f t="shared" si="89"/>
        <v>0</v>
      </c>
      <c r="CT74">
        <f t="shared" si="90"/>
        <v>24883.000800000002</v>
      </c>
      <c r="CU74">
        <f t="shared" si="91"/>
        <v>0</v>
      </c>
      <c r="CV74">
        <f t="shared" si="92"/>
        <v>81.649999999999991</v>
      </c>
      <c r="CW74">
        <f t="shared" si="93"/>
        <v>0</v>
      </c>
      <c r="CX74">
        <f t="shared" si="94"/>
        <v>0</v>
      </c>
      <c r="CY74">
        <f t="shared" si="95"/>
        <v>12335.000760000001</v>
      </c>
      <c r="CZ74">
        <f t="shared" si="96"/>
        <v>5932.7292749999997</v>
      </c>
      <c r="DC74" t="s">
        <v>3</v>
      </c>
      <c r="DD74" t="s">
        <v>3</v>
      </c>
      <c r="DE74" t="s">
        <v>3</v>
      </c>
      <c r="DF74" t="s">
        <v>3</v>
      </c>
      <c r="DG74" t="s">
        <v>114</v>
      </c>
      <c r="DH74" t="s">
        <v>3</v>
      </c>
      <c r="DI74" t="s">
        <v>114</v>
      </c>
      <c r="DJ74" t="s">
        <v>3</v>
      </c>
      <c r="DK74" t="s">
        <v>3</v>
      </c>
      <c r="DL74" t="s">
        <v>3</v>
      </c>
      <c r="DM74" t="s">
        <v>3</v>
      </c>
      <c r="DN74">
        <v>0</v>
      </c>
      <c r="DO74">
        <v>0</v>
      </c>
      <c r="DP74">
        <v>1</v>
      </c>
      <c r="DQ74">
        <v>1</v>
      </c>
      <c r="DU74">
        <v>1005</v>
      </c>
      <c r="DV74" t="s">
        <v>120</v>
      </c>
      <c r="DW74" t="s">
        <v>120</v>
      </c>
      <c r="DX74">
        <v>100</v>
      </c>
      <c r="DZ74" t="s">
        <v>3</v>
      </c>
      <c r="EA74" t="s">
        <v>3</v>
      </c>
      <c r="EB74" t="s">
        <v>3</v>
      </c>
      <c r="EC74" t="s">
        <v>3</v>
      </c>
      <c r="EE74">
        <v>36520026</v>
      </c>
      <c r="EF74">
        <v>2</v>
      </c>
      <c r="EG74" t="s">
        <v>28</v>
      </c>
      <c r="EH74">
        <v>0</v>
      </c>
      <c r="EI74" t="s">
        <v>3</v>
      </c>
      <c r="EJ74">
        <v>1</v>
      </c>
      <c r="EK74">
        <v>10001</v>
      </c>
      <c r="EL74" t="s">
        <v>115</v>
      </c>
      <c r="EM74" t="s">
        <v>116</v>
      </c>
      <c r="EO74" t="s">
        <v>117</v>
      </c>
      <c r="EQ74">
        <v>0</v>
      </c>
      <c r="ER74">
        <v>6367.38</v>
      </c>
      <c r="ES74">
        <v>5704.93</v>
      </c>
      <c r="ET74">
        <v>18.48</v>
      </c>
      <c r="EU74">
        <v>0</v>
      </c>
      <c r="EV74">
        <v>643.97</v>
      </c>
      <c r="EW74">
        <v>71</v>
      </c>
      <c r="EX74">
        <v>0</v>
      </c>
      <c r="EY74">
        <v>0</v>
      </c>
      <c r="FQ74">
        <v>0</v>
      </c>
      <c r="FR74">
        <f t="shared" si="97"/>
        <v>0</v>
      </c>
      <c r="FS74">
        <v>0</v>
      </c>
      <c r="FX74">
        <v>97.2</v>
      </c>
      <c r="FY74">
        <v>46.75</v>
      </c>
      <c r="GA74" t="s">
        <v>3</v>
      </c>
      <c r="GD74">
        <v>1</v>
      </c>
      <c r="GF74">
        <v>481894908</v>
      </c>
      <c r="GG74">
        <v>2</v>
      </c>
      <c r="GH74">
        <v>2</v>
      </c>
      <c r="GI74">
        <v>2</v>
      </c>
      <c r="GJ74">
        <v>0</v>
      </c>
      <c r="GK74">
        <v>0</v>
      </c>
      <c r="GL74">
        <f t="shared" si="98"/>
        <v>0</v>
      </c>
      <c r="GM74">
        <f t="shared" si="99"/>
        <v>51291.94</v>
      </c>
      <c r="GN74">
        <f t="shared" si="100"/>
        <v>51291.94</v>
      </c>
      <c r="GO74">
        <f t="shared" si="101"/>
        <v>0</v>
      </c>
      <c r="GP74">
        <f t="shared" si="102"/>
        <v>0</v>
      </c>
      <c r="GR74">
        <v>0</v>
      </c>
      <c r="GS74">
        <v>3</v>
      </c>
      <c r="GT74">
        <v>0</v>
      </c>
      <c r="GU74" t="s">
        <v>3</v>
      </c>
      <c r="GV74">
        <f t="shared" si="103"/>
        <v>0</v>
      </c>
      <c r="GW74">
        <v>1</v>
      </c>
      <c r="GX74">
        <f t="shared" si="104"/>
        <v>0</v>
      </c>
      <c r="HA74">
        <v>0</v>
      </c>
      <c r="HB74">
        <v>0</v>
      </c>
      <c r="HC74">
        <f t="shared" si="105"/>
        <v>0</v>
      </c>
      <c r="HE74" t="s">
        <v>3</v>
      </c>
      <c r="HF74" t="s">
        <v>3</v>
      </c>
      <c r="HM74" t="s">
        <v>3</v>
      </c>
      <c r="HN74" t="s">
        <v>3</v>
      </c>
      <c r="HO74" t="s">
        <v>3</v>
      </c>
      <c r="HP74" t="s">
        <v>3</v>
      </c>
      <c r="HQ74" t="s">
        <v>3</v>
      </c>
      <c r="IK74">
        <v>0</v>
      </c>
    </row>
    <row r="75" spans="1:245">
      <c r="A75">
        <v>17</v>
      </c>
      <c r="B75">
        <v>1</v>
      </c>
      <c r="C75">
        <f>ROW(SmtRes!A42)</f>
        <v>42</v>
      </c>
      <c r="D75">
        <f>ROW(EtalonRes!A43)</f>
        <v>43</v>
      </c>
      <c r="E75" t="s">
        <v>122</v>
      </c>
      <c r="F75" t="s">
        <v>123</v>
      </c>
      <c r="G75" t="s">
        <v>124</v>
      </c>
      <c r="H75" t="s">
        <v>125</v>
      </c>
      <c r="I75">
        <f>ROUND(51/100,9)</f>
        <v>0.51</v>
      </c>
      <c r="J75">
        <v>0</v>
      </c>
      <c r="K75">
        <f>ROUND(51/100,9)</f>
        <v>0.51</v>
      </c>
      <c r="O75">
        <f t="shared" si="71"/>
        <v>5632.5</v>
      </c>
      <c r="P75">
        <f t="shared" si="72"/>
        <v>1478.11</v>
      </c>
      <c r="Q75">
        <f t="shared" si="73"/>
        <v>157.74</v>
      </c>
      <c r="R75">
        <f t="shared" si="74"/>
        <v>27.76</v>
      </c>
      <c r="S75">
        <f t="shared" si="75"/>
        <v>3996.65</v>
      </c>
      <c r="T75">
        <f t="shared" si="76"/>
        <v>0</v>
      </c>
      <c r="U75">
        <f t="shared" si="77"/>
        <v>13.424985</v>
      </c>
      <c r="V75">
        <f t="shared" si="78"/>
        <v>6.1199999999999997E-2</v>
      </c>
      <c r="W75">
        <f t="shared" si="79"/>
        <v>0</v>
      </c>
      <c r="X75">
        <f t="shared" si="80"/>
        <v>3903.68</v>
      </c>
      <c r="Y75">
        <f t="shared" si="81"/>
        <v>1891.47</v>
      </c>
      <c r="AA75">
        <v>35841400</v>
      </c>
      <c r="AB75">
        <f t="shared" si="82"/>
        <v>1539.9915000000001</v>
      </c>
      <c r="AC75">
        <f t="shared" si="83"/>
        <v>1276.76</v>
      </c>
      <c r="AD75">
        <f>ROUND((((ET75)-(EU75))+AE75),6)</f>
        <v>30</v>
      </c>
      <c r="AE75">
        <f>ROUND((EU75),6)</f>
        <v>1.62</v>
      </c>
      <c r="AF75">
        <f>ROUND(((EV75*1.15)),6)</f>
        <v>233.23150000000001</v>
      </c>
      <c r="AG75">
        <f t="shared" si="84"/>
        <v>0</v>
      </c>
      <c r="AH75">
        <f>((EW75*1.15))</f>
        <v>26.323499999999999</v>
      </c>
      <c r="AI75">
        <f>(EX75)</f>
        <v>0.12</v>
      </c>
      <c r="AJ75">
        <f t="shared" si="85"/>
        <v>0</v>
      </c>
      <c r="AK75">
        <v>1509.57</v>
      </c>
      <c r="AL75">
        <v>1276.76</v>
      </c>
      <c r="AM75">
        <v>30</v>
      </c>
      <c r="AN75">
        <v>1.62</v>
      </c>
      <c r="AO75">
        <v>202.81</v>
      </c>
      <c r="AP75">
        <v>0</v>
      </c>
      <c r="AQ75">
        <v>22.89</v>
      </c>
      <c r="AR75">
        <v>0.12</v>
      </c>
      <c r="AS75">
        <v>0</v>
      </c>
      <c r="AT75">
        <v>97</v>
      </c>
      <c r="AU75">
        <v>47</v>
      </c>
      <c r="AV75">
        <v>1</v>
      </c>
      <c r="AW75">
        <v>1</v>
      </c>
      <c r="AZ75">
        <v>1</v>
      </c>
      <c r="BA75">
        <v>33.6</v>
      </c>
      <c r="BB75">
        <v>10.31</v>
      </c>
      <c r="BC75">
        <v>2.27</v>
      </c>
      <c r="BD75" t="s">
        <v>3</v>
      </c>
      <c r="BE75" t="s">
        <v>3</v>
      </c>
      <c r="BF75" t="s">
        <v>3</v>
      </c>
      <c r="BG75" t="s">
        <v>3</v>
      </c>
      <c r="BH75">
        <v>0</v>
      </c>
      <c r="BI75">
        <v>1</v>
      </c>
      <c r="BJ75" t="s">
        <v>126</v>
      </c>
      <c r="BM75">
        <v>10001</v>
      </c>
      <c r="BN75">
        <v>0</v>
      </c>
      <c r="BO75" t="s">
        <v>123</v>
      </c>
      <c r="BP75">
        <v>1</v>
      </c>
      <c r="BQ75">
        <v>2</v>
      </c>
      <c r="BR75">
        <v>0</v>
      </c>
      <c r="BS75">
        <v>33.6</v>
      </c>
      <c r="BT75">
        <v>1</v>
      </c>
      <c r="BU75">
        <v>1</v>
      </c>
      <c r="BV75">
        <v>1</v>
      </c>
      <c r="BW75">
        <v>1</v>
      </c>
      <c r="BX75">
        <v>1</v>
      </c>
      <c r="BY75" t="s">
        <v>3</v>
      </c>
      <c r="BZ75">
        <v>97</v>
      </c>
      <c r="CA75">
        <v>47</v>
      </c>
      <c r="CB75" t="s">
        <v>3</v>
      </c>
      <c r="CE75">
        <v>0</v>
      </c>
      <c r="CF75">
        <v>0</v>
      </c>
      <c r="CG75">
        <v>0</v>
      </c>
      <c r="CM75">
        <v>0</v>
      </c>
      <c r="CN75" t="s">
        <v>606</v>
      </c>
      <c r="CO75">
        <v>0</v>
      </c>
      <c r="CP75">
        <f t="shared" si="86"/>
        <v>5632.5</v>
      </c>
      <c r="CQ75">
        <f t="shared" si="87"/>
        <v>2898.2451999999998</v>
      </c>
      <c r="CR75">
        <f t="shared" si="88"/>
        <v>309.3</v>
      </c>
      <c r="CS75">
        <f t="shared" si="89"/>
        <v>54.432000000000009</v>
      </c>
      <c r="CT75">
        <f t="shared" si="90"/>
        <v>7836.5784000000003</v>
      </c>
      <c r="CU75">
        <f t="shared" si="91"/>
        <v>0</v>
      </c>
      <c r="CV75">
        <f t="shared" si="92"/>
        <v>26.323499999999999</v>
      </c>
      <c r="CW75">
        <f t="shared" si="93"/>
        <v>0.12</v>
      </c>
      <c r="CX75">
        <f t="shared" si="94"/>
        <v>0</v>
      </c>
      <c r="CY75">
        <f t="shared" si="95"/>
        <v>3903.6777000000002</v>
      </c>
      <c r="CZ75">
        <f t="shared" si="96"/>
        <v>1891.4727000000003</v>
      </c>
      <c r="DC75" t="s">
        <v>3</v>
      </c>
      <c r="DD75" t="s">
        <v>3</v>
      </c>
      <c r="DE75" t="s">
        <v>3</v>
      </c>
      <c r="DF75" t="s">
        <v>3</v>
      </c>
      <c r="DG75" t="s">
        <v>114</v>
      </c>
      <c r="DH75" t="s">
        <v>3</v>
      </c>
      <c r="DI75" t="s">
        <v>114</v>
      </c>
      <c r="DJ75" t="s">
        <v>3</v>
      </c>
      <c r="DK75" t="s">
        <v>3</v>
      </c>
      <c r="DL75" t="s">
        <v>3</v>
      </c>
      <c r="DM75" t="s">
        <v>3</v>
      </c>
      <c r="DN75">
        <v>0</v>
      </c>
      <c r="DO75">
        <v>0</v>
      </c>
      <c r="DP75">
        <v>1</v>
      </c>
      <c r="DQ75">
        <v>1</v>
      </c>
      <c r="DU75">
        <v>1013</v>
      </c>
      <c r="DV75" t="s">
        <v>125</v>
      </c>
      <c r="DW75" t="s">
        <v>125</v>
      </c>
      <c r="DX75">
        <v>1</v>
      </c>
      <c r="DZ75" t="s">
        <v>3</v>
      </c>
      <c r="EA75" t="s">
        <v>3</v>
      </c>
      <c r="EB75" t="s">
        <v>3</v>
      </c>
      <c r="EC75" t="s">
        <v>3</v>
      </c>
      <c r="EE75">
        <v>36520026</v>
      </c>
      <c r="EF75">
        <v>2</v>
      </c>
      <c r="EG75" t="s">
        <v>28</v>
      </c>
      <c r="EH75">
        <v>0</v>
      </c>
      <c r="EI75" t="s">
        <v>3</v>
      </c>
      <c r="EJ75">
        <v>1</v>
      </c>
      <c r="EK75">
        <v>10001</v>
      </c>
      <c r="EL75" t="s">
        <v>115</v>
      </c>
      <c r="EM75" t="s">
        <v>116</v>
      </c>
      <c r="EO75" t="s">
        <v>117</v>
      </c>
      <c r="EQ75">
        <v>0</v>
      </c>
      <c r="ER75">
        <v>1509.57</v>
      </c>
      <c r="ES75">
        <v>1276.76</v>
      </c>
      <c r="ET75">
        <v>30</v>
      </c>
      <c r="EU75">
        <v>1.62</v>
      </c>
      <c r="EV75">
        <v>202.81</v>
      </c>
      <c r="EW75">
        <v>22.89</v>
      </c>
      <c r="EX75">
        <v>0.12</v>
      </c>
      <c r="EY75">
        <v>0</v>
      </c>
      <c r="FQ75">
        <v>0</v>
      </c>
      <c r="FR75">
        <f t="shared" si="97"/>
        <v>0</v>
      </c>
      <c r="FS75">
        <v>0</v>
      </c>
      <c r="FX75">
        <v>97</v>
      </c>
      <c r="FY75">
        <v>47</v>
      </c>
      <c r="GA75" t="s">
        <v>3</v>
      </c>
      <c r="GD75">
        <v>1</v>
      </c>
      <c r="GF75">
        <v>-347300229</v>
      </c>
      <c r="GG75">
        <v>2</v>
      </c>
      <c r="GH75">
        <v>2</v>
      </c>
      <c r="GI75">
        <v>2</v>
      </c>
      <c r="GJ75">
        <v>0</v>
      </c>
      <c r="GK75">
        <v>0</v>
      </c>
      <c r="GL75">
        <f t="shared" si="98"/>
        <v>0</v>
      </c>
      <c r="GM75">
        <f t="shared" si="99"/>
        <v>11427.65</v>
      </c>
      <c r="GN75">
        <f t="shared" si="100"/>
        <v>11427.65</v>
      </c>
      <c r="GO75">
        <f t="shared" si="101"/>
        <v>0</v>
      </c>
      <c r="GP75">
        <f t="shared" si="102"/>
        <v>0</v>
      </c>
      <c r="GR75">
        <v>0</v>
      </c>
      <c r="GS75">
        <v>3</v>
      </c>
      <c r="GT75">
        <v>0</v>
      </c>
      <c r="GU75" t="s">
        <v>3</v>
      </c>
      <c r="GV75">
        <f t="shared" si="103"/>
        <v>0</v>
      </c>
      <c r="GW75">
        <v>1</v>
      </c>
      <c r="GX75">
        <f t="shared" si="104"/>
        <v>0</v>
      </c>
      <c r="HA75">
        <v>0</v>
      </c>
      <c r="HB75">
        <v>0</v>
      </c>
      <c r="HC75">
        <f t="shared" si="105"/>
        <v>0</v>
      </c>
      <c r="HE75" t="s">
        <v>3</v>
      </c>
      <c r="HF75" t="s">
        <v>3</v>
      </c>
      <c r="HM75" t="s">
        <v>3</v>
      </c>
      <c r="HN75" t="s">
        <v>3</v>
      </c>
      <c r="HO75" t="s">
        <v>3</v>
      </c>
      <c r="HP75" t="s">
        <v>3</v>
      </c>
      <c r="HQ75" t="s">
        <v>3</v>
      </c>
      <c r="IK75">
        <v>0</v>
      </c>
    </row>
    <row r="76" spans="1:245">
      <c r="A76">
        <v>17</v>
      </c>
      <c r="B76">
        <v>1</v>
      </c>
      <c r="E76" t="s">
        <v>43</v>
      </c>
      <c r="F76" t="s">
        <v>127</v>
      </c>
      <c r="G76" t="s">
        <v>128</v>
      </c>
      <c r="H76" t="s">
        <v>129</v>
      </c>
      <c r="I76">
        <v>51</v>
      </c>
      <c r="J76">
        <v>0</v>
      </c>
      <c r="K76">
        <v>51</v>
      </c>
      <c r="O76">
        <f t="shared" si="71"/>
        <v>5495.62</v>
      </c>
      <c r="P76">
        <f t="shared" si="72"/>
        <v>5495.62</v>
      </c>
      <c r="Q76">
        <f t="shared" si="73"/>
        <v>0</v>
      </c>
      <c r="R76">
        <f t="shared" si="74"/>
        <v>0</v>
      </c>
      <c r="S76">
        <f t="shared" si="75"/>
        <v>0</v>
      </c>
      <c r="T76">
        <f t="shared" si="76"/>
        <v>0</v>
      </c>
      <c r="U76">
        <f t="shared" si="77"/>
        <v>0</v>
      </c>
      <c r="V76">
        <f t="shared" si="78"/>
        <v>0</v>
      </c>
      <c r="W76">
        <f t="shared" si="79"/>
        <v>7.14</v>
      </c>
      <c r="X76">
        <f t="shared" si="80"/>
        <v>0</v>
      </c>
      <c r="Y76">
        <f t="shared" si="81"/>
        <v>0</v>
      </c>
      <c r="AA76">
        <v>35841400</v>
      </c>
      <c r="AB76">
        <f t="shared" si="82"/>
        <v>20.37</v>
      </c>
      <c r="AC76">
        <f t="shared" si="83"/>
        <v>20.37</v>
      </c>
      <c r="AD76">
        <f>ROUND((((ET76)-(EU76))+AE76),6)</f>
        <v>0</v>
      </c>
      <c r="AE76">
        <f>ROUND((EU76),6)</f>
        <v>0</v>
      </c>
      <c r="AF76">
        <f>ROUND((EV76),6)</f>
        <v>0</v>
      </c>
      <c r="AG76">
        <f t="shared" si="84"/>
        <v>0</v>
      </c>
      <c r="AH76">
        <f>(EW76)</f>
        <v>0</v>
      </c>
      <c r="AI76">
        <f>(EX76)</f>
        <v>0</v>
      </c>
      <c r="AJ76">
        <f t="shared" si="85"/>
        <v>0.14000000000000001</v>
      </c>
      <c r="AK76">
        <v>20.37</v>
      </c>
      <c r="AL76">
        <v>20.37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0.14000000000000001</v>
      </c>
      <c r="AT76">
        <v>0</v>
      </c>
      <c r="AU76">
        <v>0</v>
      </c>
      <c r="AV76">
        <v>1</v>
      </c>
      <c r="AW76">
        <v>1</v>
      </c>
      <c r="AZ76">
        <v>1</v>
      </c>
      <c r="BA76">
        <v>1</v>
      </c>
      <c r="BB76">
        <v>1</v>
      </c>
      <c r="BC76">
        <v>5.29</v>
      </c>
      <c r="BD76" t="s">
        <v>3</v>
      </c>
      <c r="BE76" t="s">
        <v>3</v>
      </c>
      <c r="BF76" t="s">
        <v>3</v>
      </c>
      <c r="BG76" t="s">
        <v>3</v>
      </c>
      <c r="BH76">
        <v>3</v>
      </c>
      <c r="BI76">
        <v>1</v>
      </c>
      <c r="BJ76" t="s">
        <v>130</v>
      </c>
      <c r="BM76">
        <v>500001</v>
      </c>
      <c r="BN76">
        <v>0</v>
      </c>
      <c r="BO76" t="s">
        <v>127</v>
      </c>
      <c r="BP76">
        <v>1</v>
      </c>
      <c r="BQ76">
        <v>8</v>
      </c>
      <c r="BR76">
        <v>0</v>
      </c>
      <c r="BS76">
        <v>1</v>
      </c>
      <c r="BT76">
        <v>1</v>
      </c>
      <c r="BU76">
        <v>1</v>
      </c>
      <c r="BV76">
        <v>1</v>
      </c>
      <c r="BW76">
        <v>1</v>
      </c>
      <c r="BX76">
        <v>1</v>
      </c>
      <c r="BY76" t="s">
        <v>3</v>
      </c>
      <c r="BZ76">
        <v>0</v>
      </c>
      <c r="CA76">
        <v>0</v>
      </c>
      <c r="CB76" t="s">
        <v>3</v>
      </c>
      <c r="CE76">
        <v>0</v>
      </c>
      <c r="CF76">
        <v>0</v>
      </c>
      <c r="CG76">
        <v>0</v>
      </c>
      <c r="CM76">
        <v>0</v>
      </c>
      <c r="CN76" t="s">
        <v>3</v>
      </c>
      <c r="CO76">
        <v>0</v>
      </c>
      <c r="CP76">
        <f t="shared" si="86"/>
        <v>5495.62</v>
      </c>
      <c r="CQ76">
        <f t="shared" si="87"/>
        <v>107.7573</v>
      </c>
      <c r="CR76">
        <f t="shared" si="88"/>
        <v>0</v>
      </c>
      <c r="CS76">
        <f t="shared" si="89"/>
        <v>0</v>
      </c>
      <c r="CT76">
        <f t="shared" si="90"/>
        <v>0</v>
      </c>
      <c r="CU76">
        <f t="shared" si="91"/>
        <v>0</v>
      </c>
      <c r="CV76">
        <f t="shared" si="92"/>
        <v>0</v>
      </c>
      <c r="CW76">
        <f t="shared" si="93"/>
        <v>0</v>
      </c>
      <c r="CX76">
        <f t="shared" si="94"/>
        <v>0.14000000000000001</v>
      </c>
      <c r="CY76">
        <f t="shared" si="95"/>
        <v>0</v>
      </c>
      <c r="CZ76">
        <f t="shared" si="96"/>
        <v>0</v>
      </c>
      <c r="DC76" t="s">
        <v>3</v>
      </c>
      <c r="DD76" t="s">
        <v>3</v>
      </c>
      <c r="DE76" t="s">
        <v>3</v>
      </c>
      <c r="DF76" t="s">
        <v>3</v>
      </c>
      <c r="DG76" t="s">
        <v>3</v>
      </c>
      <c r="DH76" t="s">
        <v>3</v>
      </c>
      <c r="DI76" t="s">
        <v>3</v>
      </c>
      <c r="DJ76" t="s">
        <v>3</v>
      </c>
      <c r="DK76" t="s">
        <v>3</v>
      </c>
      <c r="DL76" t="s">
        <v>3</v>
      </c>
      <c r="DM76" t="s">
        <v>3</v>
      </c>
      <c r="DN76">
        <v>0</v>
      </c>
      <c r="DO76">
        <v>0</v>
      </c>
      <c r="DP76">
        <v>1</v>
      </c>
      <c r="DQ76">
        <v>1</v>
      </c>
      <c r="DU76">
        <v>1005</v>
      </c>
      <c r="DV76" t="s">
        <v>129</v>
      </c>
      <c r="DW76" t="s">
        <v>129</v>
      </c>
      <c r="DX76">
        <v>1</v>
      </c>
      <c r="DZ76" t="s">
        <v>3</v>
      </c>
      <c r="EA76" t="s">
        <v>3</v>
      </c>
      <c r="EB76" t="s">
        <v>3</v>
      </c>
      <c r="EC76" t="s">
        <v>3</v>
      </c>
      <c r="EE76">
        <v>36519948</v>
      </c>
      <c r="EF76">
        <v>8</v>
      </c>
      <c r="EG76" t="s">
        <v>131</v>
      </c>
      <c r="EH76">
        <v>0</v>
      </c>
      <c r="EI76" t="s">
        <v>3</v>
      </c>
      <c r="EJ76">
        <v>1</v>
      </c>
      <c r="EK76">
        <v>500001</v>
      </c>
      <c r="EL76" t="s">
        <v>132</v>
      </c>
      <c r="EM76" t="s">
        <v>133</v>
      </c>
      <c r="EO76" t="s">
        <v>3</v>
      </c>
      <c r="EQ76">
        <v>0</v>
      </c>
      <c r="ER76">
        <v>20.37</v>
      </c>
      <c r="ES76">
        <v>20.37</v>
      </c>
      <c r="ET76">
        <v>0</v>
      </c>
      <c r="EU76">
        <v>0</v>
      </c>
      <c r="EV76">
        <v>0</v>
      </c>
      <c r="EW76">
        <v>0</v>
      </c>
      <c r="EX76">
        <v>0</v>
      </c>
      <c r="EY76">
        <v>0</v>
      </c>
      <c r="FQ76">
        <v>0</v>
      </c>
      <c r="FR76">
        <f t="shared" si="97"/>
        <v>0</v>
      </c>
      <c r="FS76">
        <v>0</v>
      </c>
      <c r="FX76">
        <v>0</v>
      </c>
      <c r="FY76">
        <v>0</v>
      </c>
      <c r="GA76" t="s">
        <v>3</v>
      </c>
      <c r="GD76">
        <v>1</v>
      </c>
      <c r="GF76">
        <v>-1993068365</v>
      </c>
      <c r="GG76">
        <v>2</v>
      </c>
      <c r="GH76">
        <v>1</v>
      </c>
      <c r="GI76">
        <v>2</v>
      </c>
      <c r="GJ76">
        <v>0</v>
      </c>
      <c r="GK76">
        <v>0</v>
      </c>
      <c r="GL76">
        <f t="shared" si="98"/>
        <v>0</v>
      </c>
      <c r="GM76">
        <f t="shared" si="99"/>
        <v>5495.62</v>
      </c>
      <c r="GN76">
        <f t="shared" si="100"/>
        <v>5495.62</v>
      </c>
      <c r="GO76">
        <f t="shared" si="101"/>
        <v>0</v>
      </c>
      <c r="GP76">
        <f t="shared" si="102"/>
        <v>0</v>
      </c>
      <c r="GR76">
        <v>0</v>
      </c>
      <c r="GS76">
        <v>3</v>
      </c>
      <c r="GT76">
        <v>0</v>
      </c>
      <c r="GU76" t="s">
        <v>3</v>
      </c>
      <c r="GV76">
        <f t="shared" si="103"/>
        <v>0</v>
      </c>
      <c r="GW76">
        <v>1</v>
      </c>
      <c r="GX76">
        <f t="shared" si="104"/>
        <v>0</v>
      </c>
      <c r="HA76">
        <v>0</v>
      </c>
      <c r="HB76">
        <v>0</v>
      </c>
      <c r="HC76">
        <f t="shared" si="105"/>
        <v>0</v>
      </c>
      <c r="HE76" t="s">
        <v>3</v>
      </c>
      <c r="HF76" t="s">
        <v>3</v>
      </c>
      <c r="HM76" t="s">
        <v>3</v>
      </c>
      <c r="HN76" t="s">
        <v>3</v>
      </c>
      <c r="HO76" t="s">
        <v>3</v>
      </c>
      <c r="HP76" t="s">
        <v>3</v>
      </c>
      <c r="HQ76" t="s">
        <v>3</v>
      </c>
      <c r="IK76">
        <v>0</v>
      </c>
    </row>
    <row r="77" spans="1:245">
      <c r="A77">
        <v>17</v>
      </c>
      <c r="B77">
        <v>1</v>
      </c>
      <c r="C77">
        <f>ROW(SmtRes!A50)</f>
        <v>50</v>
      </c>
      <c r="D77">
        <f>ROW(EtalonRes!A51)</f>
        <v>51</v>
      </c>
      <c r="E77" t="s">
        <v>134</v>
      </c>
      <c r="F77" t="s">
        <v>135</v>
      </c>
      <c r="G77" t="s">
        <v>136</v>
      </c>
      <c r="H77" t="s">
        <v>137</v>
      </c>
      <c r="I77">
        <f>ROUND(51/100,9)</f>
        <v>0.51</v>
      </c>
      <c r="J77">
        <v>0</v>
      </c>
      <c r="K77">
        <f>ROUND(51/100,9)</f>
        <v>0.51</v>
      </c>
      <c r="O77">
        <f t="shared" si="71"/>
        <v>6631.62</v>
      </c>
      <c r="P77">
        <f t="shared" si="72"/>
        <v>2077.54</v>
      </c>
      <c r="Q77">
        <f t="shared" si="73"/>
        <v>62.4</v>
      </c>
      <c r="R77">
        <f t="shared" si="74"/>
        <v>3</v>
      </c>
      <c r="S77">
        <f t="shared" si="75"/>
        <v>4491.68</v>
      </c>
      <c r="T77">
        <f t="shared" si="76"/>
        <v>0</v>
      </c>
      <c r="U77">
        <f t="shared" si="77"/>
        <v>14.902965</v>
      </c>
      <c r="V77">
        <f t="shared" si="78"/>
        <v>6.3750000000000005E-3</v>
      </c>
      <c r="W77">
        <f t="shared" si="79"/>
        <v>0</v>
      </c>
      <c r="X77">
        <f t="shared" si="80"/>
        <v>4045.21</v>
      </c>
      <c r="Y77">
        <f t="shared" si="81"/>
        <v>1887.77</v>
      </c>
      <c r="AA77">
        <v>35841400</v>
      </c>
      <c r="AB77">
        <f t="shared" si="82"/>
        <v>1331.4870000000001</v>
      </c>
      <c r="AC77">
        <f t="shared" si="83"/>
        <v>1058.08</v>
      </c>
      <c r="AD77">
        <f>ROUND(((((ET77*1.25))-((EU77*1.25)))+AE77),6)</f>
        <v>11.2875</v>
      </c>
      <c r="AE77">
        <f>ROUND(((EU77*1.25)),6)</f>
        <v>0.17499999999999999</v>
      </c>
      <c r="AF77">
        <f>ROUND(((EV77*1.15)),6)</f>
        <v>262.11950000000002</v>
      </c>
      <c r="AG77">
        <f t="shared" si="84"/>
        <v>0</v>
      </c>
      <c r="AH77">
        <f>((EW77*1.15))</f>
        <v>29.221499999999999</v>
      </c>
      <c r="AI77">
        <f>((EX77*1.25))</f>
        <v>1.2500000000000001E-2</v>
      </c>
      <c r="AJ77">
        <f t="shared" si="85"/>
        <v>0</v>
      </c>
      <c r="AK77">
        <v>1295.04</v>
      </c>
      <c r="AL77">
        <v>1058.08</v>
      </c>
      <c r="AM77">
        <v>9.0299999999999994</v>
      </c>
      <c r="AN77">
        <v>0.14000000000000001</v>
      </c>
      <c r="AO77">
        <v>227.93</v>
      </c>
      <c r="AP77">
        <v>0</v>
      </c>
      <c r="AQ77">
        <v>25.41</v>
      </c>
      <c r="AR77">
        <v>0.01</v>
      </c>
      <c r="AS77">
        <v>0</v>
      </c>
      <c r="AT77">
        <v>90</v>
      </c>
      <c r="AU77">
        <v>42</v>
      </c>
      <c r="AV77">
        <v>1</v>
      </c>
      <c r="AW77">
        <v>1</v>
      </c>
      <c r="AZ77">
        <v>1</v>
      </c>
      <c r="BA77">
        <v>33.6</v>
      </c>
      <c r="BB77">
        <v>10.84</v>
      </c>
      <c r="BC77">
        <v>3.85</v>
      </c>
      <c r="BD77" t="s">
        <v>3</v>
      </c>
      <c r="BE77" t="s">
        <v>3</v>
      </c>
      <c r="BF77" t="s">
        <v>3</v>
      </c>
      <c r="BG77" t="s">
        <v>3</v>
      </c>
      <c r="BH77">
        <v>0</v>
      </c>
      <c r="BI77">
        <v>1</v>
      </c>
      <c r="BJ77" t="s">
        <v>138</v>
      </c>
      <c r="BM77">
        <v>15001</v>
      </c>
      <c r="BN77">
        <v>0</v>
      </c>
      <c r="BO77" t="s">
        <v>135</v>
      </c>
      <c r="BP77">
        <v>1</v>
      </c>
      <c r="BQ77">
        <v>2</v>
      </c>
      <c r="BR77">
        <v>0</v>
      </c>
      <c r="BS77">
        <v>33.6</v>
      </c>
      <c r="BT77">
        <v>1</v>
      </c>
      <c r="BU77">
        <v>1</v>
      </c>
      <c r="BV77">
        <v>1</v>
      </c>
      <c r="BW77">
        <v>1</v>
      </c>
      <c r="BX77">
        <v>1</v>
      </c>
      <c r="BY77" t="s">
        <v>3</v>
      </c>
      <c r="BZ77">
        <v>90</v>
      </c>
      <c r="CA77">
        <v>42</v>
      </c>
      <c r="CB77" t="s">
        <v>3</v>
      </c>
      <c r="CE77">
        <v>0</v>
      </c>
      <c r="CF77">
        <v>0</v>
      </c>
      <c r="CG77">
        <v>0</v>
      </c>
      <c r="CM77">
        <v>0</v>
      </c>
      <c r="CN77" t="s">
        <v>607</v>
      </c>
      <c r="CO77">
        <v>0</v>
      </c>
      <c r="CP77">
        <f t="shared" si="86"/>
        <v>6631.6200000000008</v>
      </c>
      <c r="CQ77">
        <f t="shared" si="87"/>
        <v>4073.6079999999997</v>
      </c>
      <c r="CR77">
        <f t="shared" si="88"/>
        <v>122.3565</v>
      </c>
      <c r="CS77">
        <f t="shared" si="89"/>
        <v>5.88</v>
      </c>
      <c r="CT77">
        <f t="shared" si="90"/>
        <v>8807.2152000000006</v>
      </c>
      <c r="CU77">
        <f t="shared" si="91"/>
        <v>0</v>
      </c>
      <c r="CV77">
        <f t="shared" si="92"/>
        <v>29.221499999999999</v>
      </c>
      <c r="CW77">
        <f t="shared" si="93"/>
        <v>1.2500000000000001E-2</v>
      </c>
      <c r="CX77">
        <f t="shared" si="94"/>
        <v>0</v>
      </c>
      <c r="CY77">
        <f t="shared" si="95"/>
        <v>4045.212</v>
      </c>
      <c r="CZ77">
        <f t="shared" si="96"/>
        <v>1887.7655999999999</v>
      </c>
      <c r="DC77" t="s">
        <v>3</v>
      </c>
      <c r="DD77" t="s">
        <v>3</v>
      </c>
      <c r="DE77" t="s">
        <v>139</v>
      </c>
      <c r="DF77" t="s">
        <v>139</v>
      </c>
      <c r="DG77" t="s">
        <v>114</v>
      </c>
      <c r="DH77" t="s">
        <v>3</v>
      </c>
      <c r="DI77" t="s">
        <v>114</v>
      </c>
      <c r="DJ77" t="s">
        <v>139</v>
      </c>
      <c r="DK77" t="s">
        <v>3</v>
      </c>
      <c r="DL77" t="s">
        <v>3</v>
      </c>
      <c r="DM77" t="s">
        <v>3</v>
      </c>
      <c r="DN77">
        <v>0</v>
      </c>
      <c r="DO77">
        <v>0</v>
      </c>
      <c r="DP77">
        <v>1</v>
      </c>
      <c r="DQ77">
        <v>1</v>
      </c>
      <c r="DU77">
        <v>1005</v>
      </c>
      <c r="DV77" t="s">
        <v>137</v>
      </c>
      <c r="DW77" t="s">
        <v>137</v>
      </c>
      <c r="DX77">
        <v>100</v>
      </c>
      <c r="DZ77" t="s">
        <v>3</v>
      </c>
      <c r="EA77" t="s">
        <v>3</v>
      </c>
      <c r="EB77" t="s">
        <v>3</v>
      </c>
      <c r="EC77" t="s">
        <v>3</v>
      </c>
      <c r="EE77">
        <v>36520056</v>
      </c>
      <c r="EF77">
        <v>2</v>
      </c>
      <c r="EG77" t="s">
        <v>28</v>
      </c>
      <c r="EH77">
        <v>0</v>
      </c>
      <c r="EI77" t="s">
        <v>3</v>
      </c>
      <c r="EJ77">
        <v>1</v>
      </c>
      <c r="EK77">
        <v>15001</v>
      </c>
      <c r="EL77" t="s">
        <v>140</v>
      </c>
      <c r="EM77" t="s">
        <v>141</v>
      </c>
      <c r="EO77" t="s">
        <v>142</v>
      </c>
      <c r="EQ77">
        <v>0</v>
      </c>
      <c r="ER77">
        <v>1295.04</v>
      </c>
      <c r="ES77">
        <v>1058.08</v>
      </c>
      <c r="ET77">
        <v>9.0299999999999994</v>
      </c>
      <c r="EU77">
        <v>0.14000000000000001</v>
      </c>
      <c r="EV77">
        <v>227.93</v>
      </c>
      <c r="EW77">
        <v>25.41</v>
      </c>
      <c r="EX77">
        <v>0.01</v>
      </c>
      <c r="EY77">
        <v>0</v>
      </c>
      <c r="FQ77">
        <v>0</v>
      </c>
      <c r="FR77">
        <f t="shared" si="97"/>
        <v>0</v>
      </c>
      <c r="FS77">
        <v>0</v>
      </c>
      <c r="FX77">
        <v>90</v>
      </c>
      <c r="FY77">
        <v>42</v>
      </c>
      <c r="GA77" t="s">
        <v>3</v>
      </c>
      <c r="GD77">
        <v>1</v>
      </c>
      <c r="GF77">
        <v>-1441804656</v>
      </c>
      <c r="GG77">
        <v>2</v>
      </c>
      <c r="GH77">
        <v>2</v>
      </c>
      <c r="GI77">
        <v>2</v>
      </c>
      <c r="GJ77">
        <v>0</v>
      </c>
      <c r="GK77">
        <v>0</v>
      </c>
      <c r="GL77">
        <f t="shared" si="98"/>
        <v>0</v>
      </c>
      <c r="GM77">
        <f t="shared" si="99"/>
        <v>12564.6</v>
      </c>
      <c r="GN77">
        <f t="shared" si="100"/>
        <v>12564.6</v>
      </c>
      <c r="GO77">
        <f t="shared" si="101"/>
        <v>0</v>
      </c>
      <c r="GP77">
        <f t="shared" si="102"/>
        <v>0</v>
      </c>
      <c r="GR77">
        <v>0</v>
      </c>
      <c r="GS77">
        <v>3</v>
      </c>
      <c r="GT77">
        <v>0</v>
      </c>
      <c r="GU77" t="s">
        <v>3</v>
      </c>
      <c r="GV77">
        <f t="shared" si="103"/>
        <v>0</v>
      </c>
      <c r="GW77">
        <v>1</v>
      </c>
      <c r="GX77">
        <f t="shared" si="104"/>
        <v>0</v>
      </c>
      <c r="HA77">
        <v>0</v>
      </c>
      <c r="HB77">
        <v>0</v>
      </c>
      <c r="HC77">
        <f t="shared" si="105"/>
        <v>0</v>
      </c>
      <c r="HE77" t="s">
        <v>3</v>
      </c>
      <c r="HF77" t="s">
        <v>3</v>
      </c>
      <c r="HM77" t="s">
        <v>3</v>
      </c>
      <c r="HN77" t="s">
        <v>3</v>
      </c>
      <c r="HO77" t="s">
        <v>3</v>
      </c>
      <c r="HP77" t="s">
        <v>3</v>
      </c>
      <c r="HQ77" t="s">
        <v>3</v>
      </c>
      <c r="IK77">
        <v>0</v>
      </c>
    </row>
    <row r="78" spans="1:245">
      <c r="A78">
        <v>17</v>
      </c>
      <c r="B78">
        <v>1</v>
      </c>
      <c r="C78">
        <f>ROW(SmtRes!A57)</f>
        <v>57</v>
      </c>
      <c r="D78">
        <f>ROW(EtalonRes!A59)</f>
        <v>59</v>
      </c>
      <c r="E78" t="s">
        <v>143</v>
      </c>
      <c r="F78" t="s">
        <v>144</v>
      </c>
      <c r="G78" t="s">
        <v>145</v>
      </c>
      <c r="H78" t="s">
        <v>146</v>
      </c>
      <c r="I78">
        <f>ROUND(77.9/100,9)</f>
        <v>0.77900000000000003</v>
      </c>
      <c r="J78">
        <v>0</v>
      </c>
      <c r="K78">
        <f>ROUND(77.9/100,9)</f>
        <v>0.77900000000000003</v>
      </c>
      <c r="O78">
        <f t="shared" si="71"/>
        <v>14910.07</v>
      </c>
      <c r="P78">
        <f t="shared" si="72"/>
        <v>10.89</v>
      </c>
      <c r="Q78">
        <f t="shared" si="73"/>
        <v>560.78</v>
      </c>
      <c r="R78">
        <f t="shared" si="74"/>
        <v>506.47</v>
      </c>
      <c r="S78">
        <f t="shared" si="75"/>
        <v>14338.4</v>
      </c>
      <c r="T78">
        <f t="shared" si="76"/>
        <v>0</v>
      </c>
      <c r="U78">
        <f t="shared" si="77"/>
        <v>46.485656499999997</v>
      </c>
      <c r="V78">
        <f t="shared" si="78"/>
        <v>1.4567300000000001</v>
      </c>
      <c r="W78">
        <f t="shared" si="79"/>
        <v>0</v>
      </c>
      <c r="X78">
        <f t="shared" si="80"/>
        <v>13360.38</v>
      </c>
      <c r="Y78">
        <f t="shared" si="81"/>
        <v>6234.85</v>
      </c>
      <c r="AA78">
        <v>35841400</v>
      </c>
      <c r="AB78">
        <f t="shared" si="82"/>
        <v>579.05250000000001</v>
      </c>
      <c r="AC78">
        <f t="shared" si="83"/>
        <v>1.54</v>
      </c>
      <c r="AD78">
        <f>ROUND((((ET78)-(EU78))+AE78),6)</f>
        <v>29.71</v>
      </c>
      <c r="AE78">
        <f>ROUND((EU78),6)</f>
        <v>19.350000000000001</v>
      </c>
      <c r="AF78">
        <f>ROUND(((EV78*1.15)),6)</f>
        <v>547.80250000000001</v>
      </c>
      <c r="AG78">
        <f t="shared" si="84"/>
        <v>0</v>
      </c>
      <c r="AH78">
        <f>((EW78*1.15))</f>
        <v>59.673499999999997</v>
      </c>
      <c r="AI78">
        <f>(EX78)</f>
        <v>1.87</v>
      </c>
      <c r="AJ78">
        <f t="shared" si="85"/>
        <v>0</v>
      </c>
      <c r="AK78">
        <v>507.6</v>
      </c>
      <c r="AL78">
        <v>1.54</v>
      </c>
      <c r="AM78">
        <v>29.71</v>
      </c>
      <c r="AN78">
        <v>19.350000000000001</v>
      </c>
      <c r="AO78">
        <v>476.35</v>
      </c>
      <c r="AP78">
        <v>0</v>
      </c>
      <c r="AQ78">
        <v>51.89</v>
      </c>
      <c r="AR78">
        <v>1.87</v>
      </c>
      <c r="AS78">
        <v>0</v>
      </c>
      <c r="AT78">
        <v>90</v>
      </c>
      <c r="AU78">
        <v>42</v>
      </c>
      <c r="AV78">
        <v>1</v>
      </c>
      <c r="AW78">
        <v>1</v>
      </c>
      <c r="AZ78">
        <v>1</v>
      </c>
      <c r="BA78">
        <v>33.6</v>
      </c>
      <c r="BB78">
        <v>24.23</v>
      </c>
      <c r="BC78">
        <v>9.08</v>
      </c>
      <c r="BD78" t="s">
        <v>3</v>
      </c>
      <c r="BE78" t="s">
        <v>3</v>
      </c>
      <c r="BF78" t="s">
        <v>3</v>
      </c>
      <c r="BG78" t="s">
        <v>3</v>
      </c>
      <c r="BH78">
        <v>0</v>
      </c>
      <c r="BI78">
        <v>1</v>
      </c>
      <c r="BJ78" t="s">
        <v>147</v>
      </c>
      <c r="BM78">
        <v>15001</v>
      </c>
      <c r="BN78">
        <v>0</v>
      </c>
      <c r="BO78" t="s">
        <v>144</v>
      </c>
      <c r="BP78">
        <v>1</v>
      </c>
      <c r="BQ78">
        <v>2</v>
      </c>
      <c r="BR78">
        <v>0</v>
      </c>
      <c r="BS78">
        <v>33.6</v>
      </c>
      <c r="BT78">
        <v>1</v>
      </c>
      <c r="BU78">
        <v>1</v>
      </c>
      <c r="BV78">
        <v>1</v>
      </c>
      <c r="BW78">
        <v>1</v>
      </c>
      <c r="BX78">
        <v>1</v>
      </c>
      <c r="BY78" t="s">
        <v>3</v>
      </c>
      <c r="BZ78">
        <v>90</v>
      </c>
      <c r="CA78">
        <v>42</v>
      </c>
      <c r="CB78" t="s">
        <v>3</v>
      </c>
      <c r="CE78">
        <v>0</v>
      </c>
      <c r="CF78">
        <v>0</v>
      </c>
      <c r="CG78">
        <v>0</v>
      </c>
      <c r="CM78">
        <v>0</v>
      </c>
      <c r="CN78" t="s">
        <v>606</v>
      </c>
      <c r="CO78">
        <v>0</v>
      </c>
      <c r="CP78">
        <f t="shared" si="86"/>
        <v>14910.07</v>
      </c>
      <c r="CQ78">
        <f t="shared" si="87"/>
        <v>13.9832</v>
      </c>
      <c r="CR78">
        <f t="shared" si="88"/>
        <v>719.87330000000009</v>
      </c>
      <c r="CS78">
        <f t="shared" si="89"/>
        <v>650.16000000000008</v>
      </c>
      <c r="CT78">
        <f t="shared" si="90"/>
        <v>18406.164000000001</v>
      </c>
      <c r="CU78">
        <f t="shared" si="91"/>
        <v>0</v>
      </c>
      <c r="CV78">
        <f t="shared" si="92"/>
        <v>59.673499999999997</v>
      </c>
      <c r="CW78">
        <f t="shared" si="93"/>
        <v>1.87</v>
      </c>
      <c r="CX78">
        <f t="shared" si="94"/>
        <v>0</v>
      </c>
      <c r="CY78">
        <f t="shared" si="95"/>
        <v>13360.382999999998</v>
      </c>
      <c r="CZ78">
        <f t="shared" si="96"/>
        <v>6234.8453999999992</v>
      </c>
      <c r="DC78" t="s">
        <v>3</v>
      </c>
      <c r="DD78" t="s">
        <v>3</v>
      </c>
      <c r="DE78" t="s">
        <v>3</v>
      </c>
      <c r="DF78" t="s">
        <v>3</v>
      </c>
      <c r="DG78" t="s">
        <v>114</v>
      </c>
      <c r="DH78" t="s">
        <v>3</v>
      </c>
      <c r="DI78" t="s">
        <v>114</v>
      </c>
      <c r="DJ78" t="s">
        <v>3</v>
      </c>
      <c r="DK78" t="s">
        <v>3</v>
      </c>
      <c r="DL78" t="s">
        <v>3</v>
      </c>
      <c r="DM78" t="s">
        <v>3</v>
      </c>
      <c r="DN78">
        <v>0</v>
      </c>
      <c r="DO78">
        <v>0</v>
      </c>
      <c r="DP78">
        <v>1</v>
      </c>
      <c r="DQ78">
        <v>1</v>
      </c>
      <c r="DU78">
        <v>1013</v>
      </c>
      <c r="DV78" t="s">
        <v>146</v>
      </c>
      <c r="DW78" t="s">
        <v>146</v>
      </c>
      <c r="DX78">
        <v>1</v>
      </c>
      <c r="DZ78" t="s">
        <v>3</v>
      </c>
      <c r="EA78" t="s">
        <v>3</v>
      </c>
      <c r="EB78" t="s">
        <v>3</v>
      </c>
      <c r="EC78" t="s">
        <v>3</v>
      </c>
      <c r="EE78">
        <v>36520056</v>
      </c>
      <c r="EF78">
        <v>2</v>
      </c>
      <c r="EG78" t="s">
        <v>28</v>
      </c>
      <c r="EH78">
        <v>0</v>
      </c>
      <c r="EI78" t="s">
        <v>3</v>
      </c>
      <c r="EJ78">
        <v>1</v>
      </c>
      <c r="EK78">
        <v>15001</v>
      </c>
      <c r="EL78" t="s">
        <v>140</v>
      </c>
      <c r="EM78" t="s">
        <v>141</v>
      </c>
      <c r="EO78" t="s">
        <v>117</v>
      </c>
      <c r="EQ78">
        <v>0</v>
      </c>
      <c r="ER78">
        <v>507.6</v>
      </c>
      <c r="ES78">
        <v>1.54</v>
      </c>
      <c r="ET78">
        <v>29.71</v>
      </c>
      <c r="EU78">
        <v>19.350000000000001</v>
      </c>
      <c r="EV78">
        <v>476.35</v>
      </c>
      <c r="EW78">
        <v>51.89</v>
      </c>
      <c r="EX78">
        <v>1.87</v>
      </c>
      <c r="EY78">
        <v>0</v>
      </c>
      <c r="FQ78">
        <v>0</v>
      </c>
      <c r="FR78">
        <f t="shared" si="97"/>
        <v>0</v>
      </c>
      <c r="FS78">
        <v>0</v>
      </c>
      <c r="FX78">
        <v>90</v>
      </c>
      <c r="FY78">
        <v>42</v>
      </c>
      <c r="GA78" t="s">
        <v>3</v>
      </c>
      <c r="GD78">
        <v>1</v>
      </c>
      <c r="GF78">
        <v>1767594539</v>
      </c>
      <c r="GG78">
        <v>2</v>
      </c>
      <c r="GH78">
        <v>2</v>
      </c>
      <c r="GI78">
        <v>2</v>
      </c>
      <c r="GJ78">
        <v>0</v>
      </c>
      <c r="GK78">
        <v>0</v>
      </c>
      <c r="GL78">
        <f t="shared" si="98"/>
        <v>0</v>
      </c>
      <c r="GM78">
        <f t="shared" si="99"/>
        <v>34505.300000000003</v>
      </c>
      <c r="GN78">
        <f t="shared" si="100"/>
        <v>34505.300000000003</v>
      </c>
      <c r="GO78">
        <f t="shared" si="101"/>
        <v>0</v>
      </c>
      <c r="GP78">
        <f t="shared" si="102"/>
        <v>0</v>
      </c>
      <c r="GR78">
        <v>0</v>
      </c>
      <c r="GS78">
        <v>3</v>
      </c>
      <c r="GT78">
        <v>0</v>
      </c>
      <c r="GU78" t="s">
        <v>3</v>
      </c>
      <c r="GV78">
        <f t="shared" si="103"/>
        <v>0</v>
      </c>
      <c r="GW78">
        <v>1</v>
      </c>
      <c r="GX78">
        <f t="shared" si="104"/>
        <v>0</v>
      </c>
      <c r="HA78">
        <v>0</v>
      </c>
      <c r="HB78">
        <v>0</v>
      </c>
      <c r="HC78">
        <f t="shared" si="105"/>
        <v>0</v>
      </c>
      <c r="HE78" t="s">
        <v>3</v>
      </c>
      <c r="HF78" t="s">
        <v>3</v>
      </c>
      <c r="HM78" t="s">
        <v>3</v>
      </c>
      <c r="HN78" t="s">
        <v>3</v>
      </c>
      <c r="HO78" t="s">
        <v>3</v>
      </c>
      <c r="HP78" t="s">
        <v>3</v>
      </c>
      <c r="HQ78" t="s">
        <v>3</v>
      </c>
      <c r="IK78">
        <v>0</v>
      </c>
    </row>
    <row r="79" spans="1:245">
      <c r="A79">
        <v>18</v>
      </c>
      <c r="B79">
        <v>1</v>
      </c>
      <c r="C79">
        <v>56</v>
      </c>
      <c r="E79" t="s">
        <v>148</v>
      </c>
      <c r="F79" t="s">
        <v>149</v>
      </c>
      <c r="G79" t="s">
        <v>150</v>
      </c>
      <c r="H79" t="s">
        <v>151</v>
      </c>
      <c r="I79">
        <f>I78*J79</f>
        <v>345.68875200000002</v>
      </c>
      <c r="J79">
        <v>443.75963029525036</v>
      </c>
      <c r="K79">
        <v>443.75963000000002</v>
      </c>
      <c r="O79">
        <f t="shared" si="71"/>
        <v>4147.09</v>
      </c>
      <c r="P79">
        <f t="shared" si="72"/>
        <v>4147.09</v>
      </c>
      <c r="Q79">
        <f t="shared" si="73"/>
        <v>0</v>
      </c>
      <c r="R79">
        <f t="shared" si="74"/>
        <v>0</v>
      </c>
      <c r="S79">
        <f t="shared" si="75"/>
        <v>0</v>
      </c>
      <c r="T79">
        <f t="shared" si="76"/>
        <v>0</v>
      </c>
      <c r="U79">
        <f t="shared" si="77"/>
        <v>0</v>
      </c>
      <c r="V79">
        <f t="shared" si="78"/>
        <v>0</v>
      </c>
      <c r="W79">
        <f t="shared" si="79"/>
        <v>10.37</v>
      </c>
      <c r="X79">
        <f t="shared" si="80"/>
        <v>0</v>
      </c>
      <c r="Y79">
        <f t="shared" si="81"/>
        <v>0</v>
      </c>
      <c r="AA79">
        <v>35841400</v>
      </c>
      <c r="AB79">
        <f t="shared" si="82"/>
        <v>2.09</v>
      </c>
      <c r="AC79">
        <f t="shared" si="83"/>
        <v>2.09</v>
      </c>
      <c r="AD79">
        <f>ROUND((((ET79)-(EU79))+AE79),6)</f>
        <v>0</v>
      </c>
      <c r="AE79">
        <f>ROUND((EU79),6)</f>
        <v>0</v>
      </c>
      <c r="AF79">
        <f>ROUND((EV79),6)</f>
        <v>0</v>
      </c>
      <c r="AG79">
        <f t="shared" si="84"/>
        <v>0</v>
      </c>
      <c r="AH79">
        <f>(EW79)</f>
        <v>0</v>
      </c>
      <c r="AI79">
        <f>(EX79)</f>
        <v>0</v>
      </c>
      <c r="AJ79">
        <f t="shared" si="85"/>
        <v>0.03</v>
      </c>
      <c r="AK79">
        <v>2.09</v>
      </c>
      <c r="AL79">
        <v>2.09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0.03</v>
      </c>
      <c r="AT79">
        <v>100</v>
      </c>
      <c r="AU79">
        <v>42</v>
      </c>
      <c r="AV79">
        <v>1</v>
      </c>
      <c r="AW79">
        <v>1</v>
      </c>
      <c r="AZ79">
        <v>1</v>
      </c>
      <c r="BA79">
        <v>1</v>
      </c>
      <c r="BB79">
        <v>1</v>
      </c>
      <c r="BC79">
        <v>5.74</v>
      </c>
      <c r="BD79" t="s">
        <v>3</v>
      </c>
      <c r="BE79" t="s">
        <v>3</v>
      </c>
      <c r="BF79" t="s">
        <v>3</v>
      </c>
      <c r="BG79" t="s">
        <v>3</v>
      </c>
      <c r="BH79">
        <v>3</v>
      </c>
      <c r="BI79">
        <v>1</v>
      </c>
      <c r="BJ79" t="s">
        <v>152</v>
      </c>
      <c r="BM79">
        <v>15001</v>
      </c>
      <c r="BN79">
        <v>0</v>
      </c>
      <c r="BO79" t="s">
        <v>149</v>
      </c>
      <c r="BP79">
        <v>1</v>
      </c>
      <c r="BQ79">
        <v>2</v>
      </c>
      <c r="BR79">
        <v>0</v>
      </c>
      <c r="BS79">
        <v>1</v>
      </c>
      <c r="BT79">
        <v>1</v>
      </c>
      <c r="BU79">
        <v>1</v>
      </c>
      <c r="BV79">
        <v>1</v>
      </c>
      <c r="BW79">
        <v>1</v>
      </c>
      <c r="BX79">
        <v>1</v>
      </c>
      <c r="BY79" t="s">
        <v>3</v>
      </c>
      <c r="BZ79">
        <v>100</v>
      </c>
      <c r="CA79">
        <v>42</v>
      </c>
      <c r="CB79" t="s">
        <v>3</v>
      </c>
      <c r="CE79">
        <v>0</v>
      </c>
      <c r="CF79">
        <v>0</v>
      </c>
      <c r="CG79">
        <v>0</v>
      </c>
      <c r="CM79">
        <v>0</v>
      </c>
      <c r="CN79" t="s">
        <v>3</v>
      </c>
      <c r="CO79">
        <v>0</v>
      </c>
      <c r="CP79">
        <f t="shared" si="86"/>
        <v>4147.09</v>
      </c>
      <c r="CQ79">
        <f t="shared" si="87"/>
        <v>11.996599999999999</v>
      </c>
      <c r="CR79">
        <f t="shared" si="88"/>
        <v>0</v>
      </c>
      <c r="CS79">
        <f t="shared" si="89"/>
        <v>0</v>
      </c>
      <c r="CT79">
        <f t="shared" si="90"/>
        <v>0</v>
      </c>
      <c r="CU79">
        <f t="shared" si="91"/>
        <v>0</v>
      </c>
      <c r="CV79">
        <f t="shared" si="92"/>
        <v>0</v>
      </c>
      <c r="CW79">
        <f t="shared" si="93"/>
        <v>0</v>
      </c>
      <c r="CX79">
        <f t="shared" si="94"/>
        <v>0.03</v>
      </c>
      <c r="CY79">
        <f t="shared" si="95"/>
        <v>0</v>
      </c>
      <c r="CZ79">
        <f t="shared" si="96"/>
        <v>0</v>
      </c>
      <c r="DC79" t="s">
        <v>3</v>
      </c>
      <c r="DD79" t="s">
        <v>3</v>
      </c>
      <c r="DE79" t="s">
        <v>3</v>
      </c>
      <c r="DF79" t="s">
        <v>3</v>
      </c>
      <c r="DG79" t="s">
        <v>3</v>
      </c>
      <c r="DH79" t="s">
        <v>3</v>
      </c>
      <c r="DI79" t="s">
        <v>3</v>
      </c>
      <c r="DJ79" t="s">
        <v>3</v>
      </c>
      <c r="DK79" t="s">
        <v>3</v>
      </c>
      <c r="DL79" t="s">
        <v>3</v>
      </c>
      <c r="DM79" t="s">
        <v>3</v>
      </c>
      <c r="DN79">
        <v>0</v>
      </c>
      <c r="DO79">
        <v>0</v>
      </c>
      <c r="DP79">
        <v>1</v>
      </c>
      <c r="DQ79">
        <v>1</v>
      </c>
      <c r="DU79">
        <v>1009</v>
      </c>
      <c r="DV79" t="s">
        <v>151</v>
      </c>
      <c r="DW79" t="s">
        <v>151</v>
      </c>
      <c r="DX79">
        <v>1</v>
      </c>
      <c r="DZ79" t="s">
        <v>3</v>
      </c>
      <c r="EA79" t="s">
        <v>3</v>
      </c>
      <c r="EB79" t="s">
        <v>3</v>
      </c>
      <c r="EC79" t="s">
        <v>3</v>
      </c>
      <c r="EE79">
        <v>36520056</v>
      </c>
      <c r="EF79">
        <v>2</v>
      </c>
      <c r="EG79" t="s">
        <v>28</v>
      </c>
      <c r="EH79">
        <v>0</v>
      </c>
      <c r="EI79" t="s">
        <v>3</v>
      </c>
      <c r="EJ79">
        <v>1</v>
      </c>
      <c r="EK79">
        <v>15001</v>
      </c>
      <c r="EL79" t="s">
        <v>140</v>
      </c>
      <c r="EM79" t="s">
        <v>141</v>
      </c>
      <c r="EO79" t="s">
        <v>3</v>
      </c>
      <c r="EQ79">
        <v>0</v>
      </c>
      <c r="ER79">
        <v>2.09</v>
      </c>
      <c r="ES79">
        <v>2.09</v>
      </c>
      <c r="ET79">
        <v>0</v>
      </c>
      <c r="EU79">
        <v>0</v>
      </c>
      <c r="EV79">
        <v>0</v>
      </c>
      <c r="EW79">
        <v>0</v>
      </c>
      <c r="EX79">
        <v>0</v>
      </c>
      <c r="FQ79">
        <v>0</v>
      </c>
      <c r="FR79">
        <f t="shared" si="97"/>
        <v>0</v>
      </c>
      <c r="FS79">
        <v>0</v>
      </c>
      <c r="FX79">
        <v>100</v>
      </c>
      <c r="FY79">
        <v>42</v>
      </c>
      <c r="GA79" t="s">
        <v>3</v>
      </c>
      <c r="GD79">
        <v>1</v>
      </c>
      <c r="GF79">
        <v>-1829163937</v>
      </c>
      <c r="GG79">
        <v>2</v>
      </c>
      <c r="GH79">
        <v>1</v>
      </c>
      <c r="GI79">
        <v>2</v>
      </c>
      <c r="GJ79">
        <v>0</v>
      </c>
      <c r="GK79">
        <v>0</v>
      </c>
      <c r="GL79">
        <f t="shared" si="98"/>
        <v>0</v>
      </c>
      <c r="GM79">
        <f t="shared" si="99"/>
        <v>4147.09</v>
      </c>
      <c r="GN79">
        <f t="shared" si="100"/>
        <v>4147.09</v>
      </c>
      <c r="GO79">
        <f t="shared" si="101"/>
        <v>0</v>
      </c>
      <c r="GP79">
        <f t="shared" si="102"/>
        <v>0</v>
      </c>
      <c r="GR79">
        <v>0</v>
      </c>
      <c r="GS79">
        <v>3</v>
      </c>
      <c r="GT79">
        <v>0</v>
      </c>
      <c r="GU79" t="s">
        <v>3</v>
      </c>
      <c r="GV79">
        <f t="shared" si="103"/>
        <v>0</v>
      </c>
      <c r="GW79">
        <v>1</v>
      </c>
      <c r="GX79">
        <f t="shared" si="104"/>
        <v>0</v>
      </c>
      <c r="HA79">
        <v>0</v>
      </c>
      <c r="HB79">
        <v>0</v>
      </c>
      <c r="HC79">
        <f t="shared" si="105"/>
        <v>0</v>
      </c>
      <c r="HE79" t="s">
        <v>3</v>
      </c>
      <c r="HF79" t="s">
        <v>3</v>
      </c>
      <c r="HM79" t="s">
        <v>3</v>
      </c>
      <c r="HN79" t="s">
        <v>3</v>
      </c>
      <c r="HO79" t="s">
        <v>3</v>
      </c>
      <c r="HP79" t="s">
        <v>3</v>
      </c>
      <c r="HQ79" t="s">
        <v>3</v>
      </c>
      <c r="IK79">
        <v>0</v>
      </c>
    </row>
    <row r="80" spans="1:245">
      <c r="A80">
        <v>17</v>
      </c>
      <c r="B80">
        <v>1</v>
      </c>
      <c r="C80">
        <f>ROW(SmtRes!A65)</f>
        <v>65</v>
      </c>
      <c r="D80">
        <f>ROW(EtalonRes!A67)</f>
        <v>67</v>
      </c>
      <c r="E80" t="s">
        <v>153</v>
      </c>
      <c r="F80" t="s">
        <v>154</v>
      </c>
      <c r="G80" t="s">
        <v>155</v>
      </c>
      <c r="H80" t="s">
        <v>137</v>
      </c>
      <c r="I80">
        <f>ROUND(77.9/100,9)</f>
        <v>0.77900000000000003</v>
      </c>
      <c r="J80">
        <v>0</v>
      </c>
      <c r="K80">
        <f>ROUND(77.9/100,9)</f>
        <v>0.77900000000000003</v>
      </c>
      <c r="O80">
        <f t="shared" si="71"/>
        <v>15621.17</v>
      </c>
      <c r="P80">
        <f t="shared" si="72"/>
        <v>3892.89</v>
      </c>
      <c r="Q80">
        <f t="shared" si="73"/>
        <v>145.28</v>
      </c>
      <c r="R80">
        <f t="shared" si="74"/>
        <v>8.83</v>
      </c>
      <c r="S80">
        <f t="shared" si="75"/>
        <v>11583</v>
      </c>
      <c r="T80">
        <f t="shared" si="76"/>
        <v>0</v>
      </c>
      <c r="U80">
        <f t="shared" si="77"/>
        <v>38.431964999999998</v>
      </c>
      <c r="V80">
        <f t="shared" si="78"/>
        <v>1.9475000000000003E-2</v>
      </c>
      <c r="W80">
        <f t="shared" si="79"/>
        <v>0</v>
      </c>
      <c r="X80">
        <f t="shared" si="80"/>
        <v>10432.65</v>
      </c>
      <c r="Y80">
        <f t="shared" si="81"/>
        <v>4868.57</v>
      </c>
      <c r="AA80">
        <v>35841400</v>
      </c>
      <c r="AB80">
        <f t="shared" si="82"/>
        <v>1715.2565</v>
      </c>
      <c r="AC80">
        <f t="shared" si="83"/>
        <v>1255.5999999999999</v>
      </c>
      <c r="AD80">
        <f>ROUND(((((ET80*1.25))-((EU80*1.25)))+AE80),6)</f>
        <v>17.125</v>
      </c>
      <c r="AE80">
        <f>ROUND(((EU80*1.25)),6)</f>
        <v>0.33750000000000002</v>
      </c>
      <c r="AF80">
        <f>ROUND(((EV80*1.15)),6)</f>
        <v>442.53149999999999</v>
      </c>
      <c r="AG80">
        <f t="shared" si="84"/>
        <v>0</v>
      </c>
      <c r="AH80">
        <f>((EW80*1.15))</f>
        <v>49.334999999999994</v>
      </c>
      <c r="AI80">
        <f>((EX80*1.25))</f>
        <v>2.5000000000000001E-2</v>
      </c>
      <c r="AJ80">
        <f t="shared" si="85"/>
        <v>0</v>
      </c>
      <c r="AK80">
        <v>1654.11</v>
      </c>
      <c r="AL80">
        <v>1255.5999999999999</v>
      </c>
      <c r="AM80">
        <v>13.7</v>
      </c>
      <c r="AN80">
        <v>0.27</v>
      </c>
      <c r="AO80">
        <v>384.81</v>
      </c>
      <c r="AP80">
        <v>0</v>
      </c>
      <c r="AQ80">
        <v>42.9</v>
      </c>
      <c r="AR80">
        <v>0.02</v>
      </c>
      <c r="AS80">
        <v>0</v>
      </c>
      <c r="AT80">
        <v>90</v>
      </c>
      <c r="AU80">
        <v>42</v>
      </c>
      <c r="AV80">
        <v>1</v>
      </c>
      <c r="AW80">
        <v>1</v>
      </c>
      <c r="AZ80">
        <v>1</v>
      </c>
      <c r="BA80">
        <v>33.6</v>
      </c>
      <c r="BB80">
        <v>10.89</v>
      </c>
      <c r="BC80">
        <v>3.98</v>
      </c>
      <c r="BD80" t="s">
        <v>3</v>
      </c>
      <c r="BE80" t="s">
        <v>3</v>
      </c>
      <c r="BF80" t="s">
        <v>3</v>
      </c>
      <c r="BG80" t="s">
        <v>3</v>
      </c>
      <c r="BH80">
        <v>0</v>
      </c>
      <c r="BI80">
        <v>1</v>
      </c>
      <c r="BJ80" t="s">
        <v>156</v>
      </c>
      <c r="BM80">
        <v>15001</v>
      </c>
      <c r="BN80">
        <v>0</v>
      </c>
      <c r="BO80" t="s">
        <v>154</v>
      </c>
      <c r="BP80">
        <v>1</v>
      </c>
      <c r="BQ80">
        <v>2</v>
      </c>
      <c r="BR80">
        <v>0</v>
      </c>
      <c r="BS80">
        <v>33.6</v>
      </c>
      <c r="BT80">
        <v>1</v>
      </c>
      <c r="BU80">
        <v>1</v>
      </c>
      <c r="BV80">
        <v>1</v>
      </c>
      <c r="BW80">
        <v>1</v>
      </c>
      <c r="BX80">
        <v>1</v>
      </c>
      <c r="BY80" t="s">
        <v>3</v>
      </c>
      <c r="BZ80">
        <v>90</v>
      </c>
      <c r="CA80">
        <v>42</v>
      </c>
      <c r="CB80" t="s">
        <v>3</v>
      </c>
      <c r="CE80">
        <v>0</v>
      </c>
      <c r="CF80">
        <v>0</v>
      </c>
      <c r="CG80">
        <v>0</v>
      </c>
      <c r="CM80">
        <v>0</v>
      </c>
      <c r="CN80" t="s">
        <v>607</v>
      </c>
      <c r="CO80">
        <v>0</v>
      </c>
      <c r="CP80">
        <f t="shared" si="86"/>
        <v>15621.17</v>
      </c>
      <c r="CQ80">
        <f t="shared" si="87"/>
        <v>4997.2879999999996</v>
      </c>
      <c r="CR80">
        <f t="shared" si="88"/>
        <v>186.49125000000001</v>
      </c>
      <c r="CS80">
        <f t="shared" si="89"/>
        <v>11.340000000000002</v>
      </c>
      <c r="CT80">
        <f t="shared" si="90"/>
        <v>14869.0584</v>
      </c>
      <c r="CU80">
        <f t="shared" si="91"/>
        <v>0</v>
      </c>
      <c r="CV80">
        <f t="shared" si="92"/>
        <v>49.334999999999994</v>
      </c>
      <c r="CW80">
        <f t="shared" si="93"/>
        <v>2.5000000000000001E-2</v>
      </c>
      <c r="CX80">
        <f t="shared" si="94"/>
        <v>0</v>
      </c>
      <c r="CY80">
        <f t="shared" si="95"/>
        <v>10432.646999999999</v>
      </c>
      <c r="CZ80">
        <f t="shared" si="96"/>
        <v>4868.5685999999996</v>
      </c>
      <c r="DC80" t="s">
        <v>3</v>
      </c>
      <c r="DD80" t="s">
        <v>3</v>
      </c>
      <c r="DE80" t="s">
        <v>139</v>
      </c>
      <c r="DF80" t="s">
        <v>139</v>
      </c>
      <c r="DG80" t="s">
        <v>114</v>
      </c>
      <c r="DH80" t="s">
        <v>3</v>
      </c>
      <c r="DI80" t="s">
        <v>114</v>
      </c>
      <c r="DJ80" t="s">
        <v>139</v>
      </c>
      <c r="DK80" t="s">
        <v>3</v>
      </c>
      <c r="DL80" t="s">
        <v>3</v>
      </c>
      <c r="DM80" t="s">
        <v>3</v>
      </c>
      <c r="DN80">
        <v>0</v>
      </c>
      <c r="DO80">
        <v>0</v>
      </c>
      <c r="DP80">
        <v>1</v>
      </c>
      <c r="DQ80">
        <v>1</v>
      </c>
      <c r="DU80">
        <v>1005</v>
      </c>
      <c r="DV80" t="s">
        <v>137</v>
      </c>
      <c r="DW80" t="s">
        <v>137</v>
      </c>
      <c r="DX80">
        <v>100</v>
      </c>
      <c r="DZ80" t="s">
        <v>3</v>
      </c>
      <c r="EA80" t="s">
        <v>3</v>
      </c>
      <c r="EB80" t="s">
        <v>3</v>
      </c>
      <c r="EC80" t="s">
        <v>3</v>
      </c>
      <c r="EE80">
        <v>36520056</v>
      </c>
      <c r="EF80">
        <v>2</v>
      </c>
      <c r="EG80" t="s">
        <v>28</v>
      </c>
      <c r="EH80">
        <v>0</v>
      </c>
      <c r="EI80" t="s">
        <v>3</v>
      </c>
      <c r="EJ80">
        <v>1</v>
      </c>
      <c r="EK80">
        <v>15001</v>
      </c>
      <c r="EL80" t="s">
        <v>140</v>
      </c>
      <c r="EM80" t="s">
        <v>141</v>
      </c>
      <c r="EO80" t="s">
        <v>142</v>
      </c>
      <c r="EQ80">
        <v>0</v>
      </c>
      <c r="ER80">
        <v>1654.11</v>
      </c>
      <c r="ES80">
        <v>1255.5999999999999</v>
      </c>
      <c r="ET80">
        <v>13.7</v>
      </c>
      <c r="EU80">
        <v>0.27</v>
      </c>
      <c r="EV80">
        <v>384.81</v>
      </c>
      <c r="EW80">
        <v>42.9</v>
      </c>
      <c r="EX80">
        <v>0.02</v>
      </c>
      <c r="EY80">
        <v>0</v>
      </c>
      <c r="FQ80">
        <v>0</v>
      </c>
      <c r="FR80">
        <f t="shared" si="97"/>
        <v>0</v>
      </c>
      <c r="FS80">
        <v>0</v>
      </c>
      <c r="FX80">
        <v>90</v>
      </c>
      <c r="FY80">
        <v>42</v>
      </c>
      <c r="GA80" t="s">
        <v>3</v>
      </c>
      <c r="GD80">
        <v>1</v>
      </c>
      <c r="GF80">
        <v>-115934710</v>
      </c>
      <c r="GG80">
        <v>2</v>
      </c>
      <c r="GH80">
        <v>2</v>
      </c>
      <c r="GI80">
        <v>2</v>
      </c>
      <c r="GJ80">
        <v>0</v>
      </c>
      <c r="GK80">
        <v>0</v>
      </c>
      <c r="GL80">
        <f t="shared" si="98"/>
        <v>0</v>
      </c>
      <c r="GM80">
        <f t="shared" si="99"/>
        <v>30922.39</v>
      </c>
      <c r="GN80">
        <f t="shared" si="100"/>
        <v>30922.39</v>
      </c>
      <c r="GO80">
        <f t="shared" si="101"/>
        <v>0</v>
      </c>
      <c r="GP80">
        <f t="shared" si="102"/>
        <v>0</v>
      </c>
      <c r="GR80">
        <v>0</v>
      </c>
      <c r="GS80">
        <v>3</v>
      </c>
      <c r="GT80">
        <v>0</v>
      </c>
      <c r="GU80" t="s">
        <v>3</v>
      </c>
      <c r="GV80">
        <f t="shared" si="103"/>
        <v>0</v>
      </c>
      <c r="GW80">
        <v>1</v>
      </c>
      <c r="GX80">
        <f t="shared" si="104"/>
        <v>0</v>
      </c>
      <c r="HA80">
        <v>0</v>
      </c>
      <c r="HB80">
        <v>0</v>
      </c>
      <c r="HC80">
        <f t="shared" si="105"/>
        <v>0</v>
      </c>
      <c r="HE80" t="s">
        <v>3</v>
      </c>
      <c r="HF80" t="s">
        <v>3</v>
      </c>
      <c r="HM80" t="s">
        <v>3</v>
      </c>
      <c r="HN80" t="s">
        <v>3</v>
      </c>
      <c r="HO80" t="s">
        <v>3</v>
      </c>
      <c r="HP80" t="s">
        <v>3</v>
      </c>
      <c r="HQ80" t="s">
        <v>3</v>
      </c>
      <c r="IK80">
        <v>0</v>
      </c>
    </row>
    <row r="81" spans="1:245">
      <c r="A81">
        <v>17</v>
      </c>
      <c r="B81">
        <v>1</v>
      </c>
      <c r="C81">
        <f>ROW(SmtRes!A72)</f>
        <v>72</v>
      </c>
      <c r="D81">
        <f>ROW(EtalonRes!A74)</f>
        <v>74</v>
      </c>
      <c r="E81" t="s">
        <v>157</v>
      </c>
      <c r="F81" t="s">
        <v>158</v>
      </c>
      <c r="G81" t="s">
        <v>159</v>
      </c>
      <c r="H81" t="s">
        <v>160</v>
      </c>
      <c r="I81">
        <f>ROUND(90.8/100,9)</f>
        <v>0.90800000000000003</v>
      </c>
      <c r="J81">
        <v>0</v>
      </c>
      <c r="K81">
        <f>ROUND(90.8/100,9)</f>
        <v>0.90800000000000003</v>
      </c>
      <c r="O81">
        <f t="shared" si="71"/>
        <v>17644.54</v>
      </c>
      <c r="P81">
        <f t="shared" si="72"/>
        <v>6649.33</v>
      </c>
      <c r="Q81">
        <f t="shared" si="73"/>
        <v>299.16000000000003</v>
      </c>
      <c r="R81">
        <f t="shared" si="74"/>
        <v>74.14</v>
      </c>
      <c r="S81">
        <f t="shared" si="75"/>
        <v>10696.05</v>
      </c>
      <c r="T81">
        <f t="shared" si="76"/>
        <v>0</v>
      </c>
      <c r="U81">
        <f t="shared" si="77"/>
        <v>37.319707999999999</v>
      </c>
      <c r="V81">
        <f t="shared" si="78"/>
        <v>0.16344</v>
      </c>
      <c r="W81">
        <f t="shared" si="79"/>
        <v>0</v>
      </c>
      <c r="X81">
        <f t="shared" si="80"/>
        <v>10877.89</v>
      </c>
      <c r="Y81">
        <f t="shared" si="81"/>
        <v>5923.6</v>
      </c>
      <c r="AA81">
        <v>35841400</v>
      </c>
      <c r="AB81">
        <f t="shared" si="82"/>
        <v>2114.509</v>
      </c>
      <c r="AC81">
        <f t="shared" si="83"/>
        <v>1735.32</v>
      </c>
      <c r="AD81">
        <f>ROUND((((ET81)-(EU81))+AE81),6)</f>
        <v>28.6</v>
      </c>
      <c r="AE81">
        <f>ROUND((EU81),6)</f>
        <v>2.4300000000000002</v>
      </c>
      <c r="AF81">
        <f>ROUND(((EV81*1.15)),6)</f>
        <v>350.589</v>
      </c>
      <c r="AG81">
        <f t="shared" si="84"/>
        <v>0</v>
      </c>
      <c r="AH81">
        <f>((EW81*1.15))</f>
        <v>41.100999999999999</v>
      </c>
      <c r="AI81">
        <f>(EX81)</f>
        <v>0.18</v>
      </c>
      <c r="AJ81">
        <f t="shared" si="85"/>
        <v>0</v>
      </c>
      <c r="AK81">
        <v>2068.7800000000002</v>
      </c>
      <c r="AL81">
        <v>1735.32</v>
      </c>
      <c r="AM81">
        <v>28.6</v>
      </c>
      <c r="AN81">
        <v>2.4300000000000002</v>
      </c>
      <c r="AO81">
        <v>304.86</v>
      </c>
      <c r="AP81">
        <v>0</v>
      </c>
      <c r="AQ81">
        <v>35.74</v>
      </c>
      <c r="AR81">
        <v>0.18</v>
      </c>
      <c r="AS81">
        <v>0</v>
      </c>
      <c r="AT81">
        <v>101</v>
      </c>
      <c r="AU81">
        <v>55</v>
      </c>
      <c r="AV81">
        <v>1</v>
      </c>
      <c r="AW81">
        <v>1</v>
      </c>
      <c r="AZ81">
        <v>1</v>
      </c>
      <c r="BA81">
        <v>33.6</v>
      </c>
      <c r="BB81">
        <v>11.52</v>
      </c>
      <c r="BC81">
        <v>4.22</v>
      </c>
      <c r="BD81" t="s">
        <v>3</v>
      </c>
      <c r="BE81" t="s">
        <v>3</v>
      </c>
      <c r="BF81" t="s">
        <v>3</v>
      </c>
      <c r="BG81" t="s">
        <v>3</v>
      </c>
      <c r="BH81">
        <v>0</v>
      </c>
      <c r="BI81">
        <v>1</v>
      </c>
      <c r="BJ81" t="s">
        <v>161</v>
      </c>
      <c r="BM81">
        <v>11001</v>
      </c>
      <c r="BN81">
        <v>0</v>
      </c>
      <c r="BO81" t="s">
        <v>158</v>
      </c>
      <c r="BP81">
        <v>1</v>
      </c>
      <c r="BQ81">
        <v>2</v>
      </c>
      <c r="BR81">
        <v>0</v>
      </c>
      <c r="BS81">
        <v>33.6</v>
      </c>
      <c r="BT81">
        <v>1</v>
      </c>
      <c r="BU81">
        <v>1</v>
      </c>
      <c r="BV81">
        <v>1</v>
      </c>
      <c r="BW81">
        <v>1</v>
      </c>
      <c r="BX81">
        <v>1</v>
      </c>
      <c r="BY81" t="s">
        <v>3</v>
      </c>
      <c r="BZ81">
        <v>101</v>
      </c>
      <c r="CA81">
        <v>55</v>
      </c>
      <c r="CB81" t="s">
        <v>3</v>
      </c>
      <c r="CE81">
        <v>0</v>
      </c>
      <c r="CF81">
        <v>0</v>
      </c>
      <c r="CG81">
        <v>0</v>
      </c>
      <c r="CM81">
        <v>0</v>
      </c>
      <c r="CN81" t="s">
        <v>606</v>
      </c>
      <c r="CO81">
        <v>0</v>
      </c>
      <c r="CP81">
        <f t="shared" si="86"/>
        <v>17644.54</v>
      </c>
      <c r="CQ81">
        <f t="shared" si="87"/>
        <v>7323.0503999999992</v>
      </c>
      <c r="CR81">
        <f t="shared" si="88"/>
        <v>329.47199999999998</v>
      </c>
      <c r="CS81">
        <f t="shared" si="89"/>
        <v>81.64800000000001</v>
      </c>
      <c r="CT81">
        <f t="shared" si="90"/>
        <v>11779.7904</v>
      </c>
      <c r="CU81">
        <f t="shared" si="91"/>
        <v>0</v>
      </c>
      <c r="CV81">
        <f t="shared" si="92"/>
        <v>41.100999999999999</v>
      </c>
      <c r="CW81">
        <f t="shared" si="93"/>
        <v>0.18</v>
      </c>
      <c r="CX81">
        <f t="shared" si="94"/>
        <v>0</v>
      </c>
      <c r="CY81">
        <f t="shared" si="95"/>
        <v>10877.891899999999</v>
      </c>
      <c r="CZ81">
        <f t="shared" si="96"/>
        <v>5923.6044999999995</v>
      </c>
      <c r="DC81" t="s">
        <v>3</v>
      </c>
      <c r="DD81" t="s">
        <v>3</v>
      </c>
      <c r="DE81" t="s">
        <v>3</v>
      </c>
      <c r="DF81" t="s">
        <v>3</v>
      </c>
      <c r="DG81" t="s">
        <v>114</v>
      </c>
      <c r="DH81" t="s">
        <v>3</v>
      </c>
      <c r="DI81" t="s">
        <v>114</v>
      </c>
      <c r="DJ81" t="s">
        <v>3</v>
      </c>
      <c r="DK81" t="s">
        <v>3</v>
      </c>
      <c r="DL81" t="s">
        <v>3</v>
      </c>
      <c r="DM81" t="s">
        <v>3</v>
      </c>
      <c r="DN81">
        <v>0</v>
      </c>
      <c r="DO81">
        <v>0</v>
      </c>
      <c r="DP81">
        <v>1</v>
      </c>
      <c r="DQ81">
        <v>1</v>
      </c>
      <c r="DU81">
        <v>1013</v>
      </c>
      <c r="DV81" t="s">
        <v>160</v>
      </c>
      <c r="DW81" t="s">
        <v>160</v>
      </c>
      <c r="DX81">
        <v>1</v>
      </c>
      <c r="DZ81" t="s">
        <v>3</v>
      </c>
      <c r="EA81" t="s">
        <v>3</v>
      </c>
      <c r="EB81" t="s">
        <v>3</v>
      </c>
      <c r="EC81" t="s">
        <v>3</v>
      </c>
      <c r="EE81">
        <v>36520028</v>
      </c>
      <c r="EF81">
        <v>2</v>
      </c>
      <c r="EG81" t="s">
        <v>28</v>
      </c>
      <c r="EH81">
        <v>0</v>
      </c>
      <c r="EI81" t="s">
        <v>3</v>
      </c>
      <c r="EJ81">
        <v>1</v>
      </c>
      <c r="EK81">
        <v>11001</v>
      </c>
      <c r="EL81" t="s">
        <v>36</v>
      </c>
      <c r="EM81" t="s">
        <v>162</v>
      </c>
      <c r="EO81" t="s">
        <v>117</v>
      </c>
      <c r="EQ81">
        <v>0</v>
      </c>
      <c r="ER81">
        <v>2068.7800000000002</v>
      </c>
      <c r="ES81">
        <v>1735.32</v>
      </c>
      <c r="ET81">
        <v>28.6</v>
      </c>
      <c r="EU81">
        <v>2.4300000000000002</v>
      </c>
      <c r="EV81">
        <v>304.86</v>
      </c>
      <c r="EW81">
        <v>35.74</v>
      </c>
      <c r="EX81">
        <v>0.18</v>
      </c>
      <c r="EY81">
        <v>0</v>
      </c>
      <c r="FQ81">
        <v>0</v>
      </c>
      <c r="FR81">
        <f t="shared" si="97"/>
        <v>0</v>
      </c>
      <c r="FS81">
        <v>0</v>
      </c>
      <c r="FX81">
        <v>101</v>
      </c>
      <c r="FY81">
        <v>55</v>
      </c>
      <c r="GA81" t="s">
        <v>3</v>
      </c>
      <c r="GD81">
        <v>1</v>
      </c>
      <c r="GF81">
        <v>-1478680915</v>
      </c>
      <c r="GG81">
        <v>2</v>
      </c>
      <c r="GH81">
        <v>2</v>
      </c>
      <c r="GI81">
        <v>2</v>
      </c>
      <c r="GJ81">
        <v>0</v>
      </c>
      <c r="GK81">
        <v>0</v>
      </c>
      <c r="GL81">
        <f t="shared" si="98"/>
        <v>0</v>
      </c>
      <c r="GM81">
        <f t="shared" si="99"/>
        <v>34446.03</v>
      </c>
      <c r="GN81">
        <f t="shared" si="100"/>
        <v>34446.03</v>
      </c>
      <c r="GO81">
        <f t="shared" si="101"/>
        <v>0</v>
      </c>
      <c r="GP81">
        <f t="shared" si="102"/>
        <v>0</v>
      </c>
      <c r="GR81">
        <v>0</v>
      </c>
      <c r="GS81">
        <v>3</v>
      </c>
      <c r="GT81">
        <v>0</v>
      </c>
      <c r="GU81" t="s">
        <v>3</v>
      </c>
      <c r="GV81">
        <f t="shared" si="103"/>
        <v>0</v>
      </c>
      <c r="GW81">
        <v>1</v>
      </c>
      <c r="GX81">
        <f t="shared" si="104"/>
        <v>0</v>
      </c>
      <c r="HA81">
        <v>0</v>
      </c>
      <c r="HB81">
        <v>0</v>
      </c>
      <c r="HC81">
        <f t="shared" si="105"/>
        <v>0</v>
      </c>
      <c r="HE81" t="s">
        <v>3</v>
      </c>
      <c r="HF81" t="s">
        <v>3</v>
      </c>
      <c r="HM81" t="s">
        <v>3</v>
      </c>
      <c r="HN81" t="s">
        <v>3</v>
      </c>
      <c r="HO81" t="s">
        <v>3</v>
      </c>
      <c r="HP81" t="s">
        <v>3</v>
      </c>
      <c r="HQ81" t="s">
        <v>3</v>
      </c>
      <c r="IK81">
        <v>0</v>
      </c>
    </row>
    <row r="82" spans="1:245">
      <c r="A82">
        <v>17</v>
      </c>
      <c r="B82">
        <v>1</v>
      </c>
      <c r="C82">
        <f>ROW(SmtRes!A79)</f>
        <v>79</v>
      </c>
      <c r="D82">
        <f>ROW(EtalonRes!A81)</f>
        <v>81</v>
      </c>
      <c r="E82" t="s">
        <v>163</v>
      </c>
      <c r="F82" t="s">
        <v>164</v>
      </c>
      <c r="G82" t="s">
        <v>165</v>
      </c>
      <c r="H82" t="s">
        <v>160</v>
      </c>
      <c r="I82">
        <f>ROUND(90.8/100,9)</f>
        <v>0.90800000000000003</v>
      </c>
      <c r="J82">
        <v>0</v>
      </c>
      <c r="K82">
        <f>ROUND(90.8/100,9)</f>
        <v>0.90800000000000003</v>
      </c>
      <c r="O82">
        <f t="shared" si="71"/>
        <v>44161.32</v>
      </c>
      <c r="P82">
        <f t="shared" si="72"/>
        <v>28049.39</v>
      </c>
      <c r="Q82">
        <f t="shared" si="73"/>
        <v>791.94</v>
      </c>
      <c r="R82">
        <f t="shared" si="74"/>
        <v>193.73</v>
      </c>
      <c r="S82">
        <f t="shared" si="75"/>
        <v>15319.99</v>
      </c>
      <c r="T82">
        <f t="shared" si="76"/>
        <v>0</v>
      </c>
      <c r="U82">
        <f t="shared" si="77"/>
        <v>56.359560000000002</v>
      </c>
      <c r="V82">
        <f t="shared" si="78"/>
        <v>0.42675999999999997</v>
      </c>
      <c r="W82">
        <f t="shared" si="79"/>
        <v>0</v>
      </c>
      <c r="X82">
        <f t="shared" si="80"/>
        <v>13807.21</v>
      </c>
      <c r="Y82">
        <f t="shared" si="81"/>
        <v>7601.72</v>
      </c>
      <c r="AA82">
        <v>35841400</v>
      </c>
      <c r="AB82">
        <f t="shared" si="82"/>
        <v>5584.57</v>
      </c>
      <c r="AC82">
        <f t="shared" si="83"/>
        <v>5006.71</v>
      </c>
      <c r="AD82">
        <f>ROUND((((ET82)-(EU82))+AE82),6)</f>
        <v>75.709999999999994</v>
      </c>
      <c r="AE82">
        <f>ROUND((EU82),6)</f>
        <v>6.35</v>
      </c>
      <c r="AF82">
        <f>ROUND((EV82),6)</f>
        <v>502.15</v>
      </c>
      <c r="AG82">
        <f t="shared" si="84"/>
        <v>0</v>
      </c>
      <c r="AH82">
        <f>(EW82)</f>
        <v>62.07</v>
      </c>
      <c r="AI82">
        <f>(EX82)</f>
        <v>0.47</v>
      </c>
      <c r="AJ82">
        <f t="shared" si="85"/>
        <v>0</v>
      </c>
      <c r="AK82">
        <v>5584.57</v>
      </c>
      <c r="AL82">
        <v>5006.71</v>
      </c>
      <c r="AM82">
        <v>75.709999999999994</v>
      </c>
      <c r="AN82">
        <v>6.35</v>
      </c>
      <c r="AO82">
        <v>502.15</v>
      </c>
      <c r="AP82">
        <v>0</v>
      </c>
      <c r="AQ82">
        <v>62.07</v>
      </c>
      <c r="AR82">
        <v>0.47</v>
      </c>
      <c r="AS82">
        <v>0</v>
      </c>
      <c r="AT82">
        <v>89</v>
      </c>
      <c r="AU82">
        <v>49</v>
      </c>
      <c r="AV82">
        <v>1</v>
      </c>
      <c r="AW82">
        <v>1</v>
      </c>
      <c r="AZ82">
        <v>1</v>
      </c>
      <c r="BA82">
        <v>33.6</v>
      </c>
      <c r="BB82">
        <v>11.52</v>
      </c>
      <c r="BC82">
        <v>6.17</v>
      </c>
      <c r="BD82" t="s">
        <v>3</v>
      </c>
      <c r="BE82" t="s">
        <v>3</v>
      </c>
      <c r="BF82" t="s">
        <v>3</v>
      </c>
      <c r="BG82" t="s">
        <v>3</v>
      </c>
      <c r="BH82">
        <v>0</v>
      </c>
      <c r="BI82">
        <v>1</v>
      </c>
      <c r="BJ82" t="s">
        <v>166</v>
      </c>
      <c r="BM82">
        <v>57001</v>
      </c>
      <c r="BN82">
        <v>0</v>
      </c>
      <c r="BO82" t="s">
        <v>164</v>
      </c>
      <c r="BP82">
        <v>1</v>
      </c>
      <c r="BQ82">
        <v>6</v>
      </c>
      <c r="BR82">
        <v>0</v>
      </c>
      <c r="BS82">
        <v>33.6</v>
      </c>
      <c r="BT82">
        <v>1</v>
      </c>
      <c r="BU82">
        <v>1</v>
      </c>
      <c r="BV82">
        <v>1</v>
      </c>
      <c r="BW82">
        <v>1</v>
      </c>
      <c r="BX82">
        <v>1</v>
      </c>
      <c r="BY82" t="s">
        <v>3</v>
      </c>
      <c r="BZ82">
        <v>89</v>
      </c>
      <c r="CA82">
        <v>49</v>
      </c>
      <c r="CB82" t="s">
        <v>3</v>
      </c>
      <c r="CE82">
        <v>0</v>
      </c>
      <c r="CF82">
        <v>0</v>
      </c>
      <c r="CG82">
        <v>0</v>
      </c>
      <c r="CM82">
        <v>0</v>
      </c>
      <c r="CN82" t="s">
        <v>3</v>
      </c>
      <c r="CO82">
        <v>0</v>
      </c>
      <c r="CP82">
        <f t="shared" si="86"/>
        <v>44161.32</v>
      </c>
      <c r="CQ82">
        <f t="shared" si="87"/>
        <v>30891.400699999998</v>
      </c>
      <c r="CR82">
        <f t="shared" si="88"/>
        <v>872.17919999999992</v>
      </c>
      <c r="CS82">
        <f t="shared" si="89"/>
        <v>213.35999999999999</v>
      </c>
      <c r="CT82">
        <f t="shared" si="90"/>
        <v>16872.240000000002</v>
      </c>
      <c r="CU82">
        <f t="shared" si="91"/>
        <v>0</v>
      </c>
      <c r="CV82">
        <f t="shared" si="92"/>
        <v>62.07</v>
      </c>
      <c r="CW82">
        <f t="shared" si="93"/>
        <v>0.47</v>
      </c>
      <c r="CX82">
        <f t="shared" si="94"/>
        <v>0</v>
      </c>
      <c r="CY82">
        <f t="shared" si="95"/>
        <v>13807.210799999999</v>
      </c>
      <c r="CZ82">
        <f t="shared" si="96"/>
        <v>7601.7227999999996</v>
      </c>
      <c r="DC82" t="s">
        <v>3</v>
      </c>
      <c r="DD82" t="s">
        <v>3</v>
      </c>
      <c r="DE82" t="s">
        <v>3</v>
      </c>
      <c r="DF82" t="s">
        <v>3</v>
      </c>
      <c r="DG82" t="s">
        <v>3</v>
      </c>
      <c r="DH82" t="s">
        <v>3</v>
      </c>
      <c r="DI82" t="s">
        <v>3</v>
      </c>
      <c r="DJ82" t="s">
        <v>3</v>
      </c>
      <c r="DK82" t="s">
        <v>3</v>
      </c>
      <c r="DL82" t="s">
        <v>3</v>
      </c>
      <c r="DM82" t="s">
        <v>3</v>
      </c>
      <c r="DN82">
        <v>0</v>
      </c>
      <c r="DO82">
        <v>0</v>
      </c>
      <c r="DP82">
        <v>1</v>
      </c>
      <c r="DQ82">
        <v>1</v>
      </c>
      <c r="DU82">
        <v>1013</v>
      </c>
      <c r="DV82" t="s">
        <v>160</v>
      </c>
      <c r="DW82" t="s">
        <v>160</v>
      </c>
      <c r="DX82">
        <v>1</v>
      </c>
      <c r="DZ82" t="s">
        <v>3</v>
      </c>
      <c r="EA82" t="s">
        <v>3</v>
      </c>
      <c r="EB82" t="s">
        <v>3</v>
      </c>
      <c r="EC82" t="s">
        <v>3</v>
      </c>
      <c r="EE82">
        <v>36520127</v>
      </c>
      <c r="EF82">
        <v>6</v>
      </c>
      <c r="EG82" t="s">
        <v>20</v>
      </c>
      <c r="EH82">
        <v>0</v>
      </c>
      <c r="EI82" t="s">
        <v>3</v>
      </c>
      <c r="EJ82">
        <v>1</v>
      </c>
      <c r="EK82">
        <v>57001</v>
      </c>
      <c r="EL82" t="s">
        <v>36</v>
      </c>
      <c r="EM82" t="s">
        <v>37</v>
      </c>
      <c r="EO82" t="s">
        <v>3</v>
      </c>
      <c r="EQ82">
        <v>0</v>
      </c>
      <c r="ER82">
        <v>5584.57</v>
      </c>
      <c r="ES82">
        <v>5006.71</v>
      </c>
      <c r="ET82">
        <v>75.709999999999994</v>
      </c>
      <c r="EU82">
        <v>6.35</v>
      </c>
      <c r="EV82">
        <v>502.15</v>
      </c>
      <c r="EW82">
        <v>62.07</v>
      </c>
      <c r="EX82">
        <v>0.47</v>
      </c>
      <c r="EY82">
        <v>0</v>
      </c>
      <c r="FQ82">
        <v>0</v>
      </c>
      <c r="FR82">
        <f t="shared" si="97"/>
        <v>0</v>
      </c>
      <c r="FS82">
        <v>0</v>
      </c>
      <c r="FX82">
        <v>89</v>
      </c>
      <c r="FY82">
        <v>49</v>
      </c>
      <c r="GA82" t="s">
        <v>3</v>
      </c>
      <c r="GD82">
        <v>1</v>
      </c>
      <c r="GF82">
        <v>1851214259</v>
      </c>
      <c r="GG82">
        <v>2</v>
      </c>
      <c r="GH82">
        <v>2</v>
      </c>
      <c r="GI82">
        <v>2</v>
      </c>
      <c r="GJ82">
        <v>0</v>
      </c>
      <c r="GK82">
        <v>0</v>
      </c>
      <c r="GL82">
        <f t="shared" si="98"/>
        <v>0</v>
      </c>
      <c r="GM82">
        <f t="shared" si="99"/>
        <v>65570.25</v>
      </c>
      <c r="GN82">
        <f t="shared" si="100"/>
        <v>65570.25</v>
      </c>
      <c r="GO82">
        <f t="shared" si="101"/>
        <v>0</v>
      </c>
      <c r="GP82">
        <f t="shared" si="102"/>
        <v>0</v>
      </c>
      <c r="GR82">
        <v>0</v>
      </c>
      <c r="GS82">
        <v>3</v>
      </c>
      <c r="GT82">
        <v>0</v>
      </c>
      <c r="GU82" t="s">
        <v>3</v>
      </c>
      <c r="GV82">
        <f t="shared" si="103"/>
        <v>0</v>
      </c>
      <c r="GW82">
        <v>1</v>
      </c>
      <c r="GX82">
        <f t="shared" si="104"/>
        <v>0</v>
      </c>
      <c r="HA82">
        <v>0</v>
      </c>
      <c r="HB82">
        <v>0</v>
      </c>
      <c r="HC82">
        <f t="shared" si="105"/>
        <v>0</v>
      </c>
      <c r="HE82" t="s">
        <v>3</v>
      </c>
      <c r="HF82" t="s">
        <v>3</v>
      </c>
      <c r="HM82" t="s">
        <v>3</v>
      </c>
      <c r="HN82" t="s">
        <v>3</v>
      </c>
      <c r="HO82" t="s">
        <v>3</v>
      </c>
      <c r="HP82" t="s">
        <v>3</v>
      </c>
      <c r="HQ82" t="s">
        <v>3</v>
      </c>
      <c r="IK82">
        <v>0</v>
      </c>
    </row>
    <row r="83" spans="1:245">
      <c r="A83">
        <v>18</v>
      </c>
      <c r="B83">
        <v>1</v>
      </c>
      <c r="C83">
        <v>79</v>
      </c>
      <c r="E83" t="s">
        <v>167</v>
      </c>
      <c r="F83" t="s">
        <v>39</v>
      </c>
      <c r="G83" t="s">
        <v>40</v>
      </c>
      <c r="H83" t="s">
        <v>41</v>
      </c>
      <c r="I83">
        <f>I82*J83</f>
        <v>1.6888799999999999</v>
      </c>
      <c r="J83">
        <v>1.8599999999999999</v>
      </c>
      <c r="K83">
        <v>1.86</v>
      </c>
      <c r="O83">
        <f t="shared" si="71"/>
        <v>0</v>
      </c>
      <c r="P83">
        <f t="shared" si="72"/>
        <v>0</v>
      </c>
      <c r="Q83">
        <f t="shared" si="73"/>
        <v>0</v>
      </c>
      <c r="R83">
        <f t="shared" si="74"/>
        <v>0</v>
      </c>
      <c r="S83">
        <f t="shared" si="75"/>
        <v>0</v>
      </c>
      <c r="T83">
        <f t="shared" si="76"/>
        <v>0</v>
      </c>
      <c r="U83">
        <f t="shared" si="77"/>
        <v>0</v>
      </c>
      <c r="V83">
        <f t="shared" si="78"/>
        <v>0</v>
      </c>
      <c r="W83">
        <f t="shared" si="79"/>
        <v>0</v>
      </c>
      <c r="X83">
        <f t="shared" si="80"/>
        <v>0</v>
      </c>
      <c r="Y83">
        <f t="shared" si="81"/>
        <v>0</v>
      </c>
      <c r="AA83">
        <v>35841400</v>
      </c>
      <c r="AB83">
        <f t="shared" si="82"/>
        <v>0</v>
      </c>
      <c r="AC83">
        <f t="shared" si="83"/>
        <v>0</v>
      </c>
      <c r="AD83">
        <f>ROUND((((ET83)-(EU83))+AE83),6)</f>
        <v>0</v>
      </c>
      <c r="AE83">
        <f>ROUND((EU83),6)</f>
        <v>0</v>
      </c>
      <c r="AF83">
        <f>ROUND((EV83),6)</f>
        <v>0</v>
      </c>
      <c r="AG83">
        <f t="shared" si="84"/>
        <v>0</v>
      </c>
      <c r="AH83">
        <f>(EW83)</f>
        <v>0</v>
      </c>
      <c r="AI83">
        <f>(EX83)</f>
        <v>0</v>
      </c>
      <c r="AJ83">
        <f t="shared" si="85"/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89</v>
      </c>
      <c r="AU83">
        <v>49</v>
      </c>
      <c r="AV83">
        <v>1</v>
      </c>
      <c r="AW83">
        <v>1</v>
      </c>
      <c r="AZ83">
        <v>1</v>
      </c>
      <c r="BA83">
        <v>1</v>
      </c>
      <c r="BB83">
        <v>1</v>
      </c>
      <c r="BC83">
        <v>1</v>
      </c>
      <c r="BD83" t="s">
        <v>3</v>
      </c>
      <c r="BE83" t="s">
        <v>3</v>
      </c>
      <c r="BF83" t="s">
        <v>3</v>
      </c>
      <c r="BG83" t="s">
        <v>3</v>
      </c>
      <c r="BH83">
        <v>3</v>
      </c>
      <c r="BI83">
        <v>1</v>
      </c>
      <c r="BJ83" t="s">
        <v>168</v>
      </c>
      <c r="BM83">
        <v>57001</v>
      </c>
      <c r="BN83">
        <v>0</v>
      </c>
      <c r="BO83" t="s">
        <v>3</v>
      </c>
      <c r="BP83">
        <v>0</v>
      </c>
      <c r="BQ83">
        <v>6</v>
      </c>
      <c r="BR83">
        <v>0</v>
      </c>
      <c r="BS83">
        <v>1</v>
      </c>
      <c r="BT83">
        <v>1</v>
      </c>
      <c r="BU83">
        <v>1</v>
      </c>
      <c r="BV83">
        <v>1</v>
      </c>
      <c r="BW83">
        <v>1</v>
      </c>
      <c r="BX83">
        <v>1</v>
      </c>
      <c r="BY83" t="s">
        <v>3</v>
      </c>
      <c r="BZ83">
        <v>89</v>
      </c>
      <c r="CA83">
        <v>49</v>
      </c>
      <c r="CB83" t="s">
        <v>3</v>
      </c>
      <c r="CE83">
        <v>0</v>
      </c>
      <c r="CF83">
        <v>0</v>
      </c>
      <c r="CG83">
        <v>0</v>
      </c>
      <c r="CM83">
        <v>0</v>
      </c>
      <c r="CN83" t="s">
        <v>3</v>
      </c>
      <c r="CO83">
        <v>0</v>
      </c>
      <c r="CP83">
        <f t="shared" si="86"/>
        <v>0</v>
      </c>
      <c r="CQ83">
        <f t="shared" si="87"/>
        <v>0</v>
      </c>
      <c r="CR83">
        <f t="shared" si="88"/>
        <v>0</v>
      </c>
      <c r="CS83">
        <f t="shared" si="89"/>
        <v>0</v>
      </c>
      <c r="CT83">
        <f t="shared" si="90"/>
        <v>0</v>
      </c>
      <c r="CU83">
        <f t="shared" si="91"/>
        <v>0</v>
      </c>
      <c r="CV83">
        <f t="shared" si="92"/>
        <v>0</v>
      </c>
      <c r="CW83">
        <f t="shared" si="93"/>
        <v>0</v>
      </c>
      <c r="CX83">
        <f t="shared" si="94"/>
        <v>0</v>
      </c>
      <c r="CY83">
        <f t="shared" si="95"/>
        <v>0</v>
      </c>
      <c r="CZ83">
        <f t="shared" si="96"/>
        <v>0</v>
      </c>
      <c r="DC83" t="s">
        <v>3</v>
      </c>
      <c r="DD83" t="s">
        <v>3</v>
      </c>
      <c r="DE83" t="s">
        <v>3</v>
      </c>
      <c r="DF83" t="s">
        <v>3</v>
      </c>
      <c r="DG83" t="s">
        <v>3</v>
      </c>
      <c r="DH83" t="s">
        <v>3</v>
      </c>
      <c r="DI83" t="s">
        <v>3</v>
      </c>
      <c r="DJ83" t="s">
        <v>3</v>
      </c>
      <c r="DK83" t="s">
        <v>3</v>
      </c>
      <c r="DL83" t="s">
        <v>3</v>
      </c>
      <c r="DM83" t="s">
        <v>3</v>
      </c>
      <c r="DN83">
        <v>0</v>
      </c>
      <c r="DO83">
        <v>0</v>
      </c>
      <c r="DP83">
        <v>1</v>
      </c>
      <c r="DQ83">
        <v>1</v>
      </c>
      <c r="DU83">
        <v>1009</v>
      </c>
      <c r="DV83" t="s">
        <v>41</v>
      </c>
      <c r="DW83" t="s">
        <v>41</v>
      </c>
      <c r="DX83">
        <v>1000</v>
      </c>
      <c r="DZ83" t="s">
        <v>3</v>
      </c>
      <c r="EA83" t="s">
        <v>3</v>
      </c>
      <c r="EB83" t="s">
        <v>3</v>
      </c>
      <c r="EC83" t="s">
        <v>3</v>
      </c>
      <c r="EE83">
        <v>36520127</v>
      </c>
      <c r="EF83">
        <v>6</v>
      </c>
      <c r="EG83" t="s">
        <v>20</v>
      </c>
      <c r="EH83">
        <v>0</v>
      </c>
      <c r="EI83" t="s">
        <v>3</v>
      </c>
      <c r="EJ83">
        <v>1</v>
      </c>
      <c r="EK83">
        <v>57001</v>
      </c>
      <c r="EL83" t="s">
        <v>36</v>
      </c>
      <c r="EM83" t="s">
        <v>37</v>
      </c>
      <c r="EO83" t="s">
        <v>3</v>
      </c>
      <c r="EQ83">
        <v>0</v>
      </c>
      <c r="ER83">
        <v>0</v>
      </c>
      <c r="ES83">
        <v>0</v>
      </c>
      <c r="ET83">
        <v>0</v>
      </c>
      <c r="EU83">
        <v>0</v>
      </c>
      <c r="EV83">
        <v>0</v>
      </c>
      <c r="EW83">
        <v>0</v>
      </c>
      <c r="EX83">
        <v>0</v>
      </c>
      <c r="FQ83">
        <v>0</v>
      </c>
      <c r="FR83">
        <f t="shared" si="97"/>
        <v>0</v>
      </c>
      <c r="FS83">
        <v>0</v>
      </c>
      <c r="FX83">
        <v>89</v>
      </c>
      <c r="FY83">
        <v>49</v>
      </c>
      <c r="GA83" t="s">
        <v>3</v>
      </c>
      <c r="GD83">
        <v>1</v>
      </c>
      <c r="GF83">
        <v>1876412176</v>
      </c>
      <c r="GG83">
        <v>2</v>
      </c>
      <c r="GH83">
        <v>1</v>
      </c>
      <c r="GI83">
        <v>-2</v>
      </c>
      <c r="GJ83">
        <v>0</v>
      </c>
      <c r="GK83">
        <v>0</v>
      </c>
      <c r="GL83">
        <f t="shared" si="98"/>
        <v>0</v>
      </c>
      <c r="GM83">
        <f t="shared" si="99"/>
        <v>0</v>
      </c>
      <c r="GN83">
        <f t="shared" si="100"/>
        <v>0</v>
      </c>
      <c r="GO83">
        <f t="shared" si="101"/>
        <v>0</v>
      </c>
      <c r="GP83">
        <f t="shared" si="102"/>
        <v>0</v>
      </c>
      <c r="GR83">
        <v>0</v>
      </c>
      <c r="GS83">
        <v>3</v>
      </c>
      <c r="GT83">
        <v>0</v>
      </c>
      <c r="GU83" t="s">
        <v>3</v>
      </c>
      <c r="GV83">
        <f t="shared" si="103"/>
        <v>0</v>
      </c>
      <c r="GW83">
        <v>1</v>
      </c>
      <c r="GX83">
        <f t="shared" si="104"/>
        <v>0</v>
      </c>
      <c r="HA83">
        <v>0</v>
      </c>
      <c r="HB83">
        <v>0</v>
      </c>
      <c r="HC83">
        <f t="shared" si="105"/>
        <v>0</v>
      </c>
      <c r="HE83" t="s">
        <v>3</v>
      </c>
      <c r="HF83" t="s">
        <v>3</v>
      </c>
      <c r="HM83" t="s">
        <v>3</v>
      </c>
      <c r="HN83" t="s">
        <v>3</v>
      </c>
      <c r="HO83" t="s">
        <v>3</v>
      </c>
      <c r="HP83" t="s">
        <v>3</v>
      </c>
      <c r="HQ83" t="s">
        <v>3</v>
      </c>
      <c r="IK83">
        <v>0</v>
      </c>
    </row>
    <row r="84" spans="1:245">
      <c r="A84">
        <v>17</v>
      </c>
      <c r="B84">
        <v>1</v>
      </c>
      <c r="C84">
        <f>ROW(SmtRes!A86)</f>
        <v>86</v>
      </c>
      <c r="D84">
        <f>ROW(EtalonRes!A88)</f>
        <v>88</v>
      </c>
      <c r="E84" t="s">
        <v>169</v>
      </c>
      <c r="F84" t="s">
        <v>170</v>
      </c>
      <c r="G84" t="s">
        <v>171</v>
      </c>
      <c r="H84" t="s">
        <v>160</v>
      </c>
      <c r="I84">
        <f>ROUND(90.8/100,9)</f>
        <v>0.90800000000000003</v>
      </c>
      <c r="J84">
        <v>0</v>
      </c>
      <c r="K84">
        <f>ROUND(90.8/100,9)</f>
        <v>0.90800000000000003</v>
      </c>
      <c r="O84">
        <f t="shared" si="71"/>
        <v>46226.04</v>
      </c>
      <c r="P84">
        <f t="shared" si="72"/>
        <v>33563.279999999999</v>
      </c>
      <c r="Q84">
        <f t="shared" si="73"/>
        <v>3702.37</v>
      </c>
      <c r="R84">
        <f t="shared" si="74"/>
        <v>2056.29</v>
      </c>
      <c r="S84">
        <f t="shared" si="75"/>
        <v>8960.39</v>
      </c>
      <c r="T84">
        <f t="shared" si="76"/>
        <v>0</v>
      </c>
      <c r="U84">
        <f t="shared" si="77"/>
        <v>32.641691999999999</v>
      </c>
      <c r="V84">
        <f t="shared" si="78"/>
        <v>6.0836000000000006</v>
      </c>
      <c r="W84">
        <f t="shared" si="79"/>
        <v>0</v>
      </c>
      <c r="X84">
        <f t="shared" si="80"/>
        <v>11126.85</v>
      </c>
      <c r="Y84">
        <f t="shared" si="81"/>
        <v>6059.17</v>
      </c>
      <c r="AA84">
        <v>35841400</v>
      </c>
      <c r="AB84">
        <f t="shared" si="82"/>
        <v>6252.8384999999998</v>
      </c>
      <c r="AC84">
        <f t="shared" si="83"/>
        <v>5583.68</v>
      </c>
      <c r="AD84">
        <f>ROUND((((ET84)-(EU84))+AE84),6)</f>
        <v>375.46</v>
      </c>
      <c r="AE84">
        <f>ROUND((EU84),6)</f>
        <v>67.400000000000006</v>
      </c>
      <c r="AF84">
        <f>ROUND(((EV84*1.15)),6)</f>
        <v>293.69850000000002</v>
      </c>
      <c r="AG84">
        <f t="shared" si="84"/>
        <v>0</v>
      </c>
      <c r="AH84">
        <f>((EW84*1.15))</f>
        <v>35.948999999999998</v>
      </c>
      <c r="AI84">
        <f>(EX84)</f>
        <v>6.7</v>
      </c>
      <c r="AJ84">
        <f t="shared" si="85"/>
        <v>0</v>
      </c>
      <c r="AK84">
        <v>6214.53</v>
      </c>
      <c r="AL84">
        <v>5583.68</v>
      </c>
      <c r="AM84">
        <v>375.46</v>
      </c>
      <c r="AN84">
        <v>67.400000000000006</v>
      </c>
      <c r="AO84">
        <v>255.39</v>
      </c>
      <c r="AP84">
        <v>0</v>
      </c>
      <c r="AQ84">
        <v>31.26</v>
      </c>
      <c r="AR84">
        <v>6.7</v>
      </c>
      <c r="AS84">
        <v>0</v>
      </c>
      <c r="AT84">
        <v>101</v>
      </c>
      <c r="AU84">
        <v>55</v>
      </c>
      <c r="AV84">
        <v>1</v>
      </c>
      <c r="AW84">
        <v>1</v>
      </c>
      <c r="AZ84">
        <v>1</v>
      </c>
      <c r="BA84">
        <v>33.6</v>
      </c>
      <c r="BB84">
        <v>10.86</v>
      </c>
      <c r="BC84">
        <v>6.62</v>
      </c>
      <c r="BD84" t="s">
        <v>3</v>
      </c>
      <c r="BE84" t="s">
        <v>3</v>
      </c>
      <c r="BF84" t="s">
        <v>3</v>
      </c>
      <c r="BG84" t="s">
        <v>3</v>
      </c>
      <c r="BH84">
        <v>0</v>
      </c>
      <c r="BI84">
        <v>1</v>
      </c>
      <c r="BJ84" t="s">
        <v>172</v>
      </c>
      <c r="BM84">
        <v>11001</v>
      </c>
      <c r="BN84">
        <v>0</v>
      </c>
      <c r="BO84" t="s">
        <v>170</v>
      </c>
      <c r="BP84">
        <v>1</v>
      </c>
      <c r="BQ84">
        <v>2</v>
      </c>
      <c r="BR84">
        <v>0</v>
      </c>
      <c r="BS84">
        <v>33.6</v>
      </c>
      <c r="BT84">
        <v>1</v>
      </c>
      <c r="BU84">
        <v>1</v>
      </c>
      <c r="BV84">
        <v>1</v>
      </c>
      <c r="BW84">
        <v>1</v>
      </c>
      <c r="BX84">
        <v>1</v>
      </c>
      <c r="BY84" t="s">
        <v>3</v>
      </c>
      <c r="BZ84">
        <v>101</v>
      </c>
      <c r="CA84">
        <v>55</v>
      </c>
      <c r="CB84" t="s">
        <v>3</v>
      </c>
      <c r="CE84">
        <v>0</v>
      </c>
      <c r="CF84">
        <v>0</v>
      </c>
      <c r="CG84">
        <v>0</v>
      </c>
      <c r="CM84">
        <v>0</v>
      </c>
      <c r="CN84" t="s">
        <v>606</v>
      </c>
      <c r="CO84">
        <v>0</v>
      </c>
      <c r="CP84">
        <f t="shared" si="86"/>
        <v>46226.04</v>
      </c>
      <c r="CQ84">
        <f t="shared" si="87"/>
        <v>36963.961600000002</v>
      </c>
      <c r="CR84">
        <f t="shared" si="88"/>
        <v>4077.4955999999997</v>
      </c>
      <c r="CS84">
        <f t="shared" si="89"/>
        <v>2264.6400000000003</v>
      </c>
      <c r="CT84">
        <f t="shared" si="90"/>
        <v>9868.2696000000014</v>
      </c>
      <c r="CU84">
        <f t="shared" si="91"/>
        <v>0</v>
      </c>
      <c r="CV84">
        <f t="shared" si="92"/>
        <v>35.948999999999998</v>
      </c>
      <c r="CW84">
        <f t="shared" si="93"/>
        <v>6.7</v>
      </c>
      <c r="CX84">
        <f t="shared" si="94"/>
        <v>0</v>
      </c>
      <c r="CY84">
        <f t="shared" si="95"/>
        <v>11126.846799999999</v>
      </c>
      <c r="CZ84">
        <f t="shared" si="96"/>
        <v>6059.174</v>
      </c>
      <c r="DC84" t="s">
        <v>3</v>
      </c>
      <c r="DD84" t="s">
        <v>3</v>
      </c>
      <c r="DE84" t="s">
        <v>3</v>
      </c>
      <c r="DF84" t="s">
        <v>3</v>
      </c>
      <c r="DG84" t="s">
        <v>114</v>
      </c>
      <c r="DH84" t="s">
        <v>3</v>
      </c>
      <c r="DI84" t="s">
        <v>114</v>
      </c>
      <c r="DJ84" t="s">
        <v>3</v>
      </c>
      <c r="DK84" t="s">
        <v>3</v>
      </c>
      <c r="DL84" t="s">
        <v>3</v>
      </c>
      <c r="DM84" t="s">
        <v>3</v>
      </c>
      <c r="DN84">
        <v>0</v>
      </c>
      <c r="DO84">
        <v>0</v>
      </c>
      <c r="DP84">
        <v>1</v>
      </c>
      <c r="DQ84">
        <v>1</v>
      </c>
      <c r="DU84">
        <v>1013</v>
      </c>
      <c r="DV84" t="s">
        <v>160</v>
      </c>
      <c r="DW84" t="s">
        <v>160</v>
      </c>
      <c r="DX84">
        <v>1</v>
      </c>
      <c r="DZ84" t="s">
        <v>3</v>
      </c>
      <c r="EA84" t="s">
        <v>3</v>
      </c>
      <c r="EB84" t="s">
        <v>3</v>
      </c>
      <c r="EC84" t="s">
        <v>3</v>
      </c>
      <c r="EE84">
        <v>36520028</v>
      </c>
      <c r="EF84">
        <v>2</v>
      </c>
      <c r="EG84" t="s">
        <v>28</v>
      </c>
      <c r="EH84">
        <v>0</v>
      </c>
      <c r="EI84" t="s">
        <v>3</v>
      </c>
      <c r="EJ84">
        <v>1</v>
      </c>
      <c r="EK84">
        <v>11001</v>
      </c>
      <c r="EL84" t="s">
        <v>36</v>
      </c>
      <c r="EM84" t="s">
        <v>162</v>
      </c>
      <c r="EO84" t="s">
        <v>117</v>
      </c>
      <c r="EQ84">
        <v>0</v>
      </c>
      <c r="ER84">
        <v>6214.53</v>
      </c>
      <c r="ES84">
        <v>5583.68</v>
      </c>
      <c r="ET84">
        <v>375.46</v>
      </c>
      <c r="EU84">
        <v>67.400000000000006</v>
      </c>
      <c r="EV84">
        <v>255.39</v>
      </c>
      <c r="EW84">
        <v>31.26</v>
      </c>
      <c r="EX84">
        <v>6.7</v>
      </c>
      <c r="EY84">
        <v>0</v>
      </c>
      <c r="FQ84">
        <v>0</v>
      </c>
      <c r="FR84">
        <f t="shared" si="97"/>
        <v>0</v>
      </c>
      <c r="FS84">
        <v>0</v>
      </c>
      <c r="FX84">
        <v>101</v>
      </c>
      <c r="FY84">
        <v>55</v>
      </c>
      <c r="GA84" t="s">
        <v>3</v>
      </c>
      <c r="GD84">
        <v>1</v>
      </c>
      <c r="GF84">
        <v>1220877284</v>
      </c>
      <c r="GG84">
        <v>2</v>
      </c>
      <c r="GH84">
        <v>2</v>
      </c>
      <c r="GI84">
        <v>2</v>
      </c>
      <c r="GJ84">
        <v>0</v>
      </c>
      <c r="GK84">
        <v>0</v>
      </c>
      <c r="GL84">
        <f t="shared" si="98"/>
        <v>0</v>
      </c>
      <c r="GM84">
        <f t="shared" si="99"/>
        <v>63412.06</v>
      </c>
      <c r="GN84">
        <f t="shared" si="100"/>
        <v>63412.06</v>
      </c>
      <c r="GO84">
        <f t="shared" si="101"/>
        <v>0</v>
      </c>
      <c r="GP84">
        <f t="shared" si="102"/>
        <v>0</v>
      </c>
      <c r="GR84">
        <v>0</v>
      </c>
      <c r="GS84">
        <v>3</v>
      </c>
      <c r="GT84">
        <v>0</v>
      </c>
      <c r="GU84" t="s">
        <v>3</v>
      </c>
      <c r="GV84">
        <f t="shared" si="103"/>
        <v>0</v>
      </c>
      <c r="GW84">
        <v>1</v>
      </c>
      <c r="GX84">
        <f t="shared" si="104"/>
        <v>0</v>
      </c>
      <c r="HA84">
        <v>0</v>
      </c>
      <c r="HB84">
        <v>0</v>
      </c>
      <c r="HC84">
        <f t="shared" si="105"/>
        <v>0</v>
      </c>
      <c r="HE84" t="s">
        <v>3</v>
      </c>
      <c r="HF84" t="s">
        <v>3</v>
      </c>
      <c r="HM84" t="s">
        <v>3</v>
      </c>
      <c r="HN84" t="s">
        <v>3</v>
      </c>
      <c r="HO84" t="s">
        <v>3</v>
      </c>
      <c r="HP84" t="s">
        <v>3</v>
      </c>
      <c r="HQ84" t="s">
        <v>3</v>
      </c>
      <c r="IK84">
        <v>0</v>
      </c>
    </row>
    <row r="85" spans="1:245">
      <c r="A85">
        <v>17</v>
      </c>
      <c r="B85">
        <v>1</v>
      </c>
      <c r="C85">
        <f>ROW(SmtRes!A94)</f>
        <v>94</v>
      </c>
      <c r="D85">
        <f>ROW(EtalonRes!A95)</f>
        <v>95</v>
      </c>
      <c r="E85" t="s">
        <v>173</v>
      </c>
      <c r="F85" t="s">
        <v>174</v>
      </c>
      <c r="G85" t="s">
        <v>175</v>
      </c>
      <c r="H85" t="s">
        <v>176</v>
      </c>
      <c r="I85">
        <f>ROUND(90.8/100,9)</f>
        <v>0.90800000000000003</v>
      </c>
      <c r="J85">
        <v>0</v>
      </c>
      <c r="K85">
        <f>ROUND(90.8/100,9)</f>
        <v>0.90800000000000003</v>
      </c>
      <c r="O85">
        <f t="shared" si="71"/>
        <v>32777.050000000003</v>
      </c>
      <c r="P85">
        <f t="shared" si="72"/>
        <v>19700.310000000001</v>
      </c>
      <c r="Q85">
        <f t="shared" si="73"/>
        <v>714.85</v>
      </c>
      <c r="R85">
        <f t="shared" si="74"/>
        <v>180.38</v>
      </c>
      <c r="S85">
        <f t="shared" si="75"/>
        <v>12361.89</v>
      </c>
      <c r="T85">
        <f t="shared" si="76"/>
        <v>0</v>
      </c>
      <c r="U85">
        <f t="shared" si="77"/>
        <v>44.274079999999998</v>
      </c>
      <c r="V85">
        <f t="shared" si="78"/>
        <v>0.39724999999999999</v>
      </c>
      <c r="W85">
        <f t="shared" si="79"/>
        <v>0</v>
      </c>
      <c r="X85">
        <f t="shared" si="80"/>
        <v>12667.69</v>
      </c>
      <c r="Y85">
        <f t="shared" si="81"/>
        <v>6898.25</v>
      </c>
      <c r="AA85">
        <v>35841400</v>
      </c>
      <c r="AB85">
        <f t="shared" si="82"/>
        <v>7954.8635000000004</v>
      </c>
      <c r="AC85">
        <f t="shared" si="83"/>
        <v>7481.51</v>
      </c>
      <c r="AD85">
        <f>ROUND(((((ET85*1.25))-((EU85*1.25)))+AE85),6)</f>
        <v>68.162499999999994</v>
      </c>
      <c r="AE85">
        <f>ROUND(((EU85*1.25)),6)</f>
        <v>5.9124999999999996</v>
      </c>
      <c r="AF85">
        <f>ROUND(((EV85*1.15)),6)</f>
        <v>405.19099999999997</v>
      </c>
      <c r="AG85">
        <f t="shared" si="84"/>
        <v>0</v>
      </c>
      <c r="AH85">
        <f>((EW85*1.15))</f>
        <v>48.76</v>
      </c>
      <c r="AI85">
        <f>((EX85*1.25))</f>
        <v>0.4375</v>
      </c>
      <c r="AJ85">
        <f t="shared" si="85"/>
        <v>0</v>
      </c>
      <c r="AK85">
        <v>7888.38</v>
      </c>
      <c r="AL85">
        <v>7481.51</v>
      </c>
      <c r="AM85">
        <v>54.53</v>
      </c>
      <c r="AN85">
        <v>4.7300000000000004</v>
      </c>
      <c r="AO85">
        <v>352.34</v>
      </c>
      <c r="AP85">
        <v>0</v>
      </c>
      <c r="AQ85">
        <v>42.4</v>
      </c>
      <c r="AR85">
        <v>0.35</v>
      </c>
      <c r="AS85">
        <v>0</v>
      </c>
      <c r="AT85">
        <v>101</v>
      </c>
      <c r="AU85">
        <v>55</v>
      </c>
      <c r="AV85">
        <v>1</v>
      </c>
      <c r="AW85">
        <v>1</v>
      </c>
      <c r="AZ85">
        <v>1</v>
      </c>
      <c r="BA85">
        <v>33.6</v>
      </c>
      <c r="BB85">
        <v>11.55</v>
      </c>
      <c r="BC85">
        <v>2.9</v>
      </c>
      <c r="BD85" t="s">
        <v>3</v>
      </c>
      <c r="BE85" t="s">
        <v>3</v>
      </c>
      <c r="BF85" t="s">
        <v>3</v>
      </c>
      <c r="BG85" t="s">
        <v>3</v>
      </c>
      <c r="BH85">
        <v>0</v>
      </c>
      <c r="BI85">
        <v>1</v>
      </c>
      <c r="BJ85" t="s">
        <v>177</v>
      </c>
      <c r="BM85">
        <v>11001</v>
      </c>
      <c r="BN85">
        <v>0</v>
      </c>
      <c r="BO85" t="s">
        <v>174</v>
      </c>
      <c r="BP85">
        <v>1</v>
      </c>
      <c r="BQ85">
        <v>2</v>
      </c>
      <c r="BR85">
        <v>0</v>
      </c>
      <c r="BS85">
        <v>33.6</v>
      </c>
      <c r="BT85">
        <v>1</v>
      </c>
      <c r="BU85">
        <v>1</v>
      </c>
      <c r="BV85">
        <v>1</v>
      </c>
      <c r="BW85">
        <v>1</v>
      </c>
      <c r="BX85">
        <v>1</v>
      </c>
      <c r="BY85" t="s">
        <v>3</v>
      </c>
      <c r="BZ85">
        <v>101</v>
      </c>
      <c r="CA85">
        <v>55</v>
      </c>
      <c r="CB85" t="s">
        <v>3</v>
      </c>
      <c r="CE85">
        <v>0</v>
      </c>
      <c r="CF85">
        <v>0</v>
      </c>
      <c r="CG85">
        <v>0</v>
      </c>
      <c r="CM85">
        <v>0</v>
      </c>
      <c r="CN85" t="s">
        <v>607</v>
      </c>
      <c r="CO85">
        <v>0</v>
      </c>
      <c r="CP85">
        <f t="shared" si="86"/>
        <v>32777.050000000003</v>
      </c>
      <c r="CQ85">
        <f t="shared" si="87"/>
        <v>21696.379000000001</v>
      </c>
      <c r="CR85">
        <f t="shared" si="88"/>
        <v>787.27687500000002</v>
      </c>
      <c r="CS85">
        <f t="shared" si="89"/>
        <v>198.66</v>
      </c>
      <c r="CT85">
        <f t="shared" si="90"/>
        <v>13614.417599999999</v>
      </c>
      <c r="CU85">
        <f t="shared" si="91"/>
        <v>0</v>
      </c>
      <c r="CV85">
        <f t="shared" si="92"/>
        <v>48.76</v>
      </c>
      <c r="CW85">
        <f t="shared" si="93"/>
        <v>0.4375</v>
      </c>
      <c r="CX85">
        <f t="shared" si="94"/>
        <v>0</v>
      </c>
      <c r="CY85">
        <f t="shared" si="95"/>
        <v>12667.692699999998</v>
      </c>
      <c r="CZ85">
        <f t="shared" si="96"/>
        <v>6898.2484999999997</v>
      </c>
      <c r="DC85" t="s">
        <v>3</v>
      </c>
      <c r="DD85" t="s">
        <v>3</v>
      </c>
      <c r="DE85" t="s">
        <v>139</v>
      </c>
      <c r="DF85" t="s">
        <v>139</v>
      </c>
      <c r="DG85" t="s">
        <v>114</v>
      </c>
      <c r="DH85" t="s">
        <v>3</v>
      </c>
      <c r="DI85" t="s">
        <v>114</v>
      </c>
      <c r="DJ85" t="s">
        <v>139</v>
      </c>
      <c r="DK85" t="s">
        <v>3</v>
      </c>
      <c r="DL85" t="s">
        <v>3</v>
      </c>
      <c r="DM85" t="s">
        <v>3</v>
      </c>
      <c r="DN85">
        <v>0</v>
      </c>
      <c r="DO85">
        <v>0</v>
      </c>
      <c r="DP85">
        <v>1</v>
      </c>
      <c r="DQ85">
        <v>1</v>
      </c>
      <c r="DU85">
        <v>1013</v>
      </c>
      <c r="DV85" t="s">
        <v>176</v>
      </c>
      <c r="DW85" t="s">
        <v>176</v>
      </c>
      <c r="DX85">
        <v>1</v>
      </c>
      <c r="DZ85" t="s">
        <v>3</v>
      </c>
      <c r="EA85" t="s">
        <v>3</v>
      </c>
      <c r="EB85" t="s">
        <v>3</v>
      </c>
      <c r="EC85" t="s">
        <v>3</v>
      </c>
      <c r="EE85">
        <v>36520028</v>
      </c>
      <c r="EF85">
        <v>2</v>
      </c>
      <c r="EG85" t="s">
        <v>28</v>
      </c>
      <c r="EH85">
        <v>0</v>
      </c>
      <c r="EI85" t="s">
        <v>3</v>
      </c>
      <c r="EJ85">
        <v>1</v>
      </c>
      <c r="EK85">
        <v>11001</v>
      </c>
      <c r="EL85" t="s">
        <v>36</v>
      </c>
      <c r="EM85" t="s">
        <v>162</v>
      </c>
      <c r="EO85" t="s">
        <v>142</v>
      </c>
      <c r="EQ85">
        <v>0</v>
      </c>
      <c r="ER85">
        <v>7888.38</v>
      </c>
      <c r="ES85">
        <v>7481.51</v>
      </c>
      <c r="ET85">
        <v>54.53</v>
      </c>
      <c r="EU85">
        <v>4.7300000000000004</v>
      </c>
      <c r="EV85">
        <v>352.34</v>
      </c>
      <c r="EW85">
        <v>42.4</v>
      </c>
      <c r="EX85">
        <v>0.35</v>
      </c>
      <c r="EY85">
        <v>0</v>
      </c>
      <c r="FQ85">
        <v>0</v>
      </c>
      <c r="FR85">
        <f t="shared" si="97"/>
        <v>0</v>
      </c>
      <c r="FS85">
        <v>0</v>
      </c>
      <c r="FX85">
        <v>101</v>
      </c>
      <c r="FY85">
        <v>55</v>
      </c>
      <c r="GA85" t="s">
        <v>3</v>
      </c>
      <c r="GD85">
        <v>1</v>
      </c>
      <c r="GF85">
        <v>-727312014</v>
      </c>
      <c r="GG85">
        <v>2</v>
      </c>
      <c r="GH85">
        <v>2</v>
      </c>
      <c r="GI85">
        <v>2</v>
      </c>
      <c r="GJ85">
        <v>0</v>
      </c>
      <c r="GK85">
        <v>0</v>
      </c>
      <c r="GL85">
        <f t="shared" si="98"/>
        <v>0</v>
      </c>
      <c r="GM85">
        <f t="shared" si="99"/>
        <v>52342.99</v>
      </c>
      <c r="GN85">
        <f t="shared" si="100"/>
        <v>52342.99</v>
      </c>
      <c r="GO85">
        <f t="shared" si="101"/>
        <v>0</v>
      </c>
      <c r="GP85">
        <f t="shared" si="102"/>
        <v>0</v>
      </c>
      <c r="GR85">
        <v>0</v>
      </c>
      <c r="GS85">
        <v>3</v>
      </c>
      <c r="GT85">
        <v>0</v>
      </c>
      <c r="GU85" t="s">
        <v>3</v>
      </c>
      <c r="GV85">
        <f t="shared" si="103"/>
        <v>0</v>
      </c>
      <c r="GW85">
        <v>1</v>
      </c>
      <c r="GX85">
        <f t="shared" si="104"/>
        <v>0</v>
      </c>
      <c r="HA85">
        <v>0</v>
      </c>
      <c r="HB85">
        <v>0</v>
      </c>
      <c r="HC85">
        <f t="shared" si="105"/>
        <v>0</v>
      </c>
      <c r="HE85" t="s">
        <v>3</v>
      </c>
      <c r="HF85" t="s">
        <v>3</v>
      </c>
      <c r="HM85" t="s">
        <v>3</v>
      </c>
      <c r="HN85" t="s">
        <v>3</v>
      </c>
      <c r="HO85" t="s">
        <v>3</v>
      </c>
      <c r="HP85" t="s">
        <v>3</v>
      </c>
      <c r="HQ85" t="s">
        <v>3</v>
      </c>
      <c r="IK85">
        <v>0</v>
      </c>
    </row>
    <row r="86" spans="1:245">
      <c r="A86">
        <v>18</v>
      </c>
      <c r="B86">
        <v>1</v>
      </c>
      <c r="C86">
        <v>91</v>
      </c>
      <c r="E86" t="s">
        <v>178</v>
      </c>
      <c r="F86" t="s">
        <v>179</v>
      </c>
      <c r="G86" t="s">
        <v>180</v>
      </c>
      <c r="H86" t="s">
        <v>129</v>
      </c>
      <c r="I86">
        <f>I85*J86</f>
        <v>-92.616</v>
      </c>
      <c r="J86">
        <v>-102</v>
      </c>
      <c r="K86">
        <v>-102</v>
      </c>
      <c r="O86">
        <f t="shared" si="71"/>
        <v>-17079.87</v>
      </c>
      <c r="P86">
        <f t="shared" si="72"/>
        <v>-17079.87</v>
      </c>
      <c r="Q86">
        <f t="shared" si="73"/>
        <v>0</v>
      </c>
      <c r="R86">
        <f t="shared" si="74"/>
        <v>0</v>
      </c>
      <c r="S86">
        <f t="shared" si="75"/>
        <v>0</v>
      </c>
      <c r="T86">
        <f t="shared" si="76"/>
        <v>0</v>
      </c>
      <c r="U86">
        <f t="shared" si="77"/>
        <v>0</v>
      </c>
      <c r="V86">
        <f t="shared" si="78"/>
        <v>0</v>
      </c>
      <c r="W86">
        <f t="shared" si="79"/>
        <v>0</v>
      </c>
      <c r="X86">
        <f t="shared" si="80"/>
        <v>0</v>
      </c>
      <c r="Y86">
        <f t="shared" si="81"/>
        <v>0</v>
      </c>
      <c r="AA86">
        <v>35841400</v>
      </c>
      <c r="AB86">
        <f t="shared" si="82"/>
        <v>67.8</v>
      </c>
      <c r="AC86">
        <f t="shared" si="83"/>
        <v>67.8</v>
      </c>
      <c r="AD86">
        <f>ROUND((((ET86)-(EU86))+AE86),6)</f>
        <v>0</v>
      </c>
      <c r="AE86">
        <f t="shared" ref="AE86:AF88" si="106">ROUND((EU86),6)</f>
        <v>0</v>
      </c>
      <c r="AF86">
        <f t="shared" si="106"/>
        <v>0</v>
      </c>
      <c r="AG86">
        <f t="shared" si="84"/>
        <v>0</v>
      </c>
      <c r="AH86">
        <f t="shared" ref="AH86:AI88" si="107">(EW86)</f>
        <v>0</v>
      </c>
      <c r="AI86">
        <f t="shared" si="107"/>
        <v>0</v>
      </c>
      <c r="AJ86">
        <f t="shared" si="85"/>
        <v>0</v>
      </c>
      <c r="AK86">
        <v>67.8</v>
      </c>
      <c r="AL86">
        <v>67.8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112</v>
      </c>
      <c r="AU86">
        <v>55</v>
      </c>
      <c r="AV86">
        <v>1</v>
      </c>
      <c r="AW86">
        <v>1</v>
      </c>
      <c r="AZ86">
        <v>1</v>
      </c>
      <c r="BA86">
        <v>1</v>
      </c>
      <c r="BB86">
        <v>1</v>
      </c>
      <c r="BC86">
        <v>2.72</v>
      </c>
      <c r="BD86" t="s">
        <v>3</v>
      </c>
      <c r="BE86" t="s">
        <v>3</v>
      </c>
      <c r="BF86" t="s">
        <v>3</v>
      </c>
      <c r="BG86" t="s">
        <v>3</v>
      </c>
      <c r="BH86">
        <v>3</v>
      </c>
      <c r="BI86">
        <v>1</v>
      </c>
      <c r="BJ86" t="s">
        <v>181</v>
      </c>
      <c r="BM86">
        <v>11001</v>
      </c>
      <c r="BN86">
        <v>0</v>
      </c>
      <c r="BO86" t="s">
        <v>179</v>
      </c>
      <c r="BP86">
        <v>1</v>
      </c>
      <c r="BQ86">
        <v>2</v>
      </c>
      <c r="BR86">
        <v>1</v>
      </c>
      <c r="BS86">
        <v>1</v>
      </c>
      <c r="BT86">
        <v>1</v>
      </c>
      <c r="BU86">
        <v>1</v>
      </c>
      <c r="BV86">
        <v>1</v>
      </c>
      <c r="BW86">
        <v>1</v>
      </c>
      <c r="BX86">
        <v>1</v>
      </c>
      <c r="BY86" t="s">
        <v>3</v>
      </c>
      <c r="BZ86">
        <v>112</v>
      </c>
      <c r="CA86">
        <v>55</v>
      </c>
      <c r="CB86" t="s">
        <v>3</v>
      </c>
      <c r="CE86">
        <v>0</v>
      </c>
      <c r="CF86">
        <v>0</v>
      </c>
      <c r="CG86">
        <v>0</v>
      </c>
      <c r="CM86">
        <v>0</v>
      </c>
      <c r="CN86" t="s">
        <v>3</v>
      </c>
      <c r="CO86">
        <v>0</v>
      </c>
      <c r="CP86">
        <f t="shared" si="86"/>
        <v>-17079.87</v>
      </c>
      <c r="CQ86">
        <f t="shared" si="87"/>
        <v>184.416</v>
      </c>
      <c r="CR86">
        <f t="shared" si="88"/>
        <v>0</v>
      </c>
      <c r="CS86">
        <f t="shared" si="89"/>
        <v>0</v>
      </c>
      <c r="CT86">
        <f t="shared" si="90"/>
        <v>0</v>
      </c>
      <c r="CU86">
        <f t="shared" si="91"/>
        <v>0</v>
      </c>
      <c r="CV86">
        <f t="shared" si="92"/>
        <v>0</v>
      </c>
      <c r="CW86">
        <f t="shared" si="93"/>
        <v>0</v>
      </c>
      <c r="CX86">
        <f t="shared" si="94"/>
        <v>0</v>
      </c>
      <c r="CY86">
        <f t="shared" si="95"/>
        <v>0</v>
      </c>
      <c r="CZ86">
        <f t="shared" si="96"/>
        <v>0</v>
      </c>
      <c r="DC86" t="s">
        <v>3</v>
      </c>
      <c r="DD86" t="s">
        <v>3</v>
      </c>
      <c r="DE86" t="s">
        <v>3</v>
      </c>
      <c r="DF86" t="s">
        <v>3</v>
      </c>
      <c r="DG86" t="s">
        <v>3</v>
      </c>
      <c r="DH86" t="s">
        <v>3</v>
      </c>
      <c r="DI86" t="s">
        <v>3</v>
      </c>
      <c r="DJ86" t="s">
        <v>3</v>
      </c>
      <c r="DK86" t="s">
        <v>3</v>
      </c>
      <c r="DL86" t="s">
        <v>3</v>
      </c>
      <c r="DM86" t="s">
        <v>3</v>
      </c>
      <c r="DN86">
        <v>0</v>
      </c>
      <c r="DO86">
        <v>0</v>
      </c>
      <c r="DP86">
        <v>1</v>
      </c>
      <c r="DQ86">
        <v>1</v>
      </c>
      <c r="DU86">
        <v>1005</v>
      </c>
      <c r="DV86" t="s">
        <v>129</v>
      </c>
      <c r="DW86" t="s">
        <v>129</v>
      </c>
      <c r="DX86">
        <v>1</v>
      </c>
      <c r="DZ86" t="s">
        <v>3</v>
      </c>
      <c r="EA86" t="s">
        <v>3</v>
      </c>
      <c r="EB86" t="s">
        <v>3</v>
      </c>
      <c r="EC86" t="s">
        <v>3</v>
      </c>
      <c r="EE86">
        <v>36520028</v>
      </c>
      <c r="EF86">
        <v>2</v>
      </c>
      <c r="EG86" t="s">
        <v>28</v>
      </c>
      <c r="EH86">
        <v>0</v>
      </c>
      <c r="EI86" t="s">
        <v>3</v>
      </c>
      <c r="EJ86">
        <v>1</v>
      </c>
      <c r="EK86">
        <v>11001</v>
      </c>
      <c r="EL86" t="s">
        <v>36</v>
      </c>
      <c r="EM86" t="s">
        <v>162</v>
      </c>
      <c r="EO86" t="s">
        <v>3</v>
      </c>
      <c r="EQ86">
        <v>0</v>
      </c>
      <c r="ER86">
        <v>67.8</v>
      </c>
      <c r="ES86">
        <v>67.8</v>
      </c>
      <c r="ET86">
        <v>0</v>
      </c>
      <c r="EU86">
        <v>0</v>
      </c>
      <c r="EV86">
        <v>0</v>
      </c>
      <c r="EW86">
        <v>0</v>
      </c>
      <c r="EX86">
        <v>0</v>
      </c>
      <c r="FQ86">
        <v>0</v>
      </c>
      <c r="FR86">
        <f t="shared" si="97"/>
        <v>0</v>
      </c>
      <c r="FS86">
        <v>0</v>
      </c>
      <c r="FX86">
        <v>112</v>
      </c>
      <c r="FY86">
        <v>55</v>
      </c>
      <c r="GA86" t="s">
        <v>3</v>
      </c>
      <c r="GD86">
        <v>1</v>
      </c>
      <c r="GF86">
        <v>1326798435</v>
      </c>
      <c r="GG86">
        <v>2</v>
      </c>
      <c r="GH86">
        <v>1</v>
      </c>
      <c r="GI86">
        <v>2</v>
      </c>
      <c r="GJ86">
        <v>0</v>
      </c>
      <c r="GK86">
        <v>0</v>
      </c>
      <c r="GL86">
        <f t="shared" si="98"/>
        <v>0</v>
      </c>
      <c r="GM86">
        <f t="shared" si="99"/>
        <v>-17079.87</v>
      </c>
      <c r="GN86">
        <f t="shared" si="100"/>
        <v>-17079.87</v>
      </c>
      <c r="GO86">
        <f t="shared" si="101"/>
        <v>0</v>
      </c>
      <c r="GP86">
        <f t="shared" si="102"/>
        <v>0</v>
      </c>
      <c r="GR86">
        <v>0</v>
      </c>
      <c r="GS86">
        <v>3</v>
      </c>
      <c r="GT86">
        <v>0</v>
      </c>
      <c r="GU86" t="s">
        <v>3</v>
      </c>
      <c r="GV86">
        <f t="shared" si="103"/>
        <v>0</v>
      </c>
      <c r="GW86">
        <v>1</v>
      </c>
      <c r="GX86">
        <f t="shared" si="104"/>
        <v>0</v>
      </c>
      <c r="HA86">
        <v>0</v>
      </c>
      <c r="HB86">
        <v>0</v>
      </c>
      <c r="HC86">
        <f t="shared" si="105"/>
        <v>0</v>
      </c>
      <c r="HE86" t="s">
        <v>3</v>
      </c>
      <c r="HF86" t="s">
        <v>3</v>
      </c>
      <c r="HM86" t="s">
        <v>3</v>
      </c>
      <c r="HN86" t="s">
        <v>3</v>
      </c>
      <c r="HO86" t="s">
        <v>3</v>
      </c>
      <c r="HP86" t="s">
        <v>3</v>
      </c>
      <c r="HQ86" t="s">
        <v>3</v>
      </c>
      <c r="IK86">
        <v>0</v>
      </c>
    </row>
    <row r="87" spans="1:245">
      <c r="A87">
        <v>18</v>
      </c>
      <c r="B87">
        <v>1</v>
      </c>
      <c r="C87">
        <v>94</v>
      </c>
      <c r="E87" t="s">
        <v>182</v>
      </c>
      <c r="F87" t="s">
        <v>183</v>
      </c>
      <c r="G87" t="s">
        <v>184</v>
      </c>
      <c r="H87" t="s">
        <v>129</v>
      </c>
      <c r="I87">
        <f>I85*J87</f>
        <v>92.616</v>
      </c>
      <c r="J87">
        <v>102</v>
      </c>
      <c r="K87">
        <v>102</v>
      </c>
      <c r="O87">
        <f t="shared" si="71"/>
        <v>150501</v>
      </c>
      <c r="P87">
        <f t="shared" si="72"/>
        <v>150501</v>
      </c>
      <c r="Q87">
        <f t="shared" si="73"/>
        <v>0</v>
      </c>
      <c r="R87">
        <f t="shared" si="74"/>
        <v>0</v>
      </c>
      <c r="S87">
        <f t="shared" si="75"/>
        <v>0</v>
      </c>
      <c r="T87">
        <f t="shared" si="76"/>
        <v>0</v>
      </c>
      <c r="U87">
        <f t="shared" si="77"/>
        <v>0</v>
      </c>
      <c r="V87">
        <f t="shared" si="78"/>
        <v>0</v>
      </c>
      <c r="W87">
        <f t="shared" si="79"/>
        <v>0</v>
      </c>
      <c r="X87">
        <f t="shared" si="80"/>
        <v>0</v>
      </c>
      <c r="Y87">
        <f t="shared" si="81"/>
        <v>0</v>
      </c>
      <c r="AA87">
        <v>35841400</v>
      </c>
      <c r="AB87">
        <f t="shared" si="82"/>
        <v>1625</v>
      </c>
      <c r="AC87">
        <f t="shared" si="83"/>
        <v>1625</v>
      </c>
      <c r="AD87">
        <f>ROUND((((ET87)-(EU87))+AE87),6)</f>
        <v>0</v>
      </c>
      <c r="AE87">
        <f t="shared" si="106"/>
        <v>0</v>
      </c>
      <c r="AF87">
        <f t="shared" si="106"/>
        <v>0</v>
      </c>
      <c r="AG87">
        <f t="shared" si="84"/>
        <v>0</v>
      </c>
      <c r="AH87">
        <f t="shared" si="107"/>
        <v>0</v>
      </c>
      <c r="AI87">
        <f t="shared" si="107"/>
        <v>0</v>
      </c>
      <c r="AJ87">
        <f t="shared" si="85"/>
        <v>0</v>
      </c>
      <c r="AK87">
        <v>1625</v>
      </c>
      <c r="AL87">
        <v>1625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112</v>
      </c>
      <c r="AU87">
        <v>55</v>
      </c>
      <c r="AV87">
        <v>1</v>
      </c>
      <c r="AW87">
        <v>1</v>
      </c>
      <c r="AZ87">
        <v>1</v>
      </c>
      <c r="BA87">
        <v>1</v>
      </c>
      <c r="BB87">
        <v>1</v>
      </c>
      <c r="BC87">
        <v>1</v>
      </c>
      <c r="BD87" t="s">
        <v>3</v>
      </c>
      <c r="BE87" t="s">
        <v>3</v>
      </c>
      <c r="BF87" t="s">
        <v>3</v>
      </c>
      <c r="BG87" t="s">
        <v>3</v>
      </c>
      <c r="BH87">
        <v>3</v>
      </c>
      <c r="BI87">
        <v>1</v>
      </c>
      <c r="BJ87" t="s">
        <v>3</v>
      </c>
      <c r="BM87">
        <v>11001</v>
      </c>
      <c r="BN87">
        <v>0</v>
      </c>
      <c r="BO87" t="s">
        <v>3</v>
      </c>
      <c r="BP87">
        <v>0</v>
      </c>
      <c r="BQ87">
        <v>2</v>
      </c>
      <c r="BR87">
        <v>0</v>
      </c>
      <c r="BS87">
        <v>1</v>
      </c>
      <c r="BT87">
        <v>1</v>
      </c>
      <c r="BU87">
        <v>1</v>
      </c>
      <c r="BV87">
        <v>1</v>
      </c>
      <c r="BW87">
        <v>1</v>
      </c>
      <c r="BX87">
        <v>1</v>
      </c>
      <c r="BY87" t="s">
        <v>3</v>
      </c>
      <c r="BZ87">
        <v>112</v>
      </c>
      <c r="CA87">
        <v>55</v>
      </c>
      <c r="CB87" t="s">
        <v>3</v>
      </c>
      <c r="CE87">
        <v>0</v>
      </c>
      <c r="CF87">
        <v>0</v>
      </c>
      <c r="CG87">
        <v>0</v>
      </c>
      <c r="CM87">
        <v>0</v>
      </c>
      <c r="CN87" t="s">
        <v>3</v>
      </c>
      <c r="CO87">
        <v>0</v>
      </c>
      <c r="CP87">
        <f t="shared" si="86"/>
        <v>150501</v>
      </c>
      <c r="CQ87">
        <f t="shared" si="87"/>
        <v>1625</v>
      </c>
      <c r="CR87">
        <f t="shared" si="88"/>
        <v>0</v>
      </c>
      <c r="CS87">
        <f t="shared" si="89"/>
        <v>0</v>
      </c>
      <c r="CT87">
        <f t="shared" si="90"/>
        <v>0</v>
      </c>
      <c r="CU87">
        <f t="shared" si="91"/>
        <v>0</v>
      </c>
      <c r="CV87">
        <f t="shared" si="92"/>
        <v>0</v>
      </c>
      <c r="CW87">
        <f t="shared" si="93"/>
        <v>0</v>
      </c>
      <c r="CX87">
        <f t="shared" si="94"/>
        <v>0</v>
      </c>
      <c r="CY87">
        <f t="shared" si="95"/>
        <v>0</v>
      </c>
      <c r="CZ87">
        <f t="shared" si="96"/>
        <v>0</v>
      </c>
      <c r="DC87" t="s">
        <v>3</v>
      </c>
      <c r="DD87" t="s">
        <v>3</v>
      </c>
      <c r="DE87" t="s">
        <v>3</v>
      </c>
      <c r="DF87" t="s">
        <v>3</v>
      </c>
      <c r="DG87" t="s">
        <v>3</v>
      </c>
      <c r="DH87" t="s">
        <v>3</v>
      </c>
      <c r="DI87" t="s">
        <v>3</v>
      </c>
      <c r="DJ87" t="s">
        <v>3</v>
      </c>
      <c r="DK87" t="s">
        <v>3</v>
      </c>
      <c r="DL87" t="s">
        <v>3</v>
      </c>
      <c r="DM87" t="s">
        <v>3</v>
      </c>
      <c r="DN87">
        <v>0</v>
      </c>
      <c r="DO87">
        <v>0</v>
      </c>
      <c r="DP87">
        <v>1</v>
      </c>
      <c r="DQ87">
        <v>1</v>
      </c>
      <c r="DU87">
        <v>1005</v>
      </c>
      <c r="DV87" t="s">
        <v>129</v>
      </c>
      <c r="DW87" t="s">
        <v>185</v>
      </c>
      <c r="DX87">
        <v>1</v>
      </c>
      <c r="DZ87" t="s">
        <v>3</v>
      </c>
      <c r="EA87" t="s">
        <v>3</v>
      </c>
      <c r="EB87" t="s">
        <v>3</v>
      </c>
      <c r="EC87" t="s">
        <v>3</v>
      </c>
      <c r="EE87">
        <v>36520028</v>
      </c>
      <c r="EF87">
        <v>2</v>
      </c>
      <c r="EG87" t="s">
        <v>28</v>
      </c>
      <c r="EH87">
        <v>0</v>
      </c>
      <c r="EI87" t="s">
        <v>3</v>
      </c>
      <c r="EJ87">
        <v>1</v>
      </c>
      <c r="EK87">
        <v>11001</v>
      </c>
      <c r="EL87" t="s">
        <v>36</v>
      </c>
      <c r="EM87" t="s">
        <v>162</v>
      </c>
      <c r="EO87" t="s">
        <v>3</v>
      </c>
      <c r="EQ87">
        <v>0</v>
      </c>
      <c r="ER87">
        <v>1625</v>
      </c>
      <c r="ES87">
        <v>1625</v>
      </c>
      <c r="ET87">
        <v>0</v>
      </c>
      <c r="EU87">
        <v>0</v>
      </c>
      <c r="EV87">
        <v>0</v>
      </c>
      <c r="EW87">
        <v>0</v>
      </c>
      <c r="EX87">
        <v>0</v>
      </c>
      <c r="FQ87">
        <v>0</v>
      </c>
      <c r="FR87">
        <f t="shared" si="97"/>
        <v>0</v>
      </c>
      <c r="FS87">
        <v>0</v>
      </c>
      <c r="FX87">
        <v>112</v>
      </c>
      <c r="FY87">
        <v>55</v>
      </c>
      <c r="GA87" t="s">
        <v>186</v>
      </c>
      <c r="GD87">
        <v>1</v>
      </c>
      <c r="GF87">
        <v>-89030892</v>
      </c>
      <c r="GG87">
        <v>2</v>
      </c>
      <c r="GH87">
        <v>0</v>
      </c>
      <c r="GI87">
        <v>-2</v>
      </c>
      <c r="GJ87">
        <v>0</v>
      </c>
      <c r="GK87">
        <v>0</v>
      </c>
      <c r="GL87">
        <f t="shared" si="98"/>
        <v>0</v>
      </c>
      <c r="GM87">
        <f t="shared" si="99"/>
        <v>150501</v>
      </c>
      <c r="GN87">
        <f t="shared" si="100"/>
        <v>150501</v>
      </c>
      <c r="GO87">
        <f t="shared" si="101"/>
        <v>0</v>
      </c>
      <c r="GP87">
        <f t="shared" si="102"/>
        <v>0</v>
      </c>
      <c r="GR87">
        <v>0</v>
      </c>
      <c r="GS87">
        <v>4</v>
      </c>
      <c r="GT87">
        <v>0</v>
      </c>
      <c r="GU87" t="s">
        <v>3</v>
      </c>
      <c r="GV87">
        <f t="shared" si="103"/>
        <v>0</v>
      </c>
      <c r="GW87">
        <v>1</v>
      </c>
      <c r="GX87">
        <f t="shared" si="104"/>
        <v>0</v>
      </c>
      <c r="HA87">
        <v>0</v>
      </c>
      <c r="HB87">
        <v>0</v>
      </c>
      <c r="HC87">
        <f t="shared" si="105"/>
        <v>0</v>
      </c>
      <c r="HE87" t="s">
        <v>3</v>
      </c>
      <c r="HF87" t="s">
        <v>3</v>
      </c>
      <c r="HM87" t="s">
        <v>3</v>
      </c>
      <c r="HN87" t="s">
        <v>3</v>
      </c>
      <c r="HO87" t="s">
        <v>3</v>
      </c>
      <c r="HP87" t="s">
        <v>3</v>
      </c>
      <c r="HQ87" t="s">
        <v>3</v>
      </c>
      <c r="IK87">
        <v>0</v>
      </c>
    </row>
    <row r="88" spans="1:245">
      <c r="A88">
        <v>17</v>
      </c>
      <c r="B88">
        <v>1</v>
      </c>
      <c r="E88" t="s">
        <v>187</v>
      </c>
      <c r="F88" t="s">
        <v>188</v>
      </c>
      <c r="G88" t="s">
        <v>189</v>
      </c>
      <c r="H88" t="s">
        <v>190</v>
      </c>
      <c r="I88">
        <v>1</v>
      </c>
      <c r="J88">
        <v>0</v>
      </c>
      <c r="K88">
        <v>1</v>
      </c>
      <c r="O88">
        <f t="shared" si="71"/>
        <v>49485.3</v>
      </c>
      <c r="P88">
        <f t="shared" si="72"/>
        <v>49485.3</v>
      </c>
      <c r="Q88">
        <f t="shared" si="73"/>
        <v>0</v>
      </c>
      <c r="R88">
        <f t="shared" si="74"/>
        <v>0</v>
      </c>
      <c r="S88">
        <f t="shared" si="75"/>
        <v>0</v>
      </c>
      <c r="T88">
        <f t="shared" si="76"/>
        <v>0</v>
      </c>
      <c r="U88">
        <f t="shared" si="77"/>
        <v>0</v>
      </c>
      <c r="V88">
        <f t="shared" si="78"/>
        <v>0</v>
      </c>
      <c r="W88">
        <f t="shared" si="79"/>
        <v>2.67</v>
      </c>
      <c r="X88">
        <f t="shared" si="80"/>
        <v>0</v>
      </c>
      <c r="Y88">
        <f t="shared" si="81"/>
        <v>0</v>
      </c>
      <c r="AA88">
        <v>35841400</v>
      </c>
      <c r="AB88">
        <f t="shared" si="82"/>
        <v>8473.51</v>
      </c>
      <c r="AC88">
        <f t="shared" si="83"/>
        <v>8473.51</v>
      </c>
      <c r="AD88">
        <f>ROUND((((ET88)-(EU88))+AE88),6)</f>
        <v>0</v>
      </c>
      <c r="AE88">
        <f t="shared" si="106"/>
        <v>0</v>
      </c>
      <c r="AF88">
        <f t="shared" si="106"/>
        <v>0</v>
      </c>
      <c r="AG88">
        <f t="shared" si="84"/>
        <v>0</v>
      </c>
      <c r="AH88">
        <f t="shared" si="107"/>
        <v>0</v>
      </c>
      <c r="AI88">
        <f t="shared" si="107"/>
        <v>0</v>
      </c>
      <c r="AJ88">
        <f t="shared" si="85"/>
        <v>2.67</v>
      </c>
      <c r="AK88">
        <v>8473.51</v>
      </c>
      <c r="AL88">
        <v>8473.51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2.67</v>
      </c>
      <c r="AT88">
        <v>0</v>
      </c>
      <c r="AU88">
        <v>0</v>
      </c>
      <c r="AV88">
        <v>1</v>
      </c>
      <c r="AW88">
        <v>1</v>
      </c>
      <c r="AZ88">
        <v>1</v>
      </c>
      <c r="BA88">
        <v>1</v>
      </c>
      <c r="BB88">
        <v>1</v>
      </c>
      <c r="BC88">
        <v>5.84</v>
      </c>
      <c r="BD88" t="s">
        <v>3</v>
      </c>
      <c r="BE88" t="s">
        <v>3</v>
      </c>
      <c r="BF88" t="s">
        <v>3</v>
      </c>
      <c r="BG88" t="s">
        <v>3</v>
      </c>
      <c r="BH88">
        <v>3</v>
      </c>
      <c r="BI88">
        <v>1</v>
      </c>
      <c r="BJ88" t="s">
        <v>191</v>
      </c>
      <c r="BM88">
        <v>500001</v>
      </c>
      <c r="BN88">
        <v>0</v>
      </c>
      <c r="BO88" t="s">
        <v>188</v>
      </c>
      <c r="BP88">
        <v>1</v>
      </c>
      <c r="BQ88">
        <v>8</v>
      </c>
      <c r="BR88">
        <v>0</v>
      </c>
      <c r="BS88">
        <v>1</v>
      </c>
      <c r="BT88">
        <v>1</v>
      </c>
      <c r="BU88">
        <v>1</v>
      </c>
      <c r="BV88">
        <v>1</v>
      </c>
      <c r="BW88">
        <v>1</v>
      </c>
      <c r="BX88">
        <v>1</v>
      </c>
      <c r="BY88" t="s">
        <v>3</v>
      </c>
      <c r="BZ88">
        <v>0</v>
      </c>
      <c r="CA88">
        <v>0</v>
      </c>
      <c r="CB88" t="s">
        <v>3</v>
      </c>
      <c r="CE88">
        <v>0</v>
      </c>
      <c r="CF88">
        <v>0</v>
      </c>
      <c r="CG88">
        <v>0</v>
      </c>
      <c r="CM88">
        <v>0</v>
      </c>
      <c r="CN88" t="s">
        <v>3</v>
      </c>
      <c r="CO88">
        <v>0</v>
      </c>
      <c r="CP88">
        <f t="shared" si="86"/>
        <v>49485.3</v>
      </c>
      <c r="CQ88">
        <f t="shared" si="87"/>
        <v>49485.2984</v>
      </c>
      <c r="CR88">
        <f t="shared" si="88"/>
        <v>0</v>
      </c>
      <c r="CS88">
        <f t="shared" si="89"/>
        <v>0</v>
      </c>
      <c r="CT88">
        <f t="shared" si="90"/>
        <v>0</v>
      </c>
      <c r="CU88">
        <f t="shared" si="91"/>
        <v>0</v>
      </c>
      <c r="CV88">
        <f t="shared" si="92"/>
        <v>0</v>
      </c>
      <c r="CW88">
        <f t="shared" si="93"/>
        <v>0</v>
      </c>
      <c r="CX88">
        <f t="shared" si="94"/>
        <v>2.67</v>
      </c>
      <c r="CY88">
        <f t="shared" si="95"/>
        <v>0</v>
      </c>
      <c r="CZ88">
        <f t="shared" si="96"/>
        <v>0</v>
      </c>
      <c r="DC88" t="s">
        <v>3</v>
      </c>
      <c r="DD88" t="s">
        <v>3</v>
      </c>
      <c r="DE88" t="s">
        <v>3</v>
      </c>
      <c r="DF88" t="s">
        <v>3</v>
      </c>
      <c r="DG88" t="s">
        <v>3</v>
      </c>
      <c r="DH88" t="s">
        <v>3</v>
      </c>
      <c r="DI88" t="s">
        <v>3</v>
      </c>
      <c r="DJ88" t="s">
        <v>3</v>
      </c>
      <c r="DK88" t="s">
        <v>3</v>
      </c>
      <c r="DL88" t="s">
        <v>3</v>
      </c>
      <c r="DM88" t="s">
        <v>3</v>
      </c>
      <c r="DN88">
        <v>0</v>
      </c>
      <c r="DO88">
        <v>0</v>
      </c>
      <c r="DP88">
        <v>1</v>
      </c>
      <c r="DQ88">
        <v>1</v>
      </c>
      <c r="DU88">
        <v>1013</v>
      </c>
      <c r="DV88" t="s">
        <v>190</v>
      </c>
      <c r="DW88" t="s">
        <v>190</v>
      </c>
      <c r="DX88">
        <v>1</v>
      </c>
      <c r="DZ88" t="s">
        <v>3</v>
      </c>
      <c r="EA88" t="s">
        <v>3</v>
      </c>
      <c r="EB88" t="s">
        <v>3</v>
      </c>
      <c r="EC88" t="s">
        <v>3</v>
      </c>
      <c r="EE88">
        <v>36519948</v>
      </c>
      <c r="EF88">
        <v>8</v>
      </c>
      <c r="EG88" t="s">
        <v>131</v>
      </c>
      <c r="EH88">
        <v>0</v>
      </c>
      <c r="EI88" t="s">
        <v>3</v>
      </c>
      <c r="EJ88">
        <v>1</v>
      </c>
      <c r="EK88">
        <v>500001</v>
      </c>
      <c r="EL88" t="s">
        <v>132</v>
      </c>
      <c r="EM88" t="s">
        <v>133</v>
      </c>
      <c r="EO88" t="s">
        <v>3</v>
      </c>
      <c r="EQ88">
        <v>0</v>
      </c>
      <c r="ER88">
        <v>8473.51</v>
      </c>
      <c r="ES88">
        <v>8473.51</v>
      </c>
      <c r="ET88">
        <v>0</v>
      </c>
      <c r="EU88">
        <v>0</v>
      </c>
      <c r="EV88">
        <v>0</v>
      </c>
      <c r="EW88">
        <v>0</v>
      </c>
      <c r="EX88">
        <v>0</v>
      </c>
      <c r="EY88">
        <v>0</v>
      </c>
      <c r="FQ88">
        <v>0</v>
      </c>
      <c r="FR88">
        <f t="shared" si="97"/>
        <v>0</v>
      </c>
      <c r="FS88">
        <v>0</v>
      </c>
      <c r="FX88">
        <v>0</v>
      </c>
      <c r="FY88">
        <v>0</v>
      </c>
      <c r="GA88" t="s">
        <v>3</v>
      </c>
      <c r="GD88">
        <v>1</v>
      </c>
      <c r="GF88">
        <v>-127193927</v>
      </c>
      <c r="GG88">
        <v>2</v>
      </c>
      <c r="GH88">
        <v>1</v>
      </c>
      <c r="GI88">
        <v>2</v>
      </c>
      <c r="GJ88">
        <v>0</v>
      </c>
      <c r="GK88">
        <v>0</v>
      </c>
      <c r="GL88">
        <f t="shared" si="98"/>
        <v>0</v>
      </c>
      <c r="GM88">
        <f t="shared" si="99"/>
        <v>49485.3</v>
      </c>
      <c r="GN88">
        <f t="shared" si="100"/>
        <v>49485.3</v>
      </c>
      <c r="GO88">
        <f t="shared" si="101"/>
        <v>0</v>
      </c>
      <c r="GP88">
        <f t="shared" si="102"/>
        <v>0</v>
      </c>
      <c r="GR88">
        <v>0</v>
      </c>
      <c r="GS88">
        <v>3</v>
      </c>
      <c r="GT88">
        <v>0</v>
      </c>
      <c r="GU88" t="s">
        <v>3</v>
      </c>
      <c r="GV88">
        <f t="shared" si="103"/>
        <v>0</v>
      </c>
      <c r="GW88">
        <v>1</v>
      </c>
      <c r="GX88">
        <f t="shared" si="104"/>
        <v>0</v>
      </c>
      <c r="HA88">
        <v>0</v>
      </c>
      <c r="HB88">
        <v>0</v>
      </c>
      <c r="HC88">
        <f t="shared" si="105"/>
        <v>0</v>
      </c>
      <c r="HE88" t="s">
        <v>3</v>
      </c>
      <c r="HF88" t="s">
        <v>3</v>
      </c>
      <c r="HM88" t="s">
        <v>3</v>
      </c>
      <c r="HN88" t="s">
        <v>3</v>
      </c>
      <c r="HO88" t="s">
        <v>3</v>
      </c>
      <c r="HP88" t="s">
        <v>3</v>
      </c>
      <c r="HQ88" t="s">
        <v>3</v>
      </c>
      <c r="IK88">
        <v>0</v>
      </c>
    </row>
    <row r="89" spans="1:245">
      <c r="A89">
        <v>17</v>
      </c>
      <c r="B89">
        <v>1</v>
      </c>
      <c r="E89" t="s">
        <v>192</v>
      </c>
      <c r="F89" t="s">
        <v>193</v>
      </c>
      <c r="G89" t="s">
        <v>194</v>
      </c>
      <c r="H89" t="s">
        <v>195</v>
      </c>
      <c r="I89">
        <v>1</v>
      </c>
      <c r="J89">
        <v>0</v>
      </c>
      <c r="K89">
        <v>1</v>
      </c>
      <c r="O89">
        <f t="shared" si="71"/>
        <v>15148.89</v>
      </c>
      <c r="P89">
        <f t="shared" si="72"/>
        <v>15148.89</v>
      </c>
      <c r="Q89">
        <f t="shared" si="73"/>
        <v>0</v>
      </c>
      <c r="R89">
        <f t="shared" si="74"/>
        <v>0</v>
      </c>
      <c r="S89">
        <f t="shared" si="75"/>
        <v>0</v>
      </c>
      <c r="T89">
        <f t="shared" si="76"/>
        <v>0</v>
      </c>
      <c r="U89">
        <f t="shared" si="77"/>
        <v>0</v>
      </c>
      <c r="V89">
        <f t="shared" si="78"/>
        <v>0</v>
      </c>
      <c r="W89">
        <f t="shared" si="79"/>
        <v>0</v>
      </c>
      <c r="X89">
        <f t="shared" si="80"/>
        <v>0</v>
      </c>
      <c r="Y89">
        <f t="shared" si="81"/>
        <v>0</v>
      </c>
      <c r="AA89">
        <v>35841400</v>
      </c>
      <c r="AB89">
        <f t="shared" si="82"/>
        <v>15148.89</v>
      </c>
      <c r="AC89">
        <f t="shared" si="83"/>
        <v>15148.89</v>
      </c>
      <c r="AD89">
        <f>ROUND((((ET89)-(EU89))+AE89),6)</f>
        <v>0</v>
      </c>
      <c r="AE89">
        <f>ROUND((EU89),6)</f>
        <v>0</v>
      </c>
      <c r="AF89">
        <f>ROUND(((EV89*1.15)),6)</f>
        <v>0</v>
      </c>
      <c r="AG89">
        <f t="shared" si="84"/>
        <v>0</v>
      </c>
      <c r="AH89">
        <f>((EW89*1.15))</f>
        <v>0</v>
      </c>
      <c r="AI89">
        <f>(EX89)</f>
        <v>0</v>
      </c>
      <c r="AJ89">
        <f t="shared" si="85"/>
        <v>0</v>
      </c>
      <c r="AK89">
        <v>15148.89</v>
      </c>
      <c r="AL89">
        <v>15148.89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93</v>
      </c>
      <c r="AU89">
        <v>62</v>
      </c>
      <c r="AV89">
        <v>1</v>
      </c>
      <c r="AW89">
        <v>1</v>
      </c>
      <c r="AZ89">
        <v>1</v>
      </c>
      <c r="BA89">
        <v>1</v>
      </c>
      <c r="BB89">
        <v>1</v>
      </c>
      <c r="BC89">
        <v>1</v>
      </c>
      <c r="BD89" t="s">
        <v>3</v>
      </c>
      <c r="BE89" t="s">
        <v>3</v>
      </c>
      <c r="BF89" t="s">
        <v>3</v>
      </c>
      <c r="BG89" t="s">
        <v>3</v>
      </c>
      <c r="BH89">
        <v>3</v>
      </c>
      <c r="BI89">
        <v>1</v>
      </c>
      <c r="BJ89" t="s">
        <v>3</v>
      </c>
      <c r="BM89">
        <v>9001</v>
      </c>
      <c r="BN89">
        <v>0</v>
      </c>
      <c r="BO89" t="s">
        <v>3</v>
      </c>
      <c r="BP89">
        <v>0</v>
      </c>
      <c r="BQ89">
        <v>2</v>
      </c>
      <c r="BR89">
        <v>0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 t="s">
        <v>3</v>
      </c>
      <c r="BZ89">
        <v>93</v>
      </c>
      <c r="CA89">
        <v>62</v>
      </c>
      <c r="CB89" t="s">
        <v>3</v>
      </c>
      <c r="CE89">
        <v>0</v>
      </c>
      <c r="CF89">
        <v>0</v>
      </c>
      <c r="CG89">
        <v>0</v>
      </c>
      <c r="CM89">
        <v>0</v>
      </c>
      <c r="CN89" t="s">
        <v>606</v>
      </c>
      <c r="CO89">
        <v>0</v>
      </c>
      <c r="CP89">
        <f t="shared" si="86"/>
        <v>15148.89</v>
      </c>
      <c r="CQ89">
        <f t="shared" si="87"/>
        <v>15148.89</v>
      </c>
      <c r="CR89">
        <f t="shared" si="88"/>
        <v>0</v>
      </c>
      <c r="CS89">
        <f t="shared" si="89"/>
        <v>0</v>
      </c>
      <c r="CT89">
        <f t="shared" si="90"/>
        <v>0</v>
      </c>
      <c r="CU89">
        <f t="shared" si="91"/>
        <v>0</v>
      </c>
      <c r="CV89">
        <f t="shared" si="92"/>
        <v>0</v>
      </c>
      <c r="CW89">
        <f t="shared" si="93"/>
        <v>0</v>
      </c>
      <c r="CX89">
        <f t="shared" si="94"/>
        <v>0</v>
      </c>
      <c r="CY89">
        <f t="shared" si="95"/>
        <v>0</v>
      </c>
      <c r="CZ89">
        <f t="shared" si="96"/>
        <v>0</v>
      </c>
      <c r="DC89" t="s">
        <v>3</v>
      </c>
      <c r="DD89" t="s">
        <v>3</v>
      </c>
      <c r="DE89" t="s">
        <v>3</v>
      </c>
      <c r="DF89" t="s">
        <v>3</v>
      </c>
      <c r="DG89" t="s">
        <v>114</v>
      </c>
      <c r="DH89" t="s">
        <v>3</v>
      </c>
      <c r="DI89" t="s">
        <v>114</v>
      </c>
      <c r="DJ89" t="s">
        <v>3</v>
      </c>
      <c r="DK89" t="s">
        <v>3</v>
      </c>
      <c r="DL89" t="s">
        <v>3</v>
      </c>
      <c r="DM89" t="s">
        <v>3</v>
      </c>
      <c r="DN89">
        <v>0</v>
      </c>
      <c r="DO89">
        <v>0</v>
      </c>
      <c r="DP89">
        <v>1</v>
      </c>
      <c r="DQ89">
        <v>1</v>
      </c>
      <c r="DU89">
        <v>1010</v>
      </c>
      <c r="DV89" t="s">
        <v>195</v>
      </c>
      <c r="DW89" t="s">
        <v>195</v>
      </c>
      <c r="DX89">
        <v>1</v>
      </c>
      <c r="DZ89" t="s">
        <v>3</v>
      </c>
      <c r="EA89" t="s">
        <v>3</v>
      </c>
      <c r="EB89" t="s">
        <v>3</v>
      </c>
      <c r="EC89" t="s">
        <v>3</v>
      </c>
      <c r="EE89">
        <v>36520024</v>
      </c>
      <c r="EF89">
        <v>2</v>
      </c>
      <c r="EG89" t="s">
        <v>28</v>
      </c>
      <c r="EH89">
        <v>0</v>
      </c>
      <c r="EI89" t="s">
        <v>3</v>
      </c>
      <c r="EJ89">
        <v>1</v>
      </c>
      <c r="EK89">
        <v>9001</v>
      </c>
      <c r="EL89" t="s">
        <v>196</v>
      </c>
      <c r="EM89" t="s">
        <v>197</v>
      </c>
      <c r="EO89" t="s">
        <v>117</v>
      </c>
      <c r="EQ89">
        <v>0</v>
      </c>
      <c r="ER89">
        <v>0</v>
      </c>
      <c r="ES89">
        <v>15148.89</v>
      </c>
      <c r="ET89">
        <v>0</v>
      </c>
      <c r="EU89">
        <v>0</v>
      </c>
      <c r="EV89">
        <v>0</v>
      </c>
      <c r="EW89">
        <v>0</v>
      </c>
      <c r="EX89">
        <v>0</v>
      </c>
      <c r="EY89">
        <v>0</v>
      </c>
      <c r="FQ89">
        <v>0</v>
      </c>
      <c r="FR89">
        <f t="shared" si="97"/>
        <v>0</v>
      </c>
      <c r="FS89">
        <v>0</v>
      </c>
      <c r="FX89">
        <v>93</v>
      </c>
      <c r="FY89">
        <v>62</v>
      </c>
      <c r="GA89" t="s">
        <v>186</v>
      </c>
      <c r="GD89">
        <v>1</v>
      </c>
      <c r="GF89">
        <v>1500290331</v>
      </c>
      <c r="GG89">
        <v>2</v>
      </c>
      <c r="GH89">
        <v>2</v>
      </c>
      <c r="GI89">
        <v>-2</v>
      </c>
      <c r="GJ89">
        <v>0</v>
      </c>
      <c r="GK89">
        <v>0</v>
      </c>
      <c r="GL89">
        <f t="shared" si="98"/>
        <v>0</v>
      </c>
      <c r="GM89">
        <f t="shared" si="99"/>
        <v>15148.89</v>
      </c>
      <c r="GN89">
        <f t="shared" si="100"/>
        <v>15148.89</v>
      </c>
      <c r="GO89">
        <f t="shared" si="101"/>
        <v>0</v>
      </c>
      <c r="GP89">
        <f t="shared" si="102"/>
        <v>0</v>
      </c>
      <c r="GR89">
        <v>0</v>
      </c>
      <c r="GS89">
        <v>4</v>
      </c>
      <c r="GT89">
        <v>0</v>
      </c>
      <c r="GU89" t="s">
        <v>3</v>
      </c>
      <c r="GV89">
        <f t="shared" si="103"/>
        <v>0</v>
      </c>
      <c r="GW89">
        <v>1</v>
      </c>
      <c r="GX89">
        <f t="shared" si="104"/>
        <v>0</v>
      </c>
      <c r="HA89">
        <v>0</v>
      </c>
      <c r="HB89">
        <v>0</v>
      </c>
      <c r="HC89">
        <f t="shared" si="105"/>
        <v>0</v>
      </c>
      <c r="HE89" t="s">
        <v>3</v>
      </c>
      <c r="HF89" t="s">
        <v>3</v>
      </c>
      <c r="HM89" t="s">
        <v>3</v>
      </c>
      <c r="HN89" t="s">
        <v>3</v>
      </c>
      <c r="HO89" t="s">
        <v>3</v>
      </c>
      <c r="HP89" t="s">
        <v>3</v>
      </c>
      <c r="HQ89" t="s">
        <v>3</v>
      </c>
      <c r="IK89">
        <v>0</v>
      </c>
    </row>
    <row r="91" spans="1:245">
      <c r="A91" s="2">
        <v>51</v>
      </c>
      <c r="B91" s="2">
        <f>B69</f>
        <v>1</v>
      </c>
      <c r="C91" s="2">
        <f>A69</f>
        <v>5</v>
      </c>
      <c r="D91" s="2">
        <f>ROW(A69)</f>
        <v>69</v>
      </c>
      <c r="E91" s="2"/>
      <c r="F91" s="2" t="str">
        <f>IF(F69&lt;&gt;"",F69,"")</f>
        <v>Новый подраздел</v>
      </c>
      <c r="G91" s="2" t="str">
        <f>IF(G69&lt;&gt;"",G69,"")</f>
        <v>стены</v>
      </c>
      <c r="H91" s="2">
        <v>0</v>
      </c>
      <c r="I91" s="2"/>
      <c r="J91" s="2"/>
      <c r="K91" s="2"/>
      <c r="L91" s="2"/>
      <c r="M91" s="2"/>
      <c r="N91" s="2"/>
      <c r="O91" s="2">
        <f t="shared" ref="O91:T91" si="108">ROUND(AB91,2)</f>
        <v>429268.53</v>
      </c>
      <c r="P91" s="2">
        <f t="shared" si="108"/>
        <v>325487.63</v>
      </c>
      <c r="Q91" s="2">
        <f t="shared" si="108"/>
        <v>6839.72</v>
      </c>
      <c r="R91" s="2">
        <f t="shared" si="108"/>
        <v>3070.52</v>
      </c>
      <c r="S91" s="2">
        <f t="shared" si="108"/>
        <v>96941.18</v>
      </c>
      <c r="T91" s="2">
        <f t="shared" si="108"/>
        <v>0</v>
      </c>
      <c r="U91" s="2">
        <f>AH91</f>
        <v>334.28727049999998</v>
      </c>
      <c r="V91" s="2">
        <f>AI91</f>
        <v>8.6663899999999998</v>
      </c>
      <c r="W91" s="2">
        <f>ROUND(AJ91,2)</f>
        <v>20.18</v>
      </c>
      <c r="X91" s="2">
        <f>ROUND(AK91,2)</f>
        <v>95008.639999999999</v>
      </c>
      <c r="Y91" s="2">
        <f>ROUND(AL91,2)</f>
        <v>48477.5</v>
      </c>
      <c r="Z91" s="2"/>
      <c r="AA91" s="2"/>
      <c r="AB91" s="2">
        <f>ROUND(SUMIF(AA73:AA89,"=35841400",O73:O89),2)</f>
        <v>429268.53</v>
      </c>
      <c r="AC91" s="2">
        <f>ROUND(SUMIF(AA73:AA89,"=35841400",P73:P89),2)</f>
        <v>325487.63</v>
      </c>
      <c r="AD91" s="2">
        <f>ROUND(SUMIF(AA73:AA89,"=35841400",Q73:Q89),2)</f>
        <v>6839.72</v>
      </c>
      <c r="AE91" s="2">
        <f>ROUND(SUMIF(AA73:AA89,"=35841400",R73:R89),2)</f>
        <v>3070.52</v>
      </c>
      <c r="AF91" s="2">
        <f>ROUND(SUMIF(AA73:AA89,"=35841400",S73:S89),2)</f>
        <v>96941.18</v>
      </c>
      <c r="AG91" s="2">
        <f>ROUND(SUMIF(AA73:AA89,"=35841400",T73:T89),2)</f>
        <v>0</v>
      </c>
      <c r="AH91" s="2">
        <f>SUMIF(AA73:AA89,"=35841400",U73:U89)</f>
        <v>334.28727049999998</v>
      </c>
      <c r="AI91" s="2">
        <f>SUMIF(AA73:AA89,"=35841400",V73:V89)</f>
        <v>8.6663899999999998</v>
      </c>
      <c r="AJ91" s="2">
        <f>ROUND(SUMIF(AA73:AA89,"=35841400",W73:W89),2)</f>
        <v>20.18</v>
      </c>
      <c r="AK91" s="2">
        <f>ROUND(SUMIF(AA73:AA89,"=35841400",X73:X89),2)</f>
        <v>95008.639999999999</v>
      </c>
      <c r="AL91" s="2">
        <f>ROUND(SUMIF(AA73:AA89,"=35841400",Y73:Y89),2)</f>
        <v>48477.5</v>
      </c>
      <c r="AM91" s="2"/>
      <c r="AN91" s="2"/>
      <c r="AO91" s="2">
        <f t="shared" ref="AO91:BD91" si="109">ROUND(BX91,2)</f>
        <v>0</v>
      </c>
      <c r="AP91" s="2">
        <f t="shared" si="109"/>
        <v>0</v>
      </c>
      <c r="AQ91" s="2">
        <f t="shared" si="109"/>
        <v>0</v>
      </c>
      <c r="AR91" s="2">
        <f t="shared" si="109"/>
        <v>572754.67000000004</v>
      </c>
      <c r="AS91" s="2">
        <f t="shared" si="109"/>
        <v>572754.67000000004</v>
      </c>
      <c r="AT91" s="2">
        <f t="shared" si="109"/>
        <v>0</v>
      </c>
      <c r="AU91" s="2">
        <f t="shared" si="109"/>
        <v>0</v>
      </c>
      <c r="AV91" s="2">
        <f t="shared" si="109"/>
        <v>325487.63</v>
      </c>
      <c r="AW91" s="2">
        <f t="shared" si="109"/>
        <v>325487.63</v>
      </c>
      <c r="AX91" s="2">
        <f t="shared" si="109"/>
        <v>0</v>
      </c>
      <c r="AY91" s="2">
        <f t="shared" si="109"/>
        <v>325487.63</v>
      </c>
      <c r="AZ91" s="2">
        <f t="shared" si="109"/>
        <v>0</v>
      </c>
      <c r="BA91" s="2">
        <f t="shared" si="109"/>
        <v>0</v>
      </c>
      <c r="BB91" s="2">
        <f t="shared" si="109"/>
        <v>0</v>
      </c>
      <c r="BC91" s="2">
        <f t="shared" si="109"/>
        <v>0</v>
      </c>
      <c r="BD91" s="2">
        <f t="shared" si="109"/>
        <v>0</v>
      </c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>
        <f>ROUND(SUMIF(AA73:AA89,"=35841400",FQ73:FQ89),2)</f>
        <v>0</v>
      </c>
      <c r="BY91" s="2">
        <f>ROUND(SUMIF(AA73:AA89,"=35841400",FR73:FR89),2)</f>
        <v>0</v>
      </c>
      <c r="BZ91" s="2">
        <f>ROUND(SUMIF(AA73:AA89,"=35841400",GL73:GL89),2)</f>
        <v>0</v>
      </c>
      <c r="CA91" s="2">
        <f>ROUND(SUMIF(AA73:AA89,"=35841400",GM73:GM89),2)</f>
        <v>572754.67000000004</v>
      </c>
      <c r="CB91" s="2">
        <f>ROUND(SUMIF(AA73:AA89,"=35841400",GN73:GN89),2)</f>
        <v>572754.67000000004</v>
      </c>
      <c r="CC91" s="2">
        <f>ROUND(SUMIF(AA73:AA89,"=35841400",GO73:GO89),2)</f>
        <v>0</v>
      </c>
      <c r="CD91" s="2">
        <f>ROUND(SUMIF(AA73:AA89,"=35841400",GP73:GP89),2)</f>
        <v>0</v>
      </c>
      <c r="CE91" s="2">
        <f>AC91-BX91</f>
        <v>325487.63</v>
      </c>
      <c r="CF91" s="2">
        <f>AC91-BY91</f>
        <v>325487.63</v>
      </c>
      <c r="CG91" s="2">
        <f>BX91-BZ91</f>
        <v>0</v>
      </c>
      <c r="CH91" s="2">
        <f>AC91-BX91-BY91+BZ91</f>
        <v>325487.63</v>
      </c>
      <c r="CI91" s="2">
        <f>BY91-BZ91</f>
        <v>0</v>
      </c>
      <c r="CJ91" s="2">
        <f>ROUND(SUMIF(AA73:AA89,"=35841400",GX73:GX89),2)</f>
        <v>0</v>
      </c>
      <c r="CK91" s="2">
        <f>ROUND(SUMIF(AA73:AA89,"=35841400",GY73:GY89),2)</f>
        <v>0</v>
      </c>
      <c r="CL91" s="2">
        <f>ROUND(SUMIF(AA73:AA89,"=35841400",GZ73:GZ89),2)</f>
        <v>0</v>
      </c>
      <c r="CM91" s="2">
        <f>ROUND(SUMIF(AA73:AA89,"=35841400",HD73:HD89),2)</f>
        <v>0</v>
      </c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>
        <v>0</v>
      </c>
    </row>
    <row r="93" spans="1:245">
      <c r="A93" s="4">
        <v>50</v>
      </c>
      <c r="B93" s="4">
        <v>0</v>
      </c>
      <c r="C93" s="4">
        <v>0</v>
      </c>
      <c r="D93" s="4">
        <v>1</v>
      </c>
      <c r="E93" s="4">
        <v>201</v>
      </c>
      <c r="F93" s="4">
        <f>ROUND(Source!O91,O93)</f>
        <v>429268.53</v>
      </c>
      <c r="G93" s="4" t="s">
        <v>54</v>
      </c>
      <c r="H93" s="4" t="s">
        <v>55</v>
      </c>
      <c r="I93" s="4"/>
      <c r="J93" s="4"/>
      <c r="K93" s="4">
        <v>201</v>
      </c>
      <c r="L93" s="4">
        <v>1</v>
      </c>
      <c r="M93" s="4">
        <v>3</v>
      </c>
      <c r="N93" s="4" t="s">
        <v>3</v>
      </c>
      <c r="O93" s="4">
        <v>2</v>
      </c>
      <c r="P93" s="4"/>
      <c r="Q93" s="4"/>
      <c r="R93" s="4"/>
      <c r="S93" s="4"/>
      <c r="T93" s="4"/>
      <c r="U93" s="4"/>
      <c r="V93" s="4"/>
      <c r="W93" s="4">
        <v>429268.53</v>
      </c>
      <c r="X93" s="4">
        <v>1</v>
      </c>
      <c r="Y93" s="4">
        <v>429268.53</v>
      </c>
      <c r="Z93" s="4"/>
      <c r="AA93" s="4"/>
      <c r="AB93" s="4"/>
    </row>
    <row r="94" spans="1:245">
      <c r="A94" s="4">
        <v>50</v>
      </c>
      <c r="B94" s="4">
        <v>0</v>
      </c>
      <c r="C94" s="4">
        <v>0</v>
      </c>
      <c r="D94" s="4">
        <v>1</v>
      </c>
      <c r="E94" s="4">
        <v>202</v>
      </c>
      <c r="F94" s="4">
        <f>ROUND(Source!P91,O94)</f>
        <v>325487.63</v>
      </c>
      <c r="G94" s="4" t="s">
        <v>56</v>
      </c>
      <c r="H94" s="4" t="s">
        <v>57</v>
      </c>
      <c r="I94" s="4"/>
      <c r="J94" s="4"/>
      <c r="K94" s="4">
        <v>202</v>
      </c>
      <c r="L94" s="4">
        <v>2</v>
      </c>
      <c r="M94" s="4">
        <v>3</v>
      </c>
      <c r="N94" s="4" t="s">
        <v>3</v>
      </c>
      <c r="O94" s="4">
        <v>2</v>
      </c>
      <c r="P94" s="4"/>
      <c r="Q94" s="4"/>
      <c r="R94" s="4"/>
      <c r="S94" s="4"/>
      <c r="T94" s="4"/>
      <c r="U94" s="4"/>
      <c r="V94" s="4"/>
      <c r="W94" s="4">
        <v>325487.63</v>
      </c>
      <c r="X94" s="4">
        <v>1</v>
      </c>
      <c r="Y94" s="4">
        <v>325487.63</v>
      </c>
      <c r="Z94" s="4"/>
      <c r="AA94" s="4"/>
      <c r="AB94" s="4"/>
    </row>
    <row r="95" spans="1:245">
      <c r="A95" s="4">
        <v>50</v>
      </c>
      <c r="B95" s="4">
        <v>0</v>
      </c>
      <c r="C95" s="4">
        <v>0</v>
      </c>
      <c r="D95" s="4">
        <v>1</v>
      </c>
      <c r="E95" s="4">
        <v>222</v>
      </c>
      <c r="F95" s="4">
        <f>ROUND(Source!AO91,O95)</f>
        <v>0</v>
      </c>
      <c r="G95" s="4" t="s">
        <v>58</v>
      </c>
      <c r="H95" s="4" t="s">
        <v>59</v>
      </c>
      <c r="I95" s="4"/>
      <c r="J95" s="4"/>
      <c r="K95" s="4">
        <v>222</v>
      </c>
      <c r="L95" s="4">
        <v>3</v>
      </c>
      <c r="M95" s="4">
        <v>3</v>
      </c>
      <c r="N95" s="4" t="s">
        <v>3</v>
      </c>
      <c r="O95" s="4">
        <v>2</v>
      </c>
      <c r="P95" s="4"/>
      <c r="Q95" s="4"/>
      <c r="R95" s="4"/>
      <c r="S95" s="4"/>
      <c r="T95" s="4"/>
      <c r="U95" s="4"/>
      <c r="V95" s="4"/>
      <c r="W95" s="4">
        <v>0</v>
      </c>
      <c r="X95" s="4">
        <v>1</v>
      </c>
      <c r="Y95" s="4">
        <v>0</v>
      </c>
      <c r="Z95" s="4"/>
      <c r="AA95" s="4"/>
      <c r="AB95" s="4"/>
    </row>
    <row r="96" spans="1:245">
      <c r="A96" s="4">
        <v>50</v>
      </c>
      <c r="B96" s="4">
        <v>0</v>
      </c>
      <c r="C96" s="4">
        <v>0</v>
      </c>
      <c r="D96" s="4">
        <v>1</v>
      </c>
      <c r="E96" s="4">
        <v>225</v>
      </c>
      <c r="F96" s="4">
        <f>ROUND(Source!AV91,O96)</f>
        <v>325487.63</v>
      </c>
      <c r="G96" s="4" t="s">
        <v>60</v>
      </c>
      <c r="H96" s="4" t="s">
        <v>61</v>
      </c>
      <c r="I96" s="4"/>
      <c r="J96" s="4"/>
      <c r="K96" s="4">
        <v>225</v>
      </c>
      <c r="L96" s="4">
        <v>4</v>
      </c>
      <c r="M96" s="4">
        <v>3</v>
      </c>
      <c r="N96" s="4" t="s">
        <v>3</v>
      </c>
      <c r="O96" s="4">
        <v>2</v>
      </c>
      <c r="P96" s="4"/>
      <c r="Q96" s="4"/>
      <c r="R96" s="4"/>
      <c r="S96" s="4"/>
      <c r="T96" s="4"/>
      <c r="U96" s="4"/>
      <c r="V96" s="4"/>
      <c r="W96" s="4">
        <v>325487.63</v>
      </c>
      <c r="X96" s="4">
        <v>1</v>
      </c>
      <c r="Y96" s="4">
        <v>325487.63</v>
      </c>
      <c r="Z96" s="4"/>
      <c r="AA96" s="4"/>
      <c r="AB96" s="4"/>
    </row>
    <row r="97" spans="1:28">
      <c r="A97" s="4">
        <v>50</v>
      </c>
      <c r="B97" s="4">
        <v>0</v>
      </c>
      <c r="C97" s="4">
        <v>0</v>
      </c>
      <c r="D97" s="4">
        <v>1</v>
      </c>
      <c r="E97" s="4">
        <v>226</v>
      </c>
      <c r="F97" s="4">
        <f>ROUND(Source!AW91,O97)</f>
        <v>325487.63</v>
      </c>
      <c r="G97" s="4" t="s">
        <v>62</v>
      </c>
      <c r="H97" s="4" t="s">
        <v>63</v>
      </c>
      <c r="I97" s="4"/>
      <c r="J97" s="4"/>
      <c r="K97" s="4">
        <v>226</v>
      </c>
      <c r="L97" s="4">
        <v>5</v>
      </c>
      <c r="M97" s="4">
        <v>3</v>
      </c>
      <c r="N97" s="4" t="s">
        <v>3</v>
      </c>
      <c r="O97" s="4">
        <v>2</v>
      </c>
      <c r="P97" s="4"/>
      <c r="Q97" s="4"/>
      <c r="R97" s="4"/>
      <c r="S97" s="4"/>
      <c r="T97" s="4"/>
      <c r="U97" s="4"/>
      <c r="V97" s="4"/>
      <c r="W97" s="4">
        <v>325487.63</v>
      </c>
      <c r="X97" s="4">
        <v>1</v>
      </c>
      <c r="Y97" s="4">
        <v>325487.63</v>
      </c>
      <c r="Z97" s="4"/>
      <c r="AA97" s="4"/>
      <c r="AB97" s="4"/>
    </row>
    <row r="98" spans="1:28">
      <c r="A98" s="4">
        <v>50</v>
      </c>
      <c r="B98" s="4">
        <v>0</v>
      </c>
      <c r="C98" s="4">
        <v>0</v>
      </c>
      <c r="D98" s="4">
        <v>1</v>
      </c>
      <c r="E98" s="4">
        <v>227</v>
      </c>
      <c r="F98" s="4">
        <f>ROUND(Source!AX91,O98)</f>
        <v>0</v>
      </c>
      <c r="G98" s="4" t="s">
        <v>64</v>
      </c>
      <c r="H98" s="4" t="s">
        <v>65</v>
      </c>
      <c r="I98" s="4"/>
      <c r="J98" s="4"/>
      <c r="K98" s="4">
        <v>227</v>
      </c>
      <c r="L98" s="4">
        <v>6</v>
      </c>
      <c r="M98" s="4">
        <v>3</v>
      </c>
      <c r="N98" s="4" t="s">
        <v>3</v>
      </c>
      <c r="O98" s="4">
        <v>2</v>
      </c>
      <c r="P98" s="4"/>
      <c r="Q98" s="4"/>
      <c r="R98" s="4"/>
      <c r="S98" s="4"/>
      <c r="T98" s="4"/>
      <c r="U98" s="4"/>
      <c r="V98" s="4"/>
      <c r="W98" s="4">
        <v>0</v>
      </c>
      <c r="X98" s="4">
        <v>1</v>
      </c>
      <c r="Y98" s="4">
        <v>0</v>
      </c>
      <c r="Z98" s="4"/>
      <c r="AA98" s="4"/>
      <c r="AB98" s="4"/>
    </row>
    <row r="99" spans="1:28">
      <c r="A99" s="4">
        <v>50</v>
      </c>
      <c r="B99" s="4">
        <v>0</v>
      </c>
      <c r="C99" s="4">
        <v>0</v>
      </c>
      <c r="D99" s="4">
        <v>1</v>
      </c>
      <c r="E99" s="4">
        <v>228</v>
      </c>
      <c r="F99" s="4">
        <f>ROUND(Source!AY91,O99)</f>
        <v>325487.63</v>
      </c>
      <c r="G99" s="4" t="s">
        <v>66</v>
      </c>
      <c r="H99" s="4" t="s">
        <v>67</v>
      </c>
      <c r="I99" s="4"/>
      <c r="J99" s="4"/>
      <c r="K99" s="4">
        <v>228</v>
      </c>
      <c r="L99" s="4">
        <v>7</v>
      </c>
      <c r="M99" s="4">
        <v>3</v>
      </c>
      <c r="N99" s="4" t="s">
        <v>3</v>
      </c>
      <c r="O99" s="4">
        <v>2</v>
      </c>
      <c r="P99" s="4"/>
      <c r="Q99" s="4"/>
      <c r="R99" s="4"/>
      <c r="S99" s="4"/>
      <c r="T99" s="4"/>
      <c r="U99" s="4"/>
      <c r="V99" s="4"/>
      <c r="W99" s="4">
        <v>325487.63</v>
      </c>
      <c r="X99" s="4">
        <v>1</v>
      </c>
      <c r="Y99" s="4">
        <v>325487.63</v>
      </c>
      <c r="Z99" s="4"/>
      <c r="AA99" s="4"/>
      <c r="AB99" s="4"/>
    </row>
    <row r="100" spans="1:28">
      <c r="A100" s="4">
        <v>50</v>
      </c>
      <c r="B100" s="4">
        <v>0</v>
      </c>
      <c r="C100" s="4">
        <v>0</v>
      </c>
      <c r="D100" s="4">
        <v>1</v>
      </c>
      <c r="E100" s="4">
        <v>216</v>
      </c>
      <c r="F100" s="4">
        <f>ROUND(Source!AP91,O100)</f>
        <v>0</v>
      </c>
      <c r="G100" s="4" t="s">
        <v>68</v>
      </c>
      <c r="H100" s="4" t="s">
        <v>69</v>
      </c>
      <c r="I100" s="4"/>
      <c r="J100" s="4"/>
      <c r="K100" s="4">
        <v>216</v>
      </c>
      <c r="L100" s="4">
        <v>8</v>
      </c>
      <c r="M100" s="4">
        <v>3</v>
      </c>
      <c r="N100" s="4" t="s">
        <v>3</v>
      </c>
      <c r="O100" s="4">
        <v>2</v>
      </c>
      <c r="P100" s="4"/>
      <c r="Q100" s="4"/>
      <c r="R100" s="4"/>
      <c r="S100" s="4"/>
      <c r="T100" s="4"/>
      <c r="U100" s="4"/>
      <c r="V100" s="4"/>
      <c r="W100" s="4">
        <v>0</v>
      </c>
      <c r="X100" s="4">
        <v>1</v>
      </c>
      <c r="Y100" s="4">
        <v>0</v>
      </c>
      <c r="Z100" s="4"/>
      <c r="AA100" s="4"/>
      <c r="AB100" s="4"/>
    </row>
    <row r="101" spans="1:28">
      <c r="A101" s="4">
        <v>50</v>
      </c>
      <c r="B101" s="4">
        <v>0</v>
      </c>
      <c r="C101" s="4">
        <v>0</v>
      </c>
      <c r="D101" s="4">
        <v>1</v>
      </c>
      <c r="E101" s="4">
        <v>223</v>
      </c>
      <c r="F101" s="4">
        <f>ROUND(Source!AQ91,O101)</f>
        <v>0</v>
      </c>
      <c r="G101" s="4" t="s">
        <v>70</v>
      </c>
      <c r="H101" s="4" t="s">
        <v>71</v>
      </c>
      <c r="I101" s="4"/>
      <c r="J101" s="4"/>
      <c r="K101" s="4">
        <v>223</v>
      </c>
      <c r="L101" s="4">
        <v>9</v>
      </c>
      <c r="M101" s="4">
        <v>3</v>
      </c>
      <c r="N101" s="4" t="s">
        <v>3</v>
      </c>
      <c r="O101" s="4">
        <v>2</v>
      </c>
      <c r="P101" s="4"/>
      <c r="Q101" s="4"/>
      <c r="R101" s="4"/>
      <c r="S101" s="4"/>
      <c r="T101" s="4"/>
      <c r="U101" s="4"/>
      <c r="V101" s="4"/>
      <c r="W101" s="4">
        <v>0</v>
      </c>
      <c r="X101" s="4">
        <v>1</v>
      </c>
      <c r="Y101" s="4">
        <v>0</v>
      </c>
      <c r="Z101" s="4"/>
      <c r="AA101" s="4"/>
      <c r="AB101" s="4"/>
    </row>
    <row r="102" spans="1:28">
      <c r="A102" s="4">
        <v>50</v>
      </c>
      <c r="B102" s="4">
        <v>0</v>
      </c>
      <c r="C102" s="4">
        <v>0</v>
      </c>
      <c r="D102" s="4">
        <v>1</v>
      </c>
      <c r="E102" s="4">
        <v>229</v>
      </c>
      <c r="F102" s="4">
        <f>ROUND(Source!AZ91,O102)</f>
        <v>0</v>
      </c>
      <c r="G102" s="4" t="s">
        <v>72</v>
      </c>
      <c r="H102" s="4" t="s">
        <v>73</v>
      </c>
      <c r="I102" s="4"/>
      <c r="J102" s="4"/>
      <c r="K102" s="4">
        <v>229</v>
      </c>
      <c r="L102" s="4">
        <v>10</v>
      </c>
      <c r="M102" s="4">
        <v>3</v>
      </c>
      <c r="N102" s="4" t="s">
        <v>3</v>
      </c>
      <c r="O102" s="4">
        <v>2</v>
      </c>
      <c r="P102" s="4"/>
      <c r="Q102" s="4"/>
      <c r="R102" s="4"/>
      <c r="S102" s="4"/>
      <c r="T102" s="4"/>
      <c r="U102" s="4"/>
      <c r="V102" s="4"/>
      <c r="W102" s="4">
        <v>0</v>
      </c>
      <c r="X102" s="4">
        <v>1</v>
      </c>
      <c r="Y102" s="4">
        <v>0</v>
      </c>
      <c r="Z102" s="4"/>
      <c r="AA102" s="4"/>
      <c r="AB102" s="4"/>
    </row>
    <row r="103" spans="1:28">
      <c r="A103" s="4">
        <v>50</v>
      </c>
      <c r="B103" s="4">
        <v>0</v>
      </c>
      <c r="C103" s="4">
        <v>0</v>
      </c>
      <c r="D103" s="4">
        <v>1</v>
      </c>
      <c r="E103" s="4">
        <v>203</v>
      </c>
      <c r="F103" s="4">
        <f>ROUND(Source!Q91,O103)</f>
        <v>6839.72</v>
      </c>
      <c r="G103" s="4" t="s">
        <v>74</v>
      </c>
      <c r="H103" s="4" t="s">
        <v>75</v>
      </c>
      <c r="I103" s="4"/>
      <c r="J103" s="4"/>
      <c r="K103" s="4">
        <v>203</v>
      </c>
      <c r="L103" s="4">
        <v>11</v>
      </c>
      <c r="M103" s="4">
        <v>3</v>
      </c>
      <c r="N103" s="4" t="s">
        <v>3</v>
      </c>
      <c r="O103" s="4">
        <v>2</v>
      </c>
      <c r="P103" s="4"/>
      <c r="Q103" s="4"/>
      <c r="R103" s="4"/>
      <c r="S103" s="4"/>
      <c r="T103" s="4"/>
      <c r="U103" s="4"/>
      <c r="V103" s="4"/>
      <c r="W103" s="4">
        <v>6839.72</v>
      </c>
      <c r="X103" s="4">
        <v>1</v>
      </c>
      <c r="Y103" s="4">
        <v>6839.72</v>
      </c>
      <c r="Z103" s="4"/>
      <c r="AA103" s="4"/>
      <c r="AB103" s="4"/>
    </row>
    <row r="104" spans="1:28">
      <c r="A104" s="4">
        <v>50</v>
      </c>
      <c r="B104" s="4">
        <v>0</v>
      </c>
      <c r="C104" s="4">
        <v>0</v>
      </c>
      <c r="D104" s="4">
        <v>1</v>
      </c>
      <c r="E104" s="4">
        <v>231</v>
      </c>
      <c r="F104" s="4">
        <f>ROUND(Source!BB91,O104)</f>
        <v>0</v>
      </c>
      <c r="G104" s="4" t="s">
        <v>76</v>
      </c>
      <c r="H104" s="4" t="s">
        <v>77</v>
      </c>
      <c r="I104" s="4"/>
      <c r="J104" s="4"/>
      <c r="K104" s="4">
        <v>231</v>
      </c>
      <c r="L104" s="4">
        <v>12</v>
      </c>
      <c r="M104" s="4">
        <v>3</v>
      </c>
      <c r="N104" s="4" t="s">
        <v>3</v>
      </c>
      <c r="O104" s="4">
        <v>2</v>
      </c>
      <c r="P104" s="4"/>
      <c r="Q104" s="4"/>
      <c r="R104" s="4"/>
      <c r="S104" s="4"/>
      <c r="T104" s="4"/>
      <c r="U104" s="4"/>
      <c r="V104" s="4"/>
      <c r="W104" s="4">
        <v>0</v>
      </c>
      <c r="X104" s="4">
        <v>1</v>
      </c>
      <c r="Y104" s="4">
        <v>0</v>
      </c>
      <c r="Z104" s="4"/>
      <c r="AA104" s="4"/>
      <c r="AB104" s="4"/>
    </row>
    <row r="105" spans="1:28">
      <c r="A105" s="4">
        <v>50</v>
      </c>
      <c r="B105" s="4">
        <v>0</v>
      </c>
      <c r="C105" s="4">
        <v>0</v>
      </c>
      <c r="D105" s="4">
        <v>1</v>
      </c>
      <c r="E105" s="4">
        <v>204</v>
      </c>
      <c r="F105" s="4">
        <f>ROUND(Source!R91,O105)</f>
        <v>3070.52</v>
      </c>
      <c r="G105" s="4" t="s">
        <v>78</v>
      </c>
      <c r="H105" s="4" t="s">
        <v>79</v>
      </c>
      <c r="I105" s="4"/>
      <c r="J105" s="4"/>
      <c r="K105" s="4">
        <v>204</v>
      </c>
      <c r="L105" s="4">
        <v>13</v>
      </c>
      <c r="M105" s="4">
        <v>3</v>
      </c>
      <c r="N105" s="4" t="s">
        <v>3</v>
      </c>
      <c r="O105" s="4">
        <v>2</v>
      </c>
      <c r="P105" s="4"/>
      <c r="Q105" s="4"/>
      <c r="R105" s="4"/>
      <c r="S105" s="4"/>
      <c r="T105" s="4"/>
      <c r="U105" s="4"/>
      <c r="V105" s="4"/>
      <c r="W105" s="4">
        <v>3070.52</v>
      </c>
      <c r="X105" s="4">
        <v>1</v>
      </c>
      <c r="Y105" s="4">
        <v>3070.52</v>
      </c>
      <c r="Z105" s="4"/>
      <c r="AA105" s="4"/>
      <c r="AB105" s="4"/>
    </row>
    <row r="106" spans="1:28">
      <c r="A106" s="4">
        <v>50</v>
      </c>
      <c r="B106" s="4">
        <v>0</v>
      </c>
      <c r="C106" s="4">
        <v>0</v>
      </c>
      <c r="D106" s="4">
        <v>1</v>
      </c>
      <c r="E106" s="4">
        <v>205</v>
      </c>
      <c r="F106" s="4">
        <f>ROUND(Source!S91,O106)</f>
        <v>96941.18</v>
      </c>
      <c r="G106" s="4" t="s">
        <v>80</v>
      </c>
      <c r="H106" s="4" t="s">
        <v>81</v>
      </c>
      <c r="I106" s="4"/>
      <c r="J106" s="4"/>
      <c r="K106" s="4">
        <v>205</v>
      </c>
      <c r="L106" s="4">
        <v>14</v>
      </c>
      <c r="M106" s="4">
        <v>3</v>
      </c>
      <c r="N106" s="4" t="s">
        <v>3</v>
      </c>
      <c r="O106" s="4">
        <v>2</v>
      </c>
      <c r="P106" s="4"/>
      <c r="Q106" s="4"/>
      <c r="R106" s="4"/>
      <c r="S106" s="4"/>
      <c r="T106" s="4"/>
      <c r="U106" s="4"/>
      <c r="V106" s="4"/>
      <c r="W106" s="4">
        <v>96941.18</v>
      </c>
      <c r="X106" s="4">
        <v>1</v>
      </c>
      <c r="Y106" s="4">
        <v>96941.18</v>
      </c>
      <c r="Z106" s="4"/>
      <c r="AA106" s="4"/>
      <c r="AB106" s="4"/>
    </row>
    <row r="107" spans="1:28">
      <c r="A107" s="4">
        <v>50</v>
      </c>
      <c r="B107" s="4">
        <v>0</v>
      </c>
      <c r="C107" s="4">
        <v>0</v>
      </c>
      <c r="D107" s="4">
        <v>1</v>
      </c>
      <c r="E107" s="4">
        <v>232</v>
      </c>
      <c r="F107" s="4">
        <f>ROUND(Source!BC91,O107)</f>
        <v>0</v>
      </c>
      <c r="G107" s="4" t="s">
        <v>82</v>
      </c>
      <c r="H107" s="4" t="s">
        <v>83</v>
      </c>
      <c r="I107" s="4"/>
      <c r="J107" s="4"/>
      <c r="K107" s="4">
        <v>232</v>
      </c>
      <c r="L107" s="4">
        <v>15</v>
      </c>
      <c r="M107" s="4">
        <v>3</v>
      </c>
      <c r="N107" s="4" t="s">
        <v>3</v>
      </c>
      <c r="O107" s="4">
        <v>2</v>
      </c>
      <c r="P107" s="4"/>
      <c r="Q107" s="4"/>
      <c r="R107" s="4"/>
      <c r="S107" s="4"/>
      <c r="T107" s="4"/>
      <c r="U107" s="4"/>
      <c r="V107" s="4"/>
      <c r="W107" s="4">
        <v>0</v>
      </c>
      <c r="X107" s="4">
        <v>1</v>
      </c>
      <c r="Y107" s="4">
        <v>0</v>
      </c>
      <c r="Z107" s="4"/>
      <c r="AA107" s="4"/>
      <c r="AB107" s="4"/>
    </row>
    <row r="108" spans="1:28">
      <c r="A108" s="4">
        <v>50</v>
      </c>
      <c r="B108" s="4">
        <v>0</v>
      </c>
      <c r="C108" s="4">
        <v>0</v>
      </c>
      <c r="D108" s="4">
        <v>1</v>
      </c>
      <c r="E108" s="4">
        <v>214</v>
      </c>
      <c r="F108" s="4">
        <f>ROUND(Source!AS91,O108)</f>
        <v>572754.67000000004</v>
      </c>
      <c r="G108" s="4" t="s">
        <v>84</v>
      </c>
      <c r="H108" s="4" t="s">
        <v>85</v>
      </c>
      <c r="I108" s="4"/>
      <c r="J108" s="4"/>
      <c r="K108" s="4">
        <v>214</v>
      </c>
      <c r="L108" s="4">
        <v>16</v>
      </c>
      <c r="M108" s="4">
        <v>3</v>
      </c>
      <c r="N108" s="4" t="s">
        <v>3</v>
      </c>
      <c r="O108" s="4">
        <v>2</v>
      </c>
      <c r="P108" s="4"/>
      <c r="Q108" s="4"/>
      <c r="R108" s="4"/>
      <c r="S108" s="4"/>
      <c r="T108" s="4"/>
      <c r="U108" s="4"/>
      <c r="V108" s="4"/>
      <c r="W108" s="4">
        <v>572754.67000000004</v>
      </c>
      <c r="X108" s="4">
        <v>1</v>
      </c>
      <c r="Y108" s="4">
        <v>572754.67000000004</v>
      </c>
      <c r="Z108" s="4"/>
      <c r="AA108" s="4"/>
      <c r="AB108" s="4"/>
    </row>
    <row r="109" spans="1:28">
      <c r="A109" s="4">
        <v>50</v>
      </c>
      <c r="B109" s="4">
        <v>0</v>
      </c>
      <c r="C109" s="4">
        <v>0</v>
      </c>
      <c r="D109" s="4">
        <v>1</v>
      </c>
      <c r="E109" s="4">
        <v>215</v>
      </c>
      <c r="F109" s="4">
        <f>ROUND(Source!AT91,O109)</f>
        <v>0</v>
      </c>
      <c r="G109" s="4" t="s">
        <v>86</v>
      </c>
      <c r="H109" s="4" t="s">
        <v>87</v>
      </c>
      <c r="I109" s="4"/>
      <c r="J109" s="4"/>
      <c r="K109" s="4">
        <v>215</v>
      </c>
      <c r="L109" s="4">
        <v>17</v>
      </c>
      <c r="M109" s="4">
        <v>3</v>
      </c>
      <c r="N109" s="4" t="s">
        <v>3</v>
      </c>
      <c r="O109" s="4">
        <v>2</v>
      </c>
      <c r="P109" s="4"/>
      <c r="Q109" s="4"/>
      <c r="R109" s="4"/>
      <c r="S109" s="4"/>
      <c r="T109" s="4"/>
      <c r="U109" s="4"/>
      <c r="V109" s="4"/>
      <c r="W109" s="4">
        <v>0</v>
      </c>
      <c r="X109" s="4">
        <v>1</v>
      </c>
      <c r="Y109" s="4">
        <v>0</v>
      </c>
      <c r="Z109" s="4"/>
      <c r="AA109" s="4"/>
      <c r="AB109" s="4"/>
    </row>
    <row r="110" spans="1:28">
      <c r="A110" s="4">
        <v>50</v>
      </c>
      <c r="B110" s="4">
        <v>0</v>
      </c>
      <c r="C110" s="4">
        <v>0</v>
      </c>
      <c r="D110" s="4">
        <v>1</v>
      </c>
      <c r="E110" s="4">
        <v>217</v>
      </c>
      <c r="F110" s="4">
        <f>ROUND(Source!AU91,O110)</f>
        <v>0</v>
      </c>
      <c r="G110" s="4" t="s">
        <v>88</v>
      </c>
      <c r="H110" s="4" t="s">
        <v>89</v>
      </c>
      <c r="I110" s="4"/>
      <c r="J110" s="4"/>
      <c r="K110" s="4">
        <v>217</v>
      </c>
      <c r="L110" s="4">
        <v>18</v>
      </c>
      <c r="M110" s="4">
        <v>3</v>
      </c>
      <c r="N110" s="4" t="s">
        <v>3</v>
      </c>
      <c r="O110" s="4">
        <v>2</v>
      </c>
      <c r="P110" s="4"/>
      <c r="Q110" s="4"/>
      <c r="R110" s="4"/>
      <c r="S110" s="4"/>
      <c r="T110" s="4"/>
      <c r="U110" s="4"/>
      <c r="V110" s="4"/>
      <c r="W110" s="4">
        <v>0</v>
      </c>
      <c r="X110" s="4">
        <v>1</v>
      </c>
      <c r="Y110" s="4">
        <v>0</v>
      </c>
      <c r="Z110" s="4"/>
      <c r="AA110" s="4"/>
      <c r="AB110" s="4"/>
    </row>
    <row r="111" spans="1:28">
      <c r="A111" s="4">
        <v>50</v>
      </c>
      <c r="B111" s="4">
        <v>0</v>
      </c>
      <c r="C111" s="4">
        <v>0</v>
      </c>
      <c r="D111" s="4">
        <v>1</v>
      </c>
      <c r="E111" s="4">
        <v>230</v>
      </c>
      <c r="F111" s="4">
        <f>ROUND(Source!BA91,O111)</f>
        <v>0</v>
      </c>
      <c r="G111" s="4" t="s">
        <v>90</v>
      </c>
      <c r="H111" s="4" t="s">
        <v>91</v>
      </c>
      <c r="I111" s="4"/>
      <c r="J111" s="4"/>
      <c r="K111" s="4">
        <v>230</v>
      </c>
      <c r="L111" s="4">
        <v>19</v>
      </c>
      <c r="M111" s="4">
        <v>3</v>
      </c>
      <c r="N111" s="4" t="s">
        <v>3</v>
      </c>
      <c r="O111" s="4">
        <v>2</v>
      </c>
      <c r="P111" s="4"/>
      <c r="Q111" s="4"/>
      <c r="R111" s="4"/>
      <c r="S111" s="4"/>
      <c r="T111" s="4"/>
      <c r="U111" s="4"/>
      <c r="V111" s="4"/>
      <c r="W111" s="4">
        <v>0</v>
      </c>
      <c r="X111" s="4">
        <v>1</v>
      </c>
      <c r="Y111" s="4">
        <v>0</v>
      </c>
      <c r="Z111" s="4"/>
      <c r="AA111" s="4"/>
      <c r="AB111" s="4"/>
    </row>
    <row r="112" spans="1:28">
      <c r="A112" s="4">
        <v>50</v>
      </c>
      <c r="B112" s="4">
        <v>0</v>
      </c>
      <c r="C112" s="4">
        <v>0</v>
      </c>
      <c r="D112" s="4">
        <v>1</v>
      </c>
      <c r="E112" s="4">
        <v>206</v>
      </c>
      <c r="F112" s="4">
        <f>ROUND(Source!T91,O112)</f>
        <v>0</v>
      </c>
      <c r="G112" s="4" t="s">
        <v>92</v>
      </c>
      <c r="H112" s="4" t="s">
        <v>93</v>
      </c>
      <c r="I112" s="4"/>
      <c r="J112" s="4"/>
      <c r="K112" s="4">
        <v>206</v>
      </c>
      <c r="L112" s="4">
        <v>20</v>
      </c>
      <c r="M112" s="4">
        <v>3</v>
      </c>
      <c r="N112" s="4" t="s">
        <v>3</v>
      </c>
      <c r="O112" s="4">
        <v>2</v>
      </c>
      <c r="P112" s="4"/>
      <c r="Q112" s="4"/>
      <c r="R112" s="4"/>
      <c r="S112" s="4"/>
      <c r="T112" s="4"/>
      <c r="U112" s="4"/>
      <c r="V112" s="4"/>
      <c r="W112" s="4">
        <v>0</v>
      </c>
      <c r="X112" s="4">
        <v>1</v>
      </c>
      <c r="Y112" s="4">
        <v>0</v>
      </c>
      <c r="Z112" s="4"/>
      <c r="AA112" s="4"/>
      <c r="AB112" s="4"/>
    </row>
    <row r="113" spans="1:206">
      <c r="A113" s="4">
        <v>50</v>
      </c>
      <c r="B113" s="4">
        <v>0</v>
      </c>
      <c r="C113" s="4">
        <v>0</v>
      </c>
      <c r="D113" s="4">
        <v>1</v>
      </c>
      <c r="E113" s="4">
        <v>207</v>
      </c>
      <c r="F113" s="4">
        <f>Source!U91</f>
        <v>334.28727049999998</v>
      </c>
      <c r="G113" s="4" t="s">
        <v>94</v>
      </c>
      <c r="H113" s="4" t="s">
        <v>95</v>
      </c>
      <c r="I113" s="4"/>
      <c r="J113" s="4"/>
      <c r="K113" s="4">
        <v>207</v>
      </c>
      <c r="L113" s="4">
        <v>21</v>
      </c>
      <c r="M113" s="4">
        <v>3</v>
      </c>
      <c r="N113" s="4" t="s">
        <v>3</v>
      </c>
      <c r="O113" s="4">
        <v>-1</v>
      </c>
      <c r="P113" s="4"/>
      <c r="Q113" s="4"/>
      <c r="R113" s="4"/>
      <c r="S113" s="4"/>
      <c r="T113" s="4"/>
      <c r="U113" s="4"/>
      <c r="V113" s="4"/>
      <c r="W113" s="4">
        <v>334.28727049999998</v>
      </c>
      <c r="X113" s="4">
        <v>1</v>
      </c>
      <c r="Y113" s="4">
        <v>334.28727049999998</v>
      </c>
      <c r="Z113" s="4"/>
      <c r="AA113" s="4"/>
      <c r="AB113" s="4"/>
    </row>
    <row r="114" spans="1:206">
      <c r="A114" s="4">
        <v>50</v>
      </c>
      <c r="B114" s="4">
        <v>0</v>
      </c>
      <c r="C114" s="4">
        <v>0</v>
      </c>
      <c r="D114" s="4">
        <v>1</v>
      </c>
      <c r="E114" s="4">
        <v>208</v>
      </c>
      <c r="F114" s="4">
        <f>Source!V91</f>
        <v>8.6663899999999998</v>
      </c>
      <c r="G114" s="4" t="s">
        <v>96</v>
      </c>
      <c r="H114" s="4" t="s">
        <v>97</v>
      </c>
      <c r="I114" s="4"/>
      <c r="J114" s="4"/>
      <c r="K114" s="4">
        <v>208</v>
      </c>
      <c r="L114" s="4">
        <v>22</v>
      </c>
      <c r="M114" s="4">
        <v>3</v>
      </c>
      <c r="N114" s="4" t="s">
        <v>3</v>
      </c>
      <c r="O114" s="4">
        <v>-1</v>
      </c>
      <c r="P114" s="4"/>
      <c r="Q114" s="4"/>
      <c r="R114" s="4"/>
      <c r="S114" s="4"/>
      <c r="T114" s="4"/>
      <c r="U114" s="4"/>
      <c r="V114" s="4"/>
      <c r="W114" s="4">
        <v>8.6663899999999998</v>
      </c>
      <c r="X114" s="4">
        <v>1</v>
      </c>
      <c r="Y114" s="4">
        <v>8.6663899999999998</v>
      </c>
      <c r="Z114" s="4"/>
      <c r="AA114" s="4"/>
      <c r="AB114" s="4"/>
    </row>
    <row r="115" spans="1:206">
      <c r="A115" s="4">
        <v>50</v>
      </c>
      <c r="B115" s="4">
        <v>0</v>
      </c>
      <c r="C115" s="4">
        <v>0</v>
      </c>
      <c r="D115" s="4">
        <v>1</v>
      </c>
      <c r="E115" s="4">
        <v>209</v>
      </c>
      <c r="F115" s="4">
        <f>ROUND(Source!W91,O115)</f>
        <v>20.18</v>
      </c>
      <c r="G115" s="4" t="s">
        <v>98</v>
      </c>
      <c r="H115" s="4" t="s">
        <v>99</v>
      </c>
      <c r="I115" s="4"/>
      <c r="J115" s="4"/>
      <c r="K115" s="4">
        <v>209</v>
      </c>
      <c r="L115" s="4">
        <v>23</v>
      </c>
      <c r="M115" s="4">
        <v>3</v>
      </c>
      <c r="N115" s="4" t="s">
        <v>3</v>
      </c>
      <c r="O115" s="4">
        <v>2</v>
      </c>
      <c r="P115" s="4"/>
      <c r="Q115" s="4"/>
      <c r="R115" s="4"/>
      <c r="S115" s="4"/>
      <c r="T115" s="4"/>
      <c r="U115" s="4"/>
      <c r="V115" s="4"/>
      <c r="W115" s="4">
        <v>20.18</v>
      </c>
      <c r="X115" s="4">
        <v>1</v>
      </c>
      <c r="Y115" s="4">
        <v>20.18</v>
      </c>
      <c r="Z115" s="4"/>
      <c r="AA115" s="4"/>
      <c r="AB115" s="4"/>
    </row>
    <row r="116" spans="1:206">
      <c r="A116" s="4">
        <v>50</v>
      </c>
      <c r="B116" s="4">
        <v>0</v>
      </c>
      <c r="C116" s="4">
        <v>0</v>
      </c>
      <c r="D116" s="4">
        <v>1</v>
      </c>
      <c r="E116" s="4">
        <v>233</v>
      </c>
      <c r="F116" s="4">
        <f>ROUND(Source!BD91,O116)</f>
        <v>0</v>
      </c>
      <c r="G116" s="4" t="s">
        <v>100</v>
      </c>
      <c r="H116" s="4" t="s">
        <v>101</v>
      </c>
      <c r="I116" s="4"/>
      <c r="J116" s="4"/>
      <c r="K116" s="4">
        <v>233</v>
      </c>
      <c r="L116" s="4">
        <v>24</v>
      </c>
      <c r="M116" s="4">
        <v>3</v>
      </c>
      <c r="N116" s="4" t="s">
        <v>3</v>
      </c>
      <c r="O116" s="4">
        <v>2</v>
      </c>
      <c r="P116" s="4"/>
      <c r="Q116" s="4"/>
      <c r="R116" s="4"/>
      <c r="S116" s="4"/>
      <c r="T116" s="4"/>
      <c r="U116" s="4"/>
      <c r="V116" s="4"/>
      <c r="W116" s="4">
        <v>0</v>
      </c>
      <c r="X116" s="4">
        <v>1</v>
      </c>
      <c r="Y116" s="4">
        <v>0</v>
      </c>
      <c r="Z116" s="4"/>
      <c r="AA116" s="4"/>
      <c r="AB116" s="4"/>
    </row>
    <row r="117" spans="1:206">
      <c r="A117" s="4">
        <v>50</v>
      </c>
      <c r="B117" s="4">
        <v>0</v>
      </c>
      <c r="C117" s="4">
        <v>0</v>
      </c>
      <c r="D117" s="4">
        <v>1</v>
      </c>
      <c r="E117" s="4">
        <v>210</v>
      </c>
      <c r="F117" s="4">
        <f>ROUND(Source!X91,O117)</f>
        <v>95008.639999999999</v>
      </c>
      <c r="G117" s="4" t="s">
        <v>102</v>
      </c>
      <c r="H117" s="4" t="s">
        <v>103</v>
      </c>
      <c r="I117" s="4"/>
      <c r="J117" s="4"/>
      <c r="K117" s="4">
        <v>210</v>
      </c>
      <c r="L117" s="4">
        <v>25</v>
      </c>
      <c r="M117" s="4">
        <v>3</v>
      </c>
      <c r="N117" s="4" t="s">
        <v>3</v>
      </c>
      <c r="O117" s="4">
        <v>2</v>
      </c>
      <c r="P117" s="4"/>
      <c r="Q117" s="4"/>
      <c r="R117" s="4"/>
      <c r="S117" s="4"/>
      <c r="T117" s="4"/>
      <c r="U117" s="4"/>
      <c r="V117" s="4"/>
      <c r="W117" s="4">
        <v>95008.639999999999</v>
      </c>
      <c r="X117" s="4">
        <v>1</v>
      </c>
      <c r="Y117" s="4">
        <v>95008.639999999999</v>
      </c>
      <c r="Z117" s="4"/>
      <c r="AA117" s="4"/>
      <c r="AB117" s="4"/>
    </row>
    <row r="118" spans="1:206">
      <c r="A118" s="4">
        <v>50</v>
      </c>
      <c r="B118" s="4">
        <v>0</v>
      </c>
      <c r="C118" s="4">
        <v>0</v>
      </c>
      <c r="D118" s="4">
        <v>1</v>
      </c>
      <c r="E118" s="4">
        <v>211</v>
      </c>
      <c r="F118" s="4">
        <f>ROUND(Source!Y91,O118)</f>
        <v>48477.5</v>
      </c>
      <c r="G118" s="4" t="s">
        <v>104</v>
      </c>
      <c r="H118" s="4" t="s">
        <v>105</v>
      </c>
      <c r="I118" s="4"/>
      <c r="J118" s="4"/>
      <c r="K118" s="4">
        <v>211</v>
      </c>
      <c r="L118" s="4">
        <v>26</v>
      </c>
      <c r="M118" s="4">
        <v>3</v>
      </c>
      <c r="N118" s="4" t="s">
        <v>3</v>
      </c>
      <c r="O118" s="4">
        <v>2</v>
      </c>
      <c r="P118" s="4"/>
      <c r="Q118" s="4"/>
      <c r="R118" s="4"/>
      <c r="S118" s="4"/>
      <c r="T118" s="4"/>
      <c r="U118" s="4"/>
      <c r="V118" s="4"/>
      <c r="W118" s="4">
        <v>48477.5</v>
      </c>
      <c r="X118" s="4">
        <v>1</v>
      </c>
      <c r="Y118" s="4">
        <v>48477.5</v>
      </c>
      <c r="Z118" s="4"/>
      <c r="AA118" s="4"/>
      <c r="AB118" s="4"/>
    </row>
    <row r="119" spans="1:206">
      <c r="A119" s="4">
        <v>50</v>
      </c>
      <c r="B119" s="4">
        <v>0</v>
      </c>
      <c r="C119" s="4">
        <v>0</v>
      </c>
      <c r="D119" s="4">
        <v>1</v>
      </c>
      <c r="E119" s="4">
        <v>224</v>
      </c>
      <c r="F119" s="4">
        <f>ROUND(Source!AR91,O119)</f>
        <v>572754.67000000004</v>
      </c>
      <c r="G119" s="4" t="s">
        <v>106</v>
      </c>
      <c r="H119" s="4" t="s">
        <v>107</v>
      </c>
      <c r="I119" s="4"/>
      <c r="J119" s="4"/>
      <c r="K119" s="4">
        <v>224</v>
      </c>
      <c r="L119" s="4">
        <v>27</v>
      </c>
      <c r="M119" s="4">
        <v>3</v>
      </c>
      <c r="N119" s="4" t="s">
        <v>3</v>
      </c>
      <c r="O119" s="4">
        <v>2</v>
      </c>
      <c r="P119" s="4"/>
      <c r="Q119" s="4"/>
      <c r="R119" s="4"/>
      <c r="S119" s="4"/>
      <c r="T119" s="4"/>
      <c r="U119" s="4"/>
      <c r="V119" s="4"/>
      <c r="W119" s="4">
        <v>572754.67000000004</v>
      </c>
      <c r="X119" s="4">
        <v>1</v>
      </c>
      <c r="Y119" s="4">
        <v>572754.67000000004</v>
      </c>
      <c r="Z119" s="4"/>
      <c r="AA119" s="4"/>
      <c r="AB119" s="4"/>
    </row>
    <row r="121" spans="1:206">
      <c r="A121" s="2">
        <v>51</v>
      </c>
      <c r="B121" s="2">
        <f>B65</f>
        <v>1</v>
      </c>
      <c r="C121" s="2">
        <f>A65</f>
        <v>4</v>
      </c>
      <c r="D121" s="2">
        <f>ROW(A65)</f>
        <v>65</v>
      </c>
      <c r="E121" s="2"/>
      <c r="F121" s="2" t="str">
        <f>IF(F65&lt;&gt;"",F65,"")</f>
        <v>Новый раздел</v>
      </c>
      <c r="G121" s="2" t="str">
        <f>IF(G65&lt;&gt;"",G65,"")</f>
        <v>Монтаж</v>
      </c>
      <c r="H121" s="2">
        <v>0</v>
      </c>
      <c r="I121" s="2"/>
      <c r="J121" s="2"/>
      <c r="K121" s="2"/>
      <c r="L121" s="2"/>
      <c r="M121" s="2"/>
      <c r="N121" s="2"/>
      <c r="O121" s="2">
        <f t="shared" ref="O121:T121" si="110">ROUND(O91+AB121,2)</f>
        <v>429268.53</v>
      </c>
      <c r="P121" s="2">
        <f t="shared" si="110"/>
        <v>325487.63</v>
      </c>
      <c r="Q121" s="2">
        <f t="shared" si="110"/>
        <v>6839.72</v>
      </c>
      <c r="R121" s="2">
        <f t="shared" si="110"/>
        <v>3070.52</v>
      </c>
      <c r="S121" s="2">
        <f t="shared" si="110"/>
        <v>96941.18</v>
      </c>
      <c r="T121" s="2">
        <f t="shared" si="110"/>
        <v>0</v>
      </c>
      <c r="U121" s="2">
        <f>U91+AH121</f>
        <v>334.28727049999998</v>
      </c>
      <c r="V121" s="2">
        <f>V91+AI121</f>
        <v>8.6663899999999998</v>
      </c>
      <c r="W121" s="2">
        <f>ROUND(W91+AJ121,2)</f>
        <v>20.18</v>
      </c>
      <c r="X121" s="2">
        <f>ROUND(X91+AK121,2)</f>
        <v>95008.639999999999</v>
      </c>
      <c r="Y121" s="2">
        <f>ROUND(Y91+AL121,2)</f>
        <v>48477.5</v>
      </c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>
        <f t="shared" ref="AO121:BD121" si="111">ROUND(AO91+BX121,2)</f>
        <v>0</v>
      </c>
      <c r="AP121" s="2">
        <f t="shared" si="111"/>
        <v>0</v>
      </c>
      <c r="AQ121" s="2">
        <f t="shared" si="111"/>
        <v>0</v>
      </c>
      <c r="AR121" s="2">
        <f t="shared" si="111"/>
        <v>572754.67000000004</v>
      </c>
      <c r="AS121" s="2">
        <f t="shared" si="111"/>
        <v>572754.67000000004</v>
      </c>
      <c r="AT121" s="2">
        <f t="shared" si="111"/>
        <v>0</v>
      </c>
      <c r="AU121" s="2">
        <f t="shared" si="111"/>
        <v>0</v>
      </c>
      <c r="AV121" s="2">
        <f t="shared" si="111"/>
        <v>325487.63</v>
      </c>
      <c r="AW121" s="2">
        <f t="shared" si="111"/>
        <v>325487.63</v>
      </c>
      <c r="AX121" s="2">
        <f t="shared" si="111"/>
        <v>0</v>
      </c>
      <c r="AY121" s="2">
        <f t="shared" si="111"/>
        <v>325487.63</v>
      </c>
      <c r="AZ121" s="2">
        <f t="shared" si="111"/>
        <v>0</v>
      </c>
      <c r="BA121" s="2">
        <f t="shared" si="111"/>
        <v>0</v>
      </c>
      <c r="BB121" s="2">
        <f t="shared" si="111"/>
        <v>0</v>
      </c>
      <c r="BC121" s="2">
        <f t="shared" si="111"/>
        <v>0</v>
      </c>
      <c r="BD121" s="2">
        <f t="shared" si="111"/>
        <v>0</v>
      </c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>
        <v>0</v>
      </c>
    </row>
    <row r="123" spans="1:206">
      <c r="A123" s="4">
        <v>50</v>
      </c>
      <c r="B123" s="4">
        <v>0</v>
      </c>
      <c r="C123" s="4">
        <v>0</v>
      </c>
      <c r="D123" s="4">
        <v>1</v>
      </c>
      <c r="E123" s="4">
        <v>201</v>
      </c>
      <c r="F123" s="4">
        <f>ROUND(Source!O121,O123)</f>
        <v>429268.53</v>
      </c>
      <c r="G123" s="4" t="s">
        <v>54</v>
      </c>
      <c r="H123" s="4" t="s">
        <v>55</v>
      </c>
      <c r="I123" s="4"/>
      <c r="J123" s="4"/>
      <c r="K123" s="4">
        <v>201</v>
      </c>
      <c r="L123" s="4">
        <v>1</v>
      </c>
      <c r="M123" s="4">
        <v>3</v>
      </c>
      <c r="N123" s="4" t="s">
        <v>3</v>
      </c>
      <c r="O123" s="4">
        <v>2</v>
      </c>
      <c r="P123" s="4"/>
      <c r="Q123" s="4"/>
      <c r="R123" s="4"/>
      <c r="S123" s="4"/>
      <c r="T123" s="4"/>
      <c r="U123" s="4"/>
      <c r="V123" s="4"/>
      <c r="W123" s="4">
        <v>429268.53</v>
      </c>
      <c r="X123" s="4">
        <v>1</v>
      </c>
      <c r="Y123" s="4">
        <v>429268.53</v>
      </c>
      <c r="Z123" s="4"/>
      <c r="AA123" s="4"/>
      <c r="AB123" s="4"/>
    </row>
    <row r="124" spans="1:206">
      <c r="A124" s="4">
        <v>50</v>
      </c>
      <c r="B124" s="4">
        <v>0</v>
      </c>
      <c r="C124" s="4">
        <v>0</v>
      </c>
      <c r="D124" s="4">
        <v>1</v>
      </c>
      <c r="E124" s="4">
        <v>202</v>
      </c>
      <c r="F124" s="4">
        <f>ROUND(Source!P121,O124)</f>
        <v>325487.63</v>
      </c>
      <c r="G124" s="4" t="s">
        <v>56</v>
      </c>
      <c r="H124" s="4" t="s">
        <v>57</v>
      </c>
      <c r="I124" s="4"/>
      <c r="J124" s="4"/>
      <c r="K124" s="4">
        <v>202</v>
      </c>
      <c r="L124" s="4">
        <v>2</v>
      </c>
      <c r="M124" s="4">
        <v>3</v>
      </c>
      <c r="N124" s="4" t="s">
        <v>3</v>
      </c>
      <c r="O124" s="4">
        <v>2</v>
      </c>
      <c r="P124" s="4"/>
      <c r="Q124" s="4"/>
      <c r="R124" s="4"/>
      <c r="S124" s="4"/>
      <c r="T124" s="4"/>
      <c r="U124" s="4"/>
      <c r="V124" s="4"/>
      <c r="W124" s="4">
        <v>325487.63</v>
      </c>
      <c r="X124" s="4">
        <v>1</v>
      </c>
      <c r="Y124" s="4">
        <v>325487.63</v>
      </c>
      <c r="Z124" s="4"/>
      <c r="AA124" s="4"/>
      <c r="AB124" s="4"/>
    </row>
    <row r="125" spans="1:206">
      <c r="A125" s="4">
        <v>50</v>
      </c>
      <c r="B125" s="4">
        <v>0</v>
      </c>
      <c r="C125" s="4">
        <v>0</v>
      </c>
      <c r="D125" s="4">
        <v>1</v>
      </c>
      <c r="E125" s="4">
        <v>222</v>
      </c>
      <c r="F125" s="4">
        <f>ROUND(Source!AO121,O125)</f>
        <v>0</v>
      </c>
      <c r="G125" s="4" t="s">
        <v>58</v>
      </c>
      <c r="H125" s="4" t="s">
        <v>59</v>
      </c>
      <c r="I125" s="4"/>
      <c r="J125" s="4"/>
      <c r="K125" s="4">
        <v>222</v>
      </c>
      <c r="L125" s="4">
        <v>3</v>
      </c>
      <c r="M125" s="4">
        <v>3</v>
      </c>
      <c r="N125" s="4" t="s">
        <v>3</v>
      </c>
      <c r="O125" s="4">
        <v>2</v>
      </c>
      <c r="P125" s="4"/>
      <c r="Q125" s="4"/>
      <c r="R125" s="4"/>
      <c r="S125" s="4"/>
      <c r="T125" s="4"/>
      <c r="U125" s="4"/>
      <c r="V125" s="4"/>
      <c r="W125" s="4">
        <v>0</v>
      </c>
      <c r="X125" s="4">
        <v>1</v>
      </c>
      <c r="Y125" s="4">
        <v>0</v>
      </c>
      <c r="Z125" s="4"/>
      <c r="AA125" s="4"/>
      <c r="AB125" s="4"/>
    </row>
    <row r="126" spans="1:206">
      <c r="A126" s="4">
        <v>50</v>
      </c>
      <c r="B126" s="4">
        <v>0</v>
      </c>
      <c r="C126" s="4">
        <v>0</v>
      </c>
      <c r="D126" s="4">
        <v>1</v>
      </c>
      <c r="E126" s="4">
        <v>225</v>
      </c>
      <c r="F126" s="4">
        <f>ROUND(Source!AV121,O126)</f>
        <v>325487.63</v>
      </c>
      <c r="G126" s="4" t="s">
        <v>60</v>
      </c>
      <c r="H126" s="4" t="s">
        <v>61</v>
      </c>
      <c r="I126" s="4"/>
      <c r="J126" s="4"/>
      <c r="K126" s="4">
        <v>225</v>
      </c>
      <c r="L126" s="4">
        <v>4</v>
      </c>
      <c r="M126" s="4">
        <v>3</v>
      </c>
      <c r="N126" s="4" t="s">
        <v>3</v>
      </c>
      <c r="O126" s="4">
        <v>2</v>
      </c>
      <c r="P126" s="4"/>
      <c r="Q126" s="4"/>
      <c r="R126" s="4"/>
      <c r="S126" s="4"/>
      <c r="T126" s="4"/>
      <c r="U126" s="4"/>
      <c r="V126" s="4"/>
      <c r="W126" s="4">
        <v>325487.63</v>
      </c>
      <c r="X126" s="4">
        <v>1</v>
      </c>
      <c r="Y126" s="4">
        <v>325487.63</v>
      </c>
      <c r="Z126" s="4"/>
      <c r="AA126" s="4"/>
      <c r="AB126" s="4"/>
    </row>
    <row r="127" spans="1:206">
      <c r="A127" s="4">
        <v>50</v>
      </c>
      <c r="B127" s="4">
        <v>0</v>
      </c>
      <c r="C127" s="4">
        <v>0</v>
      </c>
      <c r="D127" s="4">
        <v>1</v>
      </c>
      <c r="E127" s="4">
        <v>226</v>
      </c>
      <c r="F127" s="4">
        <f>ROUND(Source!AW121,O127)</f>
        <v>325487.63</v>
      </c>
      <c r="G127" s="4" t="s">
        <v>62</v>
      </c>
      <c r="H127" s="4" t="s">
        <v>63</v>
      </c>
      <c r="I127" s="4"/>
      <c r="J127" s="4"/>
      <c r="K127" s="4">
        <v>226</v>
      </c>
      <c r="L127" s="4">
        <v>5</v>
      </c>
      <c r="M127" s="4">
        <v>3</v>
      </c>
      <c r="N127" s="4" t="s">
        <v>3</v>
      </c>
      <c r="O127" s="4">
        <v>2</v>
      </c>
      <c r="P127" s="4"/>
      <c r="Q127" s="4"/>
      <c r="R127" s="4"/>
      <c r="S127" s="4"/>
      <c r="T127" s="4"/>
      <c r="U127" s="4"/>
      <c r="V127" s="4"/>
      <c r="W127" s="4">
        <v>325487.63</v>
      </c>
      <c r="X127" s="4">
        <v>1</v>
      </c>
      <c r="Y127" s="4">
        <v>325487.63</v>
      </c>
      <c r="Z127" s="4"/>
      <c r="AA127" s="4"/>
      <c r="AB127" s="4"/>
    </row>
    <row r="128" spans="1:206">
      <c r="A128" s="4">
        <v>50</v>
      </c>
      <c r="B128" s="4">
        <v>0</v>
      </c>
      <c r="C128" s="4">
        <v>0</v>
      </c>
      <c r="D128" s="4">
        <v>1</v>
      </c>
      <c r="E128" s="4">
        <v>227</v>
      </c>
      <c r="F128" s="4">
        <f>ROUND(Source!AX121,O128)</f>
        <v>0</v>
      </c>
      <c r="G128" s="4" t="s">
        <v>64</v>
      </c>
      <c r="H128" s="4" t="s">
        <v>65</v>
      </c>
      <c r="I128" s="4"/>
      <c r="J128" s="4"/>
      <c r="K128" s="4">
        <v>227</v>
      </c>
      <c r="L128" s="4">
        <v>6</v>
      </c>
      <c r="M128" s="4">
        <v>3</v>
      </c>
      <c r="N128" s="4" t="s">
        <v>3</v>
      </c>
      <c r="O128" s="4">
        <v>2</v>
      </c>
      <c r="P128" s="4"/>
      <c r="Q128" s="4"/>
      <c r="R128" s="4"/>
      <c r="S128" s="4"/>
      <c r="T128" s="4"/>
      <c r="U128" s="4"/>
      <c r="V128" s="4"/>
      <c r="W128" s="4">
        <v>0</v>
      </c>
      <c r="X128" s="4">
        <v>1</v>
      </c>
      <c r="Y128" s="4">
        <v>0</v>
      </c>
      <c r="Z128" s="4"/>
      <c r="AA128" s="4"/>
      <c r="AB128" s="4"/>
    </row>
    <row r="129" spans="1:28">
      <c r="A129" s="4">
        <v>50</v>
      </c>
      <c r="B129" s="4">
        <v>0</v>
      </c>
      <c r="C129" s="4">
        <v>0</v>
      </c>
      <c r="D129" s="4">
        <v>1</v>
      </c>
      <c r="E129" s="4">
        <v>228</v>
      </c>
      <c r="F129" s="4">
        <f>ROUND(Source!AY121,O129)</f>
        <v>325487.63</v>
      </c>
      <c r="G129" s="4" t="s">
        <v>66</v>
      </c>
      <c r="H129" s="4" t="s">
        <v>67</v>
      </c>
      <c r="I129" s="4"/>
      <c r="J129" s="4"/>
      <c r="K129" s="4">
        <v>228</v>
      </c>
      <c r="L129" s="4">
        <v>7</v>
      </c>
      <c r="M129" s="4">
        <v>3</v>
      </c>
      <c r="N129" s="4" t="s">
        <v>3</v>
      </c>
      <c r="O129" s="4">
        <v>2</v>
      </c>
      <c r="P129" s="4"/>
      <c r="Q129" s="4"/>
      <c r="R129" s="4"/>
      <c r="S129" s="4"/>
      <c r="T129" s="4"/>
      <c r="U129" s="4"/>
      <c r="V129" s="4"/>
      <c r="W129" s="4">
        <v>325487.63</v>
      </c>
      <c r="X129" s="4">
        <v>1</v>
      </c>
      <c r="Y129" s="4">
        <v>325487.63</v>
      </c>
      <c r="Z129" s="4"/>
      <c r="AA129" s="4"/>
      <c r="AB129" s="4"/>
    </row>
    <row r="130" spans="1:28">
      <c r="A130" s="4">
        <v>50</v>
      </c>
      <c r="B130" s="4">
        <v>0</v>
      </c>
      <c r="C130" s="4">
        <v>0</v>
      </c>
      <c r="D130" s="4">
        <v>1</v>
      </c>
      <c r="E130" s="4">
        <v>216</v>
      </c>
      <c r="F130" s="4">
        <f>ROUND(Source!AP121,O130)</f>
        <v>0</v>
      </c>
      <c r="G130" s="4" t="s">
        <v>68</v>
      </c>
      <c r="H130" s="4" t="s">
        <v>69</v>
      </c>
      <c r="I130" s="4"/>
      <c r="J130" s="4"/>
      <c r="K130" s="4">
        <v>216</v>
      </c>
      <c r="L130" s="4">
        <v>8</v>
      </c>
      <c r="M130" s="4">
        <v>3</v>
      </c>
      <c r="N130" s="4" t="s">
        <v>3</v>
      </c>
      <c r="O130" s="4">
        <v>2</v>
      </c>
      <c r="P130" s="4"/>
      <c r="Q130" s="4"/>
      <c r="R130" s="4"/>
      <c r="S130" s="4"/>
      <c r="T130" s="4"/>
      <c r="U130" s="4"/>
      <c r="V130" s="4"/>
      <c r="W130" s="4">
        <v>0</v>
      </c>
      <c r="X130" s="4">
        <v>1</v>
      </c>
      <c r="Y130" s="4">
        <v>0</v>
      </c>
      <c r="Z130" s="4"/>
      <c r="AA130" s="4"/>
      <c r="AB130" s="4"/>
    </row>
    <row r="131" spans="1:28">
      <c r="A131" s="4">
        <v>50</v>
      </c>
      <c r="B131" s="4">
        <v>0</v>
      </c>
      <c r="C131" s="4">
        <v>0</v>
      </c>
      <c r="D131" s="4">
        <v>1</v>
      </c>
      <c r="E131" s="4">
        <v>223</v>
      </c>
      <c r="F131" s="4">
        <f>ROUND(Source!AQ121,O131)</f>
        <v>0</v>
      </c>
      <c r="G131" s="4" t="s">
        <v>70</v>
      </c>
      <c r="H131" s="4" t="s">
        <v>71</v>
      </c>
      <c r="I131" s="4"/>
      <c r="J131" s="4"/>
      <c r="K131" s="4">
        <v>223</v>
      </c>
      <c r="L131" s="4">
        <v>9</v>
      </c>
      <c r="M131" s="4">
        <v>3</v>
      </c>
      <c r="N131" s="4" t="s">
        <v>3</v>
      </c>
      <c r="O131" s="4">
        <v>2</v>
      </c>
      <c r="P131" s="4"/>
      <c r="Q131" s="4"/>
      <c r="R131" s="4"/>
      <c r="S131" s="4"/>
      <c r="T131" s="4"/>
      <c r="U131" s="4"/>
      <c r="V131" s="4"/>
      <c r="W131" s="4">
        <v>0</v>
      </c>
      <c r="X131" s="4">
        <v>1</v>
      </c>
      <c r="Y131" s="4">
        <v>0</v>
      </c>
      <c r="Z131" s="4"/>
      <c r="AA131" s="4"/>
      <c r="AB131" s="4"/>
    </row>
    <row r="132" spans="1:28">
      <c r="A132" s="4">
        <v>50</v>
      </c>
      <c r="B132" s="4">
        <v>0</v>
      </c>
      <c r="C132" s="4">
        <v>0</v>
      </c>
      <c r="D132" s="4">
        <v>1</v>
      </c>
      <c r="E132" s="4">
        <v>229</v>
      </c>
      <c r="F132" s="4">
        <f>ROUND(Source!AZ121,O132)</f>
        <v>0</v>
      </c>
      <c r="G132" s="4" t="s">
        <v>72</v>
      </c>
      <c r="H132" s="4" t="s">
        <v>73</v>
      </c>
      <c r="I132" s="4"/>
      <c r="J132" s="4"/>
      <c r="K132" s="4">
        <v>229</v>
      </c>
      <c r="L132" s="4">
        <v>10</v>
      </c>
      <c r="M132" s="4">
        <v>3</v>
      </c>
      <c r="N132" s="4" t="s">
        <v>3</v>
      </c>
      <c r="O132" s="4">
        <v>2</v>
      </c>
      <c r="P132" s="4"/>
      <c r="Q132" s="4"/>
      <c r="R132" s="4"/>
      <c r="S132" s="4"/>
      <c r="T132" s="4"/>
      <c r="U132" s="4"/>
      <c r="V132" s="4"/>
      <c r="W132" s="4">
        <v>0</v>
      </c>
      <c r="X132" s="4">
        <v>1</v>
      </c>
      <c r="Y132" s="4">
        <v>0</v>
      </c>
      <c r="Z132" s="4"/>
      <c r="AA132" s="4"/>
      <c r="AB132" s="4"/>
    </row>
    <row r="133" spans="1:28">
      <c r="A133" s="4">
        <v>50</v>
      </c>
      <c r="B133" s="4">
        <v>0</v>
      </c>
      <c r="C133" s="4">
        <v>0</v>
      </c>
      <c r="D133" s="4">
        <v>1</v>
      </c>
      <c r="E133" s="4">
        <v>203</v>
      </c>
      <c r="F133" s="4">
        <f>ROUND(Source!Q121,O133)</f>
        <v>6839.72</v>
      </c>
      <c r="G133" s="4" t="s">
        <v>74</v>
      </c>
      <c r="H133" s="4" t="s">
        <v>75</v>
      </c>
      <c r="I133" s="4"/>
      <c r="J133" s="4"/>
      <c r="K133" s="4">
        <v>203</v>
      </c>
      <c r="L133" s="4">
        <v>11</v>
      </c>
      <c r="M133" s="4">
        <v>3</v>
      </c>
      <c r="N133" s="4" t="s">
        <v>3</v>
      </c>
      <c r="O133" s="4">
        <v>2</v>
      </c>
      <c r="P133" s="4"/>
      <c r="Q133" s="4"/>
      <c r="R133" s="4"/>
      <c r="S133" s="4"/>
      <c r="T133" s="4"/>
      <c r="U133" s="4"/>
      <c r="V133" s="4"/>
      <c r="W133" s="4">
        <v>6839.72</v>
      </c>
      <c r="X133" s="4">
        <v>1</v>
      </c>
      <c r="Y133" s="4">
        <v>6839.72</v>
      </c>
      <c r="Z133" s="4"/>
      <c r="AA133" s="4"/>
      <c r="AB133" s="4"/>
    </row>
    <row r="134" spans="1:28">
      <c r="A134" s="4">
        <v>50</v>
      </c>
      <c r="B134" s="4">
        <v>0</v>
      </c>
      <c r="C134" s="4">
        <v>0</v>
      </c>
      <c r="D134" s="4">
        <v>1</v>
      </c>
      <c r="E134" s="4">
        <v>231</v>
      </c>
      <c r="F134" s="4">
        <f>ROUND(Source!BB121,O134)</f>
        <v>0</v>
      </c>
      <c r="G134" s="4" t="s">
        <v>76</v>
      </c>
      <c r="H134" s="4" t="s">
        <v>77</v>
      </c>
      <c r="I134" s="4"/>
      <c r="J134" s="4"/>
      <c r="K134" s="4">
        <v>231</v>
      </c>
      <c r="L134" s="4">
        <v>12</v>
      </c>
      <c r="M134" s="4">
        <v>3</v>
      </c>
      <c r="N134" s="4" t="s">
        <v>3</v>
      </c>
      <c r="O134" s="4">
        <v>2</v>
      </c>
      <c r="P134" s="4"/>
      <c r="Q134" s="4"/>
      <c r="R134" s="4"/>
      <c r="S134" s="4"/>
      <c r="T134" s="4"/>
      <c r="U134" s="4"/>
      <c r="V134" s="4"/>
      <c r="W134" s="4">
        <v>0</v>
      </c>
      <c r="X134" s="4">
        <v>1</v>
      </c>
      <c r="Y134" s="4">
        <v>0</v>
      </c>
      <c r="Z134" s="4"/>
      <c r="AA134" s="4"/>
      <c r="AB134" s="4"/>
    </row>
    <row r="135" spans="1:28">
      <c r="A135" s="4">
        <v>50</v>
      </c>
      <c r="B135" s="4">
        <v>0</v>
      </c>
      <c r="C135" s="4">
        <v>0</v>
      </c>
      <c r="D135" s="4">
        <v>1</v>
      </c>
      <c r="E135" s="4">
        <v>204</v>
      </c>
      <c r="F135" s="4">
        <f>ROUND(Source!R121,O135)</f>
        <v>3070.52</v>
      </c>
      <c r="G135" s="4" t="s">
        <v>78</v>
      </c>
      <c r="H135" s="4" t="s">
        <v>79</v>
      </c>
      <c r="I135" s="4"/>
      <c r="J135" s="4"/>
      <c r="K135" s="4">
        <v>204</v>
      </c>
      <c r="L135" s="4">
        <v>13</v>
      </c>
      <c r="M135" s="4">
        <v>3</v>
      </c>
      <c r="N135" s="4" t="s">
        <v>3</v>
      </c>
      <c r="O135" s="4">
        <v>2</v>
      </c>
      <c r="P135" s="4"/>
      <c r="Q135" s="4"/>
      <c r="R135" s="4"/>
      <c r="S135" s="4"/>
      <c r="T135" s="4"/>
      <c r="U135" s="4"/>
      <c r="V135" s="4"/>
      <c r="W135" s="4">
        <v>3070.52</v>
      </c>
      <c r="X135" s="4">
        <v>1</v>
      </c>
      <c r="Y135" s="4">
        <v>3070.52</v>
      </c>
      <c r="Z135" s="4"/>
      <c r="AA135" s="4"/>
      <c r="AB135" s="4"/>
    </row>
    <row r="136" spans="1:28">
      <c r="A136" s="4">
        <v>50</v>
      </c>
      <c r="B136" s="4">
        <v>0</v>
      </c>
      <c r="C136" s="4">
        <v>0</v>
      </c>
      <c r="D136" s="4">
        <v>1</v>
      </c>
      <c r="E136" s="4">
        <v>205</v>
      </c>
      <c r="F136" s="4">
        <f>ROUND(Source!S121,O136)</f>
        <v>96941.18</v>
      </c>
      <c r="G136" s="4" t="s">
        <v>80</v>
      </c>
      <c r="H136" s="4" t="s">
        <v>81</v>
      </c>
      <c r="I136" s="4"/>
      <c r="J136" s="4"/>
      <c r="K136" s="4">
        <v>205</v>
      </c>
      <c r="L136" s="4">
        <v>14</v>
      </c>
      <c r="M136" s="4">
        <v>3</v>
      </c>
      <c r="N136" s="4" t="s">
        <v>3</v>
      </c>
      <c r="O136" s="4">
        <v>2</v>
      </c>
      <c r="P136" s="4"/>
      <c r="Q136" s="4"/>
      <c r="R136" s="4"/>
      <c r="S136" s="4"/>
      <c r="T136" s="4"/>
      <c r="U136" s="4"/>
      <c r="V136" s="4"/>
      <c r="W136" s="4">
        <v>96941.18</v>
      </c>
      <c r="X136" s="4">
        <v>1</v>
      </c>
      <c r="Y136" s="4">
        <v>96941.18</v>
      </c>
      <c r="Z136" s="4"/>
      <c r="AA136" s="4"/>
      <c r="AB136" s="4"/>
    </row>
    <row r="137" spans="1:28">
      <c r="A137" s="4">
        <v>50</v>
      </c>
      <c r="B137" s="4">
        <v>0</v>
      </c>
      <c r="C137" s="4">
        <v>0</v>
      </c>
      <c r="D137" s="4">
        <v>1</v>
      </c>
      <c r="E137" s="4">
        <v>232</v>
      </c>
      <c r="F137" s="4">
        <f>ROUND(Source!BC121,O137)</f>
        <v>0</v>
      </c>
      <c r="G137" s="4" t="s">
        <v>82</v>
      </c>
      <c r="H137" s="4" t="s">
        <v>83</v>
      </c>
      <c r="I137" s="4"/>
      <c r="J137" s="4"/>
      <c r="K137" s="4">
        <v>232</v>
      </c>
      <c r="L137" s="4">
        <v>15</v>
      </c>
      <c r="M137" s="4">
        <v>3</v>
      </c>
      <c r="N137" s="4" t="s">
        <v>3</v>
      </c>
      <c r="O137" s="4">
        <v>2</v>
      </c>
      <c r="P137" s="4"/>
      <c r="Q137" s="4"/>
      <c r="R137" s="4"/>
      <c r="S137" s="4"/>
      <c r="T137" s="4"/>
      <c r="U137" s="4"/>
      <c r="V137" s="4"/>
      <c r="W137" s="4">
        <v>0</v>
      </c>
      <c r="X137" s="4">
        <v>1</v>
      </c>
      <c r="Y137" s="4">
        <v>0</v>
      </c>
      <c r="Z137" s="4"/>
      <c r="AA137" s="4"/>
      <c r="AB137" s="4"/>
    </row>
    <row r="138" spans="1:28">
      <c r="A138" s="4">
        <v>50</v>
      </c>
      <c r="B138" s="4">
        <v>0</v>
      </c>
      <c r="C138" s="4">
        <v>0</v>
      </c>
      <c r="D138" s="4">
        <v>1</v>
      </c>
      <c r="E138" s="4">
        <v>214</v>
      </c>
      <c r="F138" s="4">
        <f>ROUND(Source!AS121,O138)</f>
        <v>572754.67000000004</v>
      </c>
      <c r="G138" s="4" t="s">
        <v>84</v>
      </c>
      <c r="H138" s="4" t="s">
        <v>85</v>
      </c>
      <c r="I138" s="4"/>
      <c r="J138" s="4"/>
      <c r="K138" s="4">
        <v>214</v>
      </c>
      <c r="L138" s="4">
        <v>16</v>
      </c>
      <c r="M138" s="4">
        <v>3</v>
      </c>
      <c r="N138" s="4" t="s">
        <v>3</v>
      </c>
      <c r="O138" s="4">
        <v>2</v>
      </c>
      <c r="P138" s="4"/>
      <c r="Q138" s="4"/>
      <c r="R138" s="4"/>
      <c r="S138" s="4"/>
      <c r="T138" s="4"/>
      <c r="U138" s="4"/>
      <c r="V138" s="4"/>
      <c r="W138" s="4">
        <v>572754.67000000004</v>
      </c>
      <c r="X138" s="4">
        <v>1</v>
      </c>
      <c r="Y138" s="4">
        <v>572754.67000000004</v>
      </c>
      <c r="Z138" s="4"/>
      <c r="AA138" s="4"/>
      <c r="AB138" s="4"/>
    </row>
    <row r="139" spans="1:28">
      <c r="A139" s="4">
        <v>50</v>
      </c>
      <c r="B139" s="4">
        <v>0</v>
      </c>
      <c r="C139" s="4">
        <v>0</v>
      </c>
      <c r="D139" s="4">
        <v>1</v>
      </c>
      <c r="E139" s="4">
        <v>215</v>
      </c>
      <c r="F139" s="4">
        <f>ROUND(Source!AT121,O139)</f>
        <v>0</v>
      </c>
      <c r="G139" s="4" t="s">
        <v>86</v>
      </c>
      <c r="H139" s="4" t="s">
        <v>87</v>
      </c>
      <c r="I139" s="4"/>
      <c r="J139" s="4"/>
      <c r="K139" s="4">
        <v>215</v>
      </c>
      <c r="L139" s="4">
        <v>17</v>
      </c>
      <c r="M139" s="4">
        <v>3</v>
      </c>
      <c r="N139" s="4" t="s">
        <v>3</v>
      </c>
      <c r="O139" s="4">
        <v>2</v>
      </c>
      <c r="P139" s="4"/>
      <c r="Q139" s="4"/>
      <c r="R139" s="4"/>
      <c r="S139" s="4"/>
      <c r="T139" s="4"/>
      <c r="U139" s="4"/>
      <c r="V139" s="4"/>
      <c r="W139" s="4">
        <v>0</v>
      </c>
      <c r="X139" s="4">
        <v>1</v>
      </c>
      <c r="Y139" s="4">
        <v>0</v>
      </c>
      <c r="Z139" s="4"/>
      <c r="AA139" s="4"/>
      <c r="AB139" s="4"/>
    </row>
    <row r="140" spans="1:28">
      <c r="A140" s="4">
        <v>50</v>
      </c>
      <c r="B140" s="4">
        <v>0</v>
      </c>
      <c r="C140" s="4">
        <v>0</v>
      </c>
      <c r="D140" s="4">
        <v>1</v>
      </c>
      <c r="E140" s="4">
        <v>217</v>
      </c>
      <c r="F140" s="4">
        <f>ROUND(Source!AU121,O140)</f>
        <v>0</v>
      </c>
      <c r="G140" s="4" t="s">
        <v>88</v>
      </c>
      <c r="H140" s="4" t="s">
        <v>89</v>
      </c>
      <c r="I140" s="4"/>
      <c r="J140" s="4"/>
      <c r="K140" s="4">
        <v>217</v>
      </c>
      <c r="L140" s="4">
        <v>18</v>
      </c>
      <c r="M140" s="4">
        <v>3</v>
      </c>
      <c r="N140" s="4" t="s">
        <v>3</v>
      </c>
      <c r="O140" s="4">
        <v>2</v>
      </c>
      <c r="P140" s="4"/>
      <c r="Q140" s="4"/>
      <c r="R140" s="4"/>
      <c r="S140" s="4"/>
      <c r="T140" s="4"/>
      <c r="U140" s="4"/>
      <c r="V140" s="4"/>
      <c r="W140" s="4">
        <v>0</v>
      </c>
      <c r="X140" s="4">
        <v>1</v>
      </c>
      <c r="Y140" s="4">
        <v>0</v>
      </c>
      <c r="Z140" s="4"/>
      <c r="AA140" s="4"/>
      <c r="AB140" s="4"/>
    </row>
    <row r="141" spans="1:28">
      <c r="A141" s="4">
        <v>50</v>
      </c>
      <c r="B141" s="4">
        <v>0</v>
      </c>
      <c r="C141" s="4">
        <v>0</v>
      </c>
      <c r="D141" s="4">
        <v>1</v>
      </c>
      <c r="E141" s="4">
        <v>230</v>
      </c>
      <c r="F141" s="4">
        <f>ROUND(Source!BA121,O141)</f>
        <v>0</v>
      </c>
      <c r="G141" s="4" t="s">
        <v>90</v>
      </c>
      <c r="H141" s="4" t="s">
        <v>91</v>
      </c>
      <c r="I141" s="4"/>
      <c r="J141" s="4"/>
      <c r="K141" s="4">
        <v>230</v>
      </c>
      <c r="L141" s="4">
        <v>19</v>
      </c>
      <c r="M141" s="4">
        <v>3</v>
      </c>
      <c r="N141" s="4" t="s">
        <v>3</v>
      </c>
      <c r="O141" s="4">
        <v>2</v>
      </c>
      <c r="P141" s="4"/>
      <c r="Q141" s="4"/>
      <c r="R141" s="4"/>
      <c r="S141" s="4"/>
      <c r="T141" s="4"/>
      <c r="U141" s="4"/>
      <c r="V141" s="4"/>
      <c r="W141" s="4">
        <v>0</v>
      </c>
      <c r="X141" s="4">
        <v>1</v>
      </c>
      <c r="Y141" s="4">
        <v>0</v>
      </c>
      <c r="Z141" s="4"/>
      <c r="AA141" s="4"/>
      <c r="AB141" s="4"/>
    </row>
    <row r="142" spans="1:28">
      <c r="A142" s="4">
        <v>50</v>
      </c>
      <c r="B142" s="4">
        <v>0</v>
      </c>
      <c r="C142" s="4">
        <v>0</v>
      </c>
      <c r="D142" s="4">
        <v>1</v>
      </c>
      <c r="E142" s="4">
        <v>206</v>
      </c>
      <c r="F142" s="4">
        <f>ROUND(Source!T121,O142)</f>
        <v>0</v>
      </c>
      <c r="G142" s="4" t="s">
        <v>92</v>
      </c>
      <c r="H142" s="4" t="s">
        <v>93</v>
      </c>
      <c r="I142" s="4"/>
      <c r="J142" s="4"/>
      <c r="K142" s="4">
        <v>206</v>
      </c>
      <c r="L142" s="4">
        <v>20</v>
      </c>
      <c r="M142" s="4">
        <v>3</v>
      </c>
      <c r="N142" s="4" t="s">
        <v>3</v>
      </c>
      <c r="O142" s="4">
        <v>2</v>
      </c>
      <c r="P142" s="4"/>
      <c r="Q142" s="4"/>
      <c r="R142" s="4"/>
      <c r="S142" s="4"/>
      <c r="T142" s="4"/>
      <c r="U142" s="4"/>
      <c r="V142" s="4"/>
      <c r="W142" s="4">
        <v>0</v>
      </c>
      <c r="X142" s="4">
        <v>1</v>
      </c>
      <c r="Y142" s="4">
        <v>0</v>
      </c>
      <c r="Z142" s="4"/>
      <c r="AA142" s="4"/>
      <c r="AB142" s="4"/>
    </row>
    <row r="143" spans="1:28">
      <c r="A143" s="4">
        <v>50</v>
      </c>
      <c r="B143" s="4">
        <v>0</v>
      </c>
      <c r="C143" s="4">
        <v>0</v>
      </c>
      <c r="D143" s="4">
        <v>1</v>
      </c>
      <c r="E143" s="4">
        <v>207</v>
      </c>
      <c r="F143" s="4">
        <f>Source!U121</f>
        <v>334.28727049999998</v>
      </c>
      <c r="G143" s="4" t="s">
        <v>94</v>
      </c>
      <c r="H143" s="4" t="s">
        <v>95</v>
      </c>
      <c r="I143" s="4"/>
      <c r="J143" s="4"/>
      <c r="K143" s="4">
        <v>207</v>
      </c>
      <c r="L143" s="4">
        <v>21</v>
      </c>
      <c r="M143" s="4">
        <v>3</v>
      </c>
      <c r="N143" s="4" t="s">
        <v>3</v>
      </c>
      <c r="O143" s="4">
        <v>-1</v>
      </c>
      <c r="P143" s="4"/>
      <c r="Q143" s="4"/>
      <c r="R143" s="4"/>
      <c r="S143" s="4"/>
      <c r="T143" s="4"/>
      <c r="U143" s="4"/>
      <c r="V143" s="4"/>
      <c r="W143" s="4">
        <v>334.28727049999998</v>
      </c>
      <c r="X143" s="4">
        <v>1</v>
      </c>
      <c r="Y143" s="4">
        <v>334.28727049999998</v>
      </c>
      <c r="Z143" s="4"/>
      <c r="AA143" s="4"/>
      <c r="AB143" s="4"/>
    </row>
    <row r="144" spans="1:28">
      <c r="A144" s="4">
        <v>50</v>
      </c>
      <c r="B144" s="4">
        <v>0</v>
      </c>
      <c r="C144" s="4">
        <v>0</v>
      </c>
      <c r="D144" s="4">
        <v>1</v>
      </c>
      <c r="E144" s="4">
        <v>208</v>
      </c>
      <c r="F144" s="4">
        <f>Source!V121</f>
        <v>8.6663899999999998</v>
      </c>
      <c r="G144" s="4" t="s">
        <v>96</v>
      </c>
      <c r="H144" s="4" t="s">
        <v>97</v>
      </c>
      <c r="I144" s="4"/>
      <c r="J144" s="4"/>
      <c r="K144" s="4">
        <v>208</v>
      </c>
      <c r="L144" s="4">
        <v>22</v>
      </c>
      <c r="M144" s="4">
        <v>3</v>
      </c>
      <c r="N144" s="4" t="s">
        <v>3</v>
      </c>
      <c r="O144" s="4">
        <v>-1</v>
      </c>
      <c r="P144" s="4"/>
      <c r="Q144" s="4"/>
      <c r="R144" s="4"/>
      <c r="S144" s="4"/>
      <c r="T144" s="4"/>
      <c r="U144" s="4"/>
      <c r="V144" s="4"/>
      <c r="W144" s="4">
        <v>8.6663899999999998</v>
      </c>
      <c r="X144" s="4">
        <v>1</v>
      </c>
      <c r="Y144" s="4">
        <v>8.6663899999999998</v>
      </c>
      <c r="Z144" s="4"/>
      <c r="AA144" s="4"/>
      <c r="AB144" s="4"/>
    </row>
    <row r="145" spans="1:245">
      <c r="A145" s="4">
        <v>50</v>
      </c>
      <c r="B145" s="4">
        <v>0</v>
      </c>
      <c r="C145" s="4">
        <v>0</v>
      </c>
      <c r="D145" s="4">
        <v>1</v>
      </c>
      <c r="E145" s="4">
        <v>209</v>
      </c>
      <c r="F145" s="4">
        <f>ROUND(Source!W121,O145)</f>
        <v>20.18</v>
      </c>
      <c r="G145" s="4" t="s">
        <v>98</v>
      </c>
      <c r="H145" s="4" t="s">
        <v>99</v>
      </c>
      <c r="I145" s="4"/>
      <c r="J145" s="4"/>
      <c r="K145" s="4">
        <v>209</v>
      </c>
      <c r="L145" s="4">
        <v>23</v>
      </c>
      <c r="M145" s="4">
        <v>3</v>
      </c>
      <c r="N145" s="4" t="s">
        <v>3</v>
      </c>
      <c r="O145" s="4">
        <v>2</v>
      </c>
      <c r="P145" s="4"/>
      <c r="Q145" s="4"/>
      <c r="R145" s="4"/>
      <c r="S145" s="4"/>
      <c r="T145" s="4"/>
      <c r="U145" s="4"/>
      <c r="V145" s="4"/>
      <c r="W145" s="4">
        <v>20.18</v>
      </c>
      <c r="X145" s="4">
        <v>1</v>
      </c>
      <c r="Y145" s="4">
        <v>20.18</v>
      </c>
      <c r="Z145" s="4"/>
      <c r="AA145" s="4"/>
      <c r="AB145" s="4"/>
    </row>
    <row r="146" spans="1:245">
      <c r="A146" s="4">
        <v>50</v>
      </c>
      <c r="B146" s="4">
        <v>0</v>
      </c>
      <c r="C146" s="4">
        <v>0</v>
      </c>
      <c r="D146" s="4">
        <v>1</v>
      </c>
      <c r="E146" s="4">
        <v>233</v>
      </c>
      <c r="F146" s="4">
        <f>ROUND(Source!BD121,O146)</f>
        <v>0</v>
      </c>
      <c r="G146" s="4" t="s">
        <v>100</v>
      </c>
      <c r="H146" s="4" t="s">
        <v>101</v>
      </c>
      <c r="I146" s="4"/>
      <c r="J146" s="4"/>
      <c r="K146" s="4">
        <v>233</v>
      </c>
      <c r="L146" s="4">
        <v>24</v>
      </c>
      <c r="M146" s="4">
        <v>3</v>
      </c>
      <c r="N146" s="4" t="s">
        <v>3</v>
      </c>
      <c r="O146" s="4">
        <v>2</v>
      </c>
      <c r="P146" s="4"/>
      <c r="Q146" s="4"/>
      <c r="R146" s="4"/>
      <c r="S146" s="4"/>
      <c r="T146" s="4"/>
      <c r="U146" s="4"/>
      <c r="V146" s="4"/>
      <c r="W146" s="4">
        <v>0</v>
      </c>
      <c r="X146" s="4">
        <v>1</v>
      </c>
      <c r="Y146" s="4">
        <v>0</v>
      </c>
      <c r="Z146" s="4"/>
      <c r="AA146" s="4"/>
      <c r="AB146" s="4"/>
    </row>
    <row r="147" spans="1:245">
      <c r="A147" s="4">
        <v>50</v>
      </c>
      <c r="B147" s="4">
        <v>0</v>
      </c>
      <c r="C147" s="4">
        <v>0</v>
      </c>
      <c r="D147" s="4">
        <v>1</v>
      </c>
      <c r="E147" s="4">
        <v>210</v>
      </c>
      <c r="F147" s="4">
        <f>ROUND(Source!X121,O147)</f>
        <v>95008.639999999999</v>
      </c>
      <c r="G147" s="4" t="s">
        <v>102</v>
      </c>
      <c r="H147" s="4" t="s">
        <v>103</v>
      </c>
      <c r="I147" s="4"/>
      <c r="J147" s="4"/>
      <c r="K147" s="4">
        <v>210</v>
      </c>
      <c r="L147" s="4">
        <v>25</v>
      </c>
      <c r="M147" s="4">
        <v>3</v>
      </c>
      <c r="N147" s="4" t="s">
        <v>3</v>
      </c>
      <c r="O147" s="4">
        <v>2</v>
      </c>
      <c r="P147" s="4"/>
      <c r="Q147" s="4"/>
      <c r="R147" s="4"/>
      <c r="S147" s="4"/>
      <c r="T147" s="4"/>
      <c r="U147" s="4"/>
      <c r="V147" s="4"/>
      <c r="W147" s="4">
        <v>95008.639999999999</v>
      </c>
      <c r="X147" s="4">
        <v>1</v>
      </c>
      <c r="Y147" s="4">
        <v>95008.639999999999</v>
      </c>
      <c r="Z147" s="4"/>
      <c r="AA147" s="4"/>
      <c r="AB147" s="4"/>
    </row>
    <row r="148" spans="1:245">
      <c r="A148" s="4">
        <v>50</v>
      </c>
      <c r="B148" s="4">
        <v>0</v>
      </c>
      <c r="C148" s="4">
        <v>0</v>
      </c>
      <c r="D148" s="4">
        <v>1</v>
      </c>
      <c r="E148" s="4">
        <v>211</v>
      </c>
      <c r="F148" s="4">
        <f>ROUND(Source!Y121,O148)</f>
        <v>48477.5</v>
      </c>
      <c r="G148" s="4" t="s">
        <v>104</v>
      </c>
      <c r="H148" s="4" t="s">
        <v>105</v>
      </c>
      <c r="I148" s="4"/>
      <c r="J148" s="4"/>
      <c r="K148" s="4">
        <v>211</v>
      </c>
      <c r="L148" s="4">
        <v>26</v>
      </c>
      <c r="M148" s="4">
        <v>3</v>
      </c>
      <c r="N148" s="4" t="s">
        <v>3</v>
      </c>
      <c r="O148" s="4">
        <v>2</v>
      </c>
      <c r="P148" s="4"/>
      <c r="Q148" s="4"/>
      <c r="R148" s="4"/>
      <c r="S148" s="4"/>
      <c r="T148" s="4"/>
      <c r="U148" s="4"/>
      <c r="V148" s="4"/>
      <c r="W148" s="4">
        <v>48477.5</v>
      </c>
      <c r="X148" s="4">
        <v>1</v>
      </c>
      <c r="Y148" s="4">
        <v>48477.5</v>
      </c>
      <c r="Z148" s="4"/>
      <c r="AA148" s="4"/>
      <c r="AB148" s="4"/>
    </row>
    <row r="149" spans="1:245">
      <c r="A149" s="4">
        <v>50</v>
      </c>
      <c r="B149" s="4">
        <v>0</v>
      </c>
      <c r="C149" s="4">
        <v>0</v>
      </c>
      <c r="D149" s="4">
        <v>1</v>
      </c>
      <c r="E149" s="4">
        <v>224</v>
      </c>
      <c r="F149" s="4">
        <f>ROUND(Source!AR121,O149)</f>
        <v>572754.67000000004</v>
      </c>
      <c r="G149" s="4" t="s">
        <v>106</v>
      </c>
      <c r="H149" s="4" t="s">
        <v>107</v>
      </c>
      <c r="I149" s="4"/>
      <c r="J149" s="4"/>
      <c r="K149" s="4">
        <v>224</v>
      </c>
      <c r="L149" s="4">
        <v>27</v>
      </c>
      <c r="M149" s="4">
        <v>3</v>
      </c>
      <c r="N149" s="4" t="s">
        <v>3</v>
      </c>
      <c r="O149" s="4">
        <v>2</v>
      </c>
      <c r="P149" s="4"/>
      <c r="Q149" s="4"/>
      <c r="R149" s="4"/>
      <c r="S149" s="4"/>
      <c r="T149" s="4"/>
      <c r="U149" s="4"/>
      <c r="V149" s="4"/>
      <c r="W149" s="4">
        <v>572754.67000000004</v>
      </c>
      <c r="X149" s="4">
        <v>1</v>
      </c>
      <c r="Y149" s="4">
        <v>572754.67000000004</v>
      </c>
      <c r="Z149" s="4"/>
      <c r="AA149" s="4"/>
      <c r="AB149" s="4"/>
    </row>
    <row r="151" spans="1:245">
      <c r="A151" s="1">
        <v>4</v>
      </c>
      <c r="B151" s="1">
        <v>1</v>
      </c>
      <c r="C151" s="1"/>
      <c r="D151" s="1">
        <f>ROW(A159)</f>
        <v>159</v>
      </c>
      <c r="E151" s="1"/>
      <c r="F151" s="1" t="s">
        <v>13</v>
      </c>
      <c r="G151" s="1" t="s">
        <v>198</v>
      </c>
      <c r="H151" s="1" t="s">
        <v>3</v>
      </c>
      <c r="I151" s="1">
        <v>0</v>
      </c>
      <c r="J151" s="1"/>
      <c r="K151" s="1">
        <v>-1</v>
      </c>
      <c r="L151" s="1"/>
      <c r="M151" s="1" t="s">
        <v>3</v>
      </c>
      <c r="N151" s="1"/>
      <c r="O151" s="1"/>
      <c r="P151" s="1"/>
      <c r="Q151" s="1"/>
      <c r="R151" s="1"/>
      <c r="S151" s="1">
        <v>0</v>
      </c>
      <c r="T151" s="1"/>
      <c r="U151" s="1" t="s">
        <v>3</v>
      </c>
      <c r="V151" s="1">
        <v>0</v>
      </c>
      <c r="W151" s="1"/>
      <c r="X151" s="1"/>
      <c r="Y151" s="1"/>
      <c r="Z151" s="1"/>
      <c r="AA151" s="1"/>
      <c r="AB151" s="1" t="s">
        <v>3</v>
      </c>
      <c r="AC151" s="1" t="s">
        <v>3</v>
      </c>
      <c r="AD151" s="1" t="s">
        <v>3</v>
      </c>
      <c r="AE151" s="1" t="s">
        <v>3</v>
      </c>
      <c r="AF151" s="1" t="s">
        <v>3</v>
      </c>
      <c r="AG151" s="1" t="s">
        <v>3</v>
      </c>
      <c r="AH151" s="1"/>
      <c r="AI151" s="1"/>
      <c r="AJ151" s="1"/>
      <c r="AK151" s="1"/>
      <c r="AL151" s="1"/>
      <c r="AM151" s="1"/>
      <c r="AN151" s="1"/>
      <c r="AO151" s="1"/>
      <c r="AP151" s="1" t="s">
        <v>3</v>
      </c>
      <c r="AQ151" s="1" t="s">
        <v>3</v>
      </c>
      <c r="AR151" s="1" t="s">
        <v>3</v>
      </c>
      <c r="AS151" s="1"/>
      <c r="AT151" s="1"/>
      <c r="AU151" s="1"/>
      <c r="AV151" s="1"/>
      <c r="AW151" s="1"/>
      <c r="AX151" s="1"/>
      <c r="AY151" s="1"/>
      <c r="AZ151" s="1" t="s">
        <v>3</v>
      </c>
      <c r="BA151" s="1"/>
      <c r="BB151" s="1" t="s">
        <v>3</v>
      </c>
      <c r="BC151" s="1" t="s">
        <v>3</v>
      </c>
      <c r="BD151" s="1" t="s">
        <v>3</v>
      </c>
      <c r="BE151" s="1" t="s">
        <v>3</v>
      </c>
      <c r="BF151" s="1" t="s">
        <v>3</v>
      </c>
      <c r="BG151" s="1" t="s">
        <v>3</v>
      </c>
      <c r="BH151" s="1" t="s">
        <v>3</v>
      </c>
      <c r="BI151" s="1" t="s">
        <v>3</v>
      </c>
      <c r="BJ151" s="1" t="s">
        <v>3</v>
      </c>
      <c r="BK151" s="1" t="s">
        <v>3</v>
      </c>
      <c r="BL151" s="1" t="s">
        <v>3</v>
      </c>
      <c r="BM151" s="1" t="s">
        <v>3</v>
      </c>
      <c r="BN151" s="1" t="s">
        <v>3</v>
      </c>
      <c r="BO151" s="1" t="s">
        <v>3</v>
      </c>
      <c r="BP151" s="1" t="s">
        <v>3</v>
      </c>
      <c r="BQ151" s="1"/>
      <c r="BR151" s="1"/>
      <c r="BS151" s="1"/>
      <c r="BT151" s="1"/>
      <c r="BU151" s="1"/>
      <c r="BV151" s="1"/>
      <c r="BW151" s="1"/>
      <c r="BX151" s="1">
        <v>0</v>
      </c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>
        <v>0</v>
      </c>
    </row>
    <row r="153" spans="1:245">
      <c r="A153" s="2">
        <v>52</v>
      </c>
      <c r="B153" s="2">
        <f t="shared" ref="B153:G153" si="112">B159</f>
        <v>1</v>
      </c>
      <c r="C153" s="2">
        <f t="shared" si="112"/>
        <v>4</v>
      </c>
      <c r="D153" s="2">
        <f t="shared" si="112"/>
        <v>151</v>
      </c>
      <c r="E153" s="2">
        <f t="shared" si="112"/>
        <v>0</v>
      </c>
      <c r="F153" s="2" t="str">
        <f t="shared" si="112"/>
        <v>Новый раздел</v>
      </c>
      <c r="G153" s="2" t="str">
        <f t="shared" si="112"/>
        <v>Потолок</v>
      </c>
      <c r="H153" s="2"/>
      <c r="I153" s="2"/>
      <c r="J153" s="2"/>
      <c r="K153" s="2"/>
      <c r="L153" s="2"/>
      <c r="M153" s="2"/>
      <c r="N153" s="2"/>
      <c r="O153" s="2">
        <f t="shared" ref="O153:AT153" si="113">O159</f>
        <v>30473.16</v>
      </c>
      <c r="P153" s="2">
        <f t="shared" si="113"/>
        <v>6406.5</v>
      </c>
      <c r="Q153" s="2">
        <f t="shared" si="113"/>
        <v>390.93</v>
      </c>
      <c r="R153" s="2">
        <f t="shared" si="113"/>
        <v>22.27</v>
      </c>
      <c r="S153" s="2">
        <f t="shared" si="113"/>
        <v>23675.73</v>
      </c>
      <c r="T153" s="2">
        <f t="shared" si="113"/>
        <v>0</v>
      </c>
      <c r="U153" s="2">
        <f t="shared" si="113"/>
        <v>81.371328000000005</v>
      </c>
      <c r="V153" s="2">
        <f t="shared" si="113"/>
        <v>5.4480000000000008E-2</v>
      </c>
      <c r="W153" s="2">
        <f t="shared" si="113"/>
        <v>0</v>
      </c>
      <c r="X153" s="2">
        <f t="shared" si="113"/>
        <v>21452.6</v>
      </c>
      <c r="Y153" s="2">
        <f t="shared" si="113"/>
        <v>10240.01</v>
      </c>
      <c r="Z153" s="2">
        <f t="shared" si="113"/>
        <v>0</v>
      </c>
      <c r="AA153" s="2">
        <f t="shared" si="113"/>
        <v>0</v>
      </c>
      <c r="AB153" s="2">
        <f t="shared" si="113"/>
        <v>30473.16</v>
      </c>
      <c r="AC153" s="2">
        <f t="shared" si="113"/>
        <v>6406.5</v>
      </c>
      <c r="AD153" s="2">
        <f t="shared" si="113"/>
        <v>390.93</v>
      </c>
      <c r="AE153" s="2">
        <f t="shared" si="113"/>
        <v>22.27</v>
      </c>
      <c r="AF153" s="2">
        <f t="shared" si="113"/>
        <v>23675.73</v>
      </c>
      <c r="AG153" s="2">
        <f t="shared" si="113"/>
        <v>0</v>
      </c>
      <c r="AH153" s="2">
        <f t="shared" si="113"/>
        <v>81.371328000000005</v>
      </c>
      <c r="AI153" s="2">
        <f t="shared" si="113"/>
        <v>5.4480000000000008E-2</v>
      </c>
      <c r="AJ153" s="2">
        <f t="shared" si="113"/>
        <v>0</v>
      </c>
      <c r="AK153" s="2">
        <f t="shared" si="113"/>
        <v>21452.6</v>
      </c>
      <c r="AL153" s="2">
        <f t="shared" si="113"/>
        <v>10240.01</v>
      </c>
      <c r="AM153" s="2">
        <f t="shared" si="113"/>
        <v>0</v>
      </c>
      <c r="AN153" s="2">
        <f t="shared" si="113"/>
        <v>0</v>
      </c>
      <c r="AO153" s="2">
        <f t="shared" si="113"/>
        <v>0</v>
      </c>
      <c r="AP153" s="2">
        <f t="shared" si="113"/>
        <v>0</v>
      </c>
      <c r="AQ153" s="2">
        <f t="shared" si="113"/>
        <v>0</v>
      </c>
      <c r="AR153" s="2">
        <f t="shared" si="113"/>
        <v>62165.77</v>
      </c>
      <c r="AS153" s="2">
        <f t="shared" si="113"/>
        <v>62165.77</v>
      </c>
      <c r="AT153" s="2">
        <f t="shared" si="113"/>
        <v>0</v>
      </c>
      <c r="AU153" s="2">
        <f t="shared" ref="AU153:BZ153" si="114">AU159</f>
        <v>0</v>
      </c>
      <c r="AV153" s="2">
        <f t="shared" si="114"/>
        <v>6406.5</v>
      </c>
      <c r="AW153" s="2">
        <f t="shared" si="114"/>
        <v>6406.5</v>
      </c>
      <c r="AX153" s="2">
        <f t="shared" si="114"/>
        <v>0</v>
      </c>
      <c r="AY153" s="2">
        <f t="shared" si="114"/>
        <v>6406.5</v>
      </c>
      <c r="AZ153" s="2">
        <f t="shared" si="114"/>
        <v>0</v>
      </c>
      <c r="BA153" s="2">
        <f t="shared" si="114"/>
        <v>0</v>
      </c>
      <c r="BB153" s="2">
        <f t="shared" si="114"/>
        <v>0</v>
      </c>
      <c r="BC153" s="2">
        <f t="shared" si="114"/>
        <v>0</v>
      </c>
      <c r="BD153" s="2">
        <f t="shared" si="114"/>
        <v>0</v>
      </c>
      <c r="BE153" s="2">
        <f t="shared" si="114"/>
        <v>0</v>
      </c>
      <c r="BF153" s="2">
        <f t="shared" si="114"/>
        <v>0</v>
      </c>
      <c r="BG153" s="2">
        <f t="shared" si="114"/>
        <v>0</v>
      </c>
      <c r="BH153" s="2">
        <f t="shared" si="114"/>
        <v>0</v>
      </c>
      <c r="BI153" s="2">
        <f t="shared" si="114"/>
        <v>0</v>
      </c>
      <c r="BJ153" s="2">
        <f t="shared" si="114"/>
        <v>0</v>
      </c>
      <c r="BK153" s="2">
        <f t="shared" si="114"/>
        <v>0</v>
      </c>
      <c r="BL153" s="2">
        <f t="shared" si="114"/>
        <v>0</v>
      </c>
      <c r="BM153" s="2">
        <f t="shared" si="114"/>
        <v>0</v>
      </c>
      <c r="BN153" s="2">
        <f t="shared" si="114"/>
        <v>0</v>
      </c>
      <c r="BO153" s="2">
        <f t="shared" si="114"/>
        <v>0</v>
      </c>
      <c r="BP153" s="2">
        <f t="shared" si="114"/>
        <v>0</v>
      </c>
      <c r="BQ153" s="2">
        <f t="shared" si="114"/>
        <v>0</v>
      </c>
      <c r="BR153" s="2">
        <f t="shared" si="114"/>
        <v>0</v>
      </c>
      <c r="BS153" s="2">
        <f t="shared" si="114"/>
        <v>0</v>
      </c>
      <c r="BT153" s="2">
        <f t="shared" si="114"/>
        <v>0</v>
      </c>
      <c r="BU153" s="2">
        <f t="shared" si="114"/>
        <v>0</v>
      </c>
      <c r="BV153" s="2">
        <f t="shared" si="114"/>
        <v>0</v>
      </c>
      <c r="BW153" s="2">
        <f t="shared" si="114"/>
        <v>0</v>
      </c>
      <c r="BX153" s="2">
        <f t="shared" si="114"/>
        <v>0</v>
      </c>
      <c r="BY153" s="2">
        <f t="shared" si="114"/>
        <v>0</v>
      </c>
      <c r="BZ153" s="2">
        <f t="shared" si="114"/>
        <v>0</v>
      </c>
      <c r="CA153" s="2">
        <f t="shared" ref="CA153:DF153" si="115">CA159</f>
        <v>62165.77</v>
      </c>
      <c r="CB153" s="2">
        <f t="shared" si="115"/>
        <v>62165.77</v>
      </c>
      <c r="CC153" s="2">
        <f t="shared" si="115"/>
        <v>0</v>
      </c>
      <c r="CD153" s="2">
        <f t="shared" si="115"/>
        <v>0</v>
      </c>
      <c r="CE153" s="2">
        <f t="shared" si="115"/>
        <v>6406.5</v>
      </c>
      <c r="CF153" s="2">
        <f t="shared" si="115"/>
        <v>6406.5</v>
      </c>
      <c r="CG153" s="2">
        <f t="shared" si="115"/>
        <v>0</v>
      </c>
      <c r="CH153" s="2">
        <f t="shared" si="115"/>
        <v>6406.5</v>
      </c>
      <c r="CI153" s="2">
        <f t="shared" si="115"/>
        <v>0</v>
      </c>
      <c r="CJ153" s="2">
        <f t="shared" si="115"/>
        <v>0</v>
      </c>
      <c r="CK153" s="2">
        <f t="shared" si="115"/>
        <v>0</v>
      </c>
      <c r="CL153" s="2">
        <f t="shared" si="115"/>
        <v>0</v>
      </c>
      <c r="CM153" s="2">
        <f t="shared" si="115"/>
        <v>0</v>
      </c>
      <c r="CN153" s="2">
        <f t="shared" si="115"/>
        <v>0</v>
      </c>
      <c r="CO153" s="2">
        <f t="shared" si="115"/>
        <v>0</v>
      </c>
      <c r="CP153" s="2">
        <f t="shared" si="115"/>
        <v>0</v>
      </c>
      <c r="CQ153" s="2">
        <f t="shared" si="115"/>
        <v>0</v>
      </c>
      <c r="CR153" s="2">
        <f t="shared" si="115"/>
        <v>0</v>
      </c>
      <c r="CS153" s="2">
        <f t="shared" si="115"/>
        <v>0</v>
      </c>
      <c r="CT153" s="2">
        <f t="shared" si="115"/>
        <v>0</v>
      </c>
      <c r="CU153" s="2">
        <f t="shared" si="115"/>
        <v>0</v>
      </c>
      <c r="CV153" s="2">
        <f t="shared" si="115"/>
        <v>0</v>
      </c>
      <c r="CW153" s="2">
        <f t="shared" si="115"/>
        <v>0</v>
      </c>
      <c r="CX153" s="2">
        <f t="shared" si="115"/>
        <v>0</v>
      </c>
      <c r="CY153" s="2">
        <f t="shared" si="115"/>
        <v>0</v>
      </c>
      <c r="CZ153" s="2">
        <f t="shared" si="115"/>
        <v>0</v>
      </c>
      <c r="DA153" s="2">
        <f t="shared" si="115"/>
        <v>0</v>
      </c>
      <c r="DB153" s="2">
        <f t="shared" si="115"/>
        <v>0</v>
      </c>
      <c r="DC153" s="2">
        <f t="shared" si="115"/>
        <v>0</v>
      </c>
      <c r="DD153" s="2">
        <f t="shared" si="115"/>
        <v>0</v>
      </c>
      <c r="DE153" s="2">
        <f t="shared" si="115"/>
        <v>0</v>
      </c>
      <c r="DF153" s="2">
        <f t="shared" si="115"/>
        <v>0</v>
      </c>
      <c r="DG153" s="3">
        <f t="shared" ref="DG153:EL153" si="116">DG159</f>
        <v>0</v>
      </c>
      <c r="DH153" s="3">
        <f t="shared" si="116"/>
        <v>0</v>
      </c>
      <c r="DI153" s="3">
        <f t="shared" si="116"/>
        <v>0</v>
      </c>
      <c r="DJ153" s="3">
        <f t="shared" si="116"/>
        <v>0</v>
      </c>
      <c r="DK153" s="3">
        <f t="shared" si="116"/>
        <v>0</v>
      </c>
      <c r="DL153" s="3">
        <f t="shared" si="116"/>
        <v>0</v>
      </c>
      <c r="DM153" s="3">
        <f t="shared" si="116"/>
        <v>0</v>
      </c>
      <c r="DN153" s="3">
        <f t="shared" si="116"/>
        <v>0</v>
      </c>
      <c r="DO153" s="3">
        <f t="shared" si="116"/>
        <v>0</v>
      </c>
      <c r="DP153" s="3">
        <f t="shared" si="116"/>
        <v>0</v>
      </c>
      <c r="DQ153" s="3">
        <f t="shared" si="116"/>
        <v>0</v>
      </c>
      <c r="DR153" s="3">
        <f t="shared" si="116"/>
        <v>0</v>
      </c>
      <c r="DS153" s="3">
        <f t="shared" si="116"/>
        <v>0</v>
      </c>
      <c r="DT153" s="3">
        <f t="shared" si="116"/>
        <v>0</v>
      </c>
      <c r="DU153" s="3">
        <f t="shared" si="116"/>
        <v>0</v>
      </c>
      <c r="DV153" s="3">
        <f t="shared" si="116"/>
        <v>0</v>
      </c>
      <c r="DW153" s="3">
        <f t="shared" si="116"/>
        <v>0</v>
      </c>
      <c r="DX153" s="3">
        <f t="shared" si="116"/>
        <v>0</v>
      </c>
      <c r="DY153" s="3">
        <f t="shared" si="116"/>
        <v>0</v>
      </c>
      <c r="DZ153" s="3">
        <f t="shared" si="116"/>
        <v>0</v>
      </c>
      <c r="EA153" s="3">
        <f t="shared" si="116"/>
        <v>0</v>
      </c>
      <c r="EB153" s="3">
        <f t="shared" si="116"/>
        <v>0</v>
      </c>
      <c r="EC153" s="3">
        <f t="shared" si="116"/>
        <v>0</v>
      </c>
      <c r="ED153" s="3">
        <f t="shared" si="116"/>
        <v>0</v>
      </c>
      <c r="EE153" s="3">
        <f t="shared" si="116"/>
        <v>0</v>
      </c>
      <c r="EF153" s="3">
        <f t="shared" si="116"/>
        <v>0</v>
      </c>
      <c r="EG153" s="3">
        <f t="shared" si="116"/>
        <v>0</v>
      </c>
      <c r="EH153" s="3">
        <f t="shared" si="116"/>
        <v>0</v>
      </c>
      <c r="EI153" s="3">
        <f t="shared" si="116"/>
        <v>0</v>
      </c>
      <c r="EJ153" s="3">
        <f t="shared" si="116"/>
        <v>0</v>
      </c>
      <c r="EK153" s="3">
        <f t="shared" si="116"/>
        <v>0</v>
      </c>
      <c r="EL153" s="3">
        <f t="shared" si="116"/>
        <v>0</v>
      </c>
      <c r="EM153" s="3">
        <f t="shared" ref="EM153:FR153" si="117">EM159</f>
        <v>0</v>
      </c>
      <c r="EN153" s="3">
        <f t="shared" si="117"/>
        <v>0</v>
      </c>
      <c r="EO153" s="3">
        <f t="shared" si="117"/>
        <v>0</v>
      </c>
      <c r="EP153" s="3">
        <f t="shared" si="117"/>
        <v>0</v>
      </c>
      <c r="EQ153" s="3">
        <f t="shared" si="117"/>
        <v>0</v>
      </c>
      <c r="ER153" s="3">
        <f t="shared" si="117"/>
        <v>0</v>
      </c>
      <c r="ES153" s="3">
        <f t="shared" si="117"/>
        <v>0</v>
      </c>
      <c r="ET153" s="3">
        <f t="shared" si="117"/>
        <v>0</v>
      </c>
      <c r="EU153" s="3">
        <f t="shared" si="117"/>
        <v>0</v>
      </c>
      <c r="EV153" s="3">
        <f t="shared" si="117"/>
        <v>0</v>
      </c>
      <c r="EW153" s="3">
        <f t="shared" si="117"/>
        <v>0</v>
      </c>
      <c r="EX153" s="3">
        <f t="shared" si="117"/>
        <v>0</v>
      </c>
      <c r="EY153" s="3">
        <f t="shared" si="117"/>
        <v>0</v>
      </c>
      <c r="EZ153" s="3">
        <f t="shared" si="117"/>
        <v>0</v>
      </c>
      <c r="FA153" s="3">
        <f t="shared" si="117"/>
        <v>0</v>
      </c>
      <c r="FB153" s="3">
        <f t="shared" si="117"/>
        <v>0</v>
      </c>
      <c r="FC153" s="3">
        <f t="shared" si="117"/>
        <v>0</v>
      </c>
      <c r="FD153" s="3">
        <f t="shared" si="117"/>
        <v>0</v>
      </c>
      <c r="FE153" s="3">
        <f t="shared" si="117"/>
        <v>0</v>
      </c>
      <c r="FF153" s="3">
        <f t="shared" si="117"/>
        <v>0</v>
      </c>
      <c r="FG153" s="3">
        <f t="shared" si="117"/>
        <v>0</v>
      </c>
      <c r="FH153" s="3">
        <f t="shared" si="117"/>
        <v>0</v>
      </c>
      <c r="FI153" s="3">
        <f t="shared" si="117"/>
        <v>0</v>
      </c>
      <c r="FJ153" s="3">
        <f t="shared" si="117"/>
        <v>0</v>
      </c>
      <c r="FK153" s="3">
        <f t="shared" si="117"/>
        <v>0</v>
      </c>
      <c r="FL153" s="3">
        <f t="shared" si="117"/>
        <v>0</v>
      </c>
      <c r="FM153" s="3">
        <f t="shared" si="117"/>
        <v>0</v>
      </c>
      <c r="FN153" s="3">
        <f t="shared" si="117"/>
        <v>0</v>
      </c>
      <c r="FO153" s="3">
        <f t="shared" si="117"/>
        <v>0</v>
      </c>
      <c r="FP153" s="3">
        <f t="shared" si="117"/>
        <v>0</v>
      </c>
      <c r="FQ153" s="3">
        <f t="shared" si="117"/>
        <v>0</v>
      </c>
      <c r="FR153" s="3">
        <f t="shared" si="117"/>
        <v>0</v>
      </c>
      <c r="FS153" s="3">
        <f t="shared" ref="FS153:GX153" si="118">FS159</f>
        <v>0</v>
      </c>
      <c r="FT153" s="3">
        <f t="shared" si="118"/>
        <v>0</v>
      </c>
      <c r="FU153" s="3">
        <f t="shared" si="118"/>
        <v>0</v>
      </c>
      <c r="FV153" s="3">
        <f t="shared" si="118"/>
        <v>0</v>
      </c>
      <c r="FW153" s="3">
        <f t="shared" si="118"/>
        <v>0</v>
      </c>
      <c r="FX153" s="3">
        <f t="shared" si="118"/>
        <v>0</v>
      </c>
      <c r="FY153" s="3">
        <f t="shared" si="118"/>
        <v>0</v>
      </c>
      <c r="FZ153" s="3">
        <f t="shared" si="118"/>
        <v>0</v>
      </c>
      <c r="GA153" s="3">
        <f t="shared" si="118"/>
        <v>0</v>
      </c>
      <c r="GB153" s="3">
        <f t="shared" si="118"/>
        <v>0</v>
      </c>
      <c r="GC153" s="3">
        <f t="shared" si="118"/>
        <v>0</v>
      </c>
      <c r="GD153" s="3">
        <f t="shared" si="118"/>
        <v>0</v>
      </c>
      <c r="GE153" s="3">
        <f t="shared" si="118"/>
        <v>0</v>
      </c>
      <c r="GF153" s="3">
        <f t="shared" si="118"/>
        <v>0</v>
      </c>
      <c r="GG153" s="3">
        <f t="shared" si="118"/>
        <v>0</v>
      </c>
      <c r="GH153" s="3">
        <f t="shared" si="118"/>
        <v>0</v>
      </c>
      <c r="GI153" s="3">
        <f t="shared" si="118"/>
        <v>0</v>
      </c>
      <c r="GJ153" s="3">
        <f t="shared" si="118"/>
        <v>0</v>
      </c>
      <c r="GK153" s="3">
        <f t="shared" si="118"/>
        <v>0</v>
      </c>
      <c r="GL153" s="3">
        <f t="shared" si="118"/>
        <v>0</v>
      </c>
      <c r="GM153" s="3">
        <f t="shared" si="118"/>
        <v>0</v>
      </c>
      <c r="GN153" s="3">
        <f t="shared" si="118"/>
        <v>0</v>
      </c>
      <c r="GO153" s="3">
        <f t="shared" si="118"/>
        <v>0</v>
      </c>
      <c r="GP153" s="3">
        <f t="shared" si="118"/>
        <v>0</v>
      </c>
      <c r="GQ153" s="3">
        <f t="shared" si="118"/>
        <v>0</v>
      </c>
      <c r="GR153" s="3">
        <f t="shared" si="118"/>
        <v>0</v>
      </c>
      <c r="GS153" s="3">
        <f t="shared" si="118"/>
        <v>0</v>
      </c>
      <c r="GT153" s="3">
        <f t="shared" si="118"/>
        <v>0</v>
      </c>
      <c r="GU153" s="3">
        <f t="shared" si="118"/>
        <v>0</v>
      </c>
      <c r="GV153" s="3">
        <f t="shared" si="118"/>
        <v>0</v>
      </c>
      <c r="GW153" s="3">
        <f t="shared" si="118"/>
        <v>0</v>
      </c>
      <c r="GX153" s="3">
        <f t="shared" si="118"/>
        <v>0</v>
      </c>
    </row>
    <row r="155" spans="1:245">
      <c r="A155">
        <v>17</v>
      </c>
      <c r="B155">
        <v>1</v>
      </c>
      <c r="C155">
        <f>ROW(SmtRes!A95)</f>
        <v>95</v>
      </c>
      <c r="D155">
        <f>ROW(EtalonRes!A96)</f>
        <v>96</v>
      </c>
      <c r="E155" t="s">
        <v>15</v>
      </c>
      <c r="F155" t="s">
        <v>199</v>
      </c>
      <c r="G155" t="s">
        <v>200</v>
      </c>
      <c r="H155" t="s">
        <v>201</v>
      </c>
      <c r="I155">
        <f>ROUND(90.8/100,9)</f>
        <v>0.90800000000000003</v>
      </c>
      <c r="J155">
        <v>0</v>
      </c>
      <c r="K155">
        <f>ROUND(90.8/100,9)</f>
        <v>0.90800000000000003</v>
      </c>
      <c r="O155">
        <f>ROUND(CP155,2)</f>
        <v>4949.75</v>
      </c>
      <c r="P155">
        <f>ROUND(CQ155*I155,2)</f>
        <v>0</v>
      </c>
      <c r="Q155">
        <f>ROUND(CR155*I155,2)</f>
        <v>0</v>
      </c>
      <c r="R155">
        <f>ROUND(CS155*I155,2)</f>
        <v>0</v>
      </c>
      <c r="S155">
        <f>ROUND(CT155*I155,2)</f>
        <v>4949.75</v>
      </c>
      <c r="T155">
        <f>ROUND(CU155*I155,2)</f>
        <v>0</v>
      </c>
      <c r="U155">
        <f>CV155*I155</f>
        <v>18.886400000000002</v>
      </c>
      <c r="V155">
        <f>CW155*I155</f>
        <v>0</v>
      </c>
      <c r="W155">
        <f>ROUND(CX155*I155,2)</f>
        <v>0</v>
      </c>
      <c r="X155">
        <f t="shared" ref="X155:Y157" si="119">ROUND(CY155,2)</f>
        <v>4454.78</v>
      </c>
      <c r="Y155">
        <f t="shared" si="119"/>
        <v>2276.89</v>
      </c>
      <c r="AA155">
        <v>35841400</v>
      </c>
      <c r="AB155">
        <f>ROUND((AC155+AD155+AF155),6)</f>
        <v>162.24</v>
      </c>
      <c r="AC155">
        <f>ROUND((ES155),6)</f>
        <v>0</v>
      </c>
      <c r="AD155">
        <f>ROUND((((ET155)-(EU155))+AE155),6)</f>
        <v>0</v>
      </c>
      <c r="AE155">
        <f>ROUND((EU155),6)</f>
        <v>0</v>
      </c>
      <c r="AF155">
        <f>ROUND((EV155),6)</f>
        <v>162.24</v>
      </c>
      <c r="AG155">
        <f>ROUND((AP155),6)</f>
        <v>0</v>
      </c>
      <c r="AH155">
        <f>(EW155)</f>
        <v>20.8</v>
      </c>
      <c r="AI155">
        <f>(EX155)</f>
        <v>0</v>
      </c>
      <c r="AJ155">
        <f>(AS155)</f>
        <v>0</v>
      </c>
      <c r="AK155">
        <v>162.24</v>
      </c>
      <c r="AL155">
        <v>0</v>
      </c>
      <c r="AM155">
        <v>0</v>
      </c>
      <c r="AN155">
        <v>0</v>
      </c>
      <c r="AO155">
        <v>162.24</v>
      </c>
      <c r="AP155">
        <v>0</v>
      </c>
      <c r="AQ155">
        <v>20.8</v>
      </c>
      <c r="AR155">
        <v>0</v>
      </c>
      <c r="AS155">
        <v>0</v>
      </c>
      <c r="AT155">
        <v>90</v>
      </c>
      <c r="AU155">
        <v>46</v>
      </c>
      <c r="AV155">
        <v>1</v>
      </c>
      <c r="AW155">
        <v>1</v>
      </c>
      <c r="AZ155">
        <v>1</v>
      </c>
      <c r="BA155">
        <v>33.6</v>
      </c>
      <c r="BB155">
        <v>1</v>
      </c>
      <c r="BC155">
        <v>1</v>
      </c>
      <c r="BD155" t="s">
        <v>3</v>
      </c>
      <c r="BE155" t="s">
        <v>3</v>
      </c>
      <c r="BF155" t="s">
        <v>3</v>
      </c>
      <c r="BG155" t="s">
        <v>3</v>
      </c>
      <c r="BH155">
        <v>0</v>
      </c>
      <c r="BI155">
        <v>1</v>
      </c>
      <c r="BJ155" t="s">
        <v>202</v>
      </c>
      <c r="BM155">
        <v>62001</v>
      </c>
      <c r="BN155">
        <v>0</v>
      </c>
      <c r="BO155" t="s">
        <v>199</v>
      </c>
      <c r="BP155">
        <v>1</v>
      </c>
      <c r="BQ155">
        <v>6</v>
      </c>
      <c r="BR155">
        <v>0</v>
      </c>
      <c r="BS155">
        <v>33.6</v>
      </c>
      <c r="BT155">
        <v>1</v>
      </c>
      <c r="BU155">
        <v>1</v>
      </c>
      <c r="BV155">
        <v>1</v>
      </c>
      <c r="BW155">
        <v>1</v>
      </c>
      <c r="BX155">
        <v>1</v>
      </c>
      <c r="BY155" t="s">
        <v>3</v>
      </c>
      <c r="BZ155">
        <v>90</v>
      </c>
      <c r="CA155">
        <v>46</v>
      </c>
      <c r="CB155" t="s">
        <v>3</v>
      </c>
      <c r="CE155">
        <v>0</v>
      </c>
      <c r="CF155">
        <v>0</v>
      </c>
      <c r="CG155">
        <v>0</v>
      </c>
      <c r="CM155">
        <v>0</v>
      </c>
      <c r="CN155" t="s">
        <v>3</v>
      </c>
      <c r="CO155">
        <v>0</v>
      </c>
      <c r="CP155">
        <f>(P155+Q155+S155)</f>
        <v>4949.75</v>
      </c>
      <c r="CQ155">
        <f>AC155*BC155</f>
        <v>0</v>
      </c>
      <c r="CR155">
        <f>AD155*BB155</f>
        <v>0</v>
      </c>
      <c r="CS155">
        <f>AE155*BS155</f>
        <v>0</v>
      </c>
      <c r="CT155">
        <f>AF155*BA155</f>
        <v>5451.2640000000001</v>
      </c>
      <c r="CU155">
        <f t="shared" ref="CU155:CX157" si="120">AG155</f>
        <v>0</v>
      </c>
      <c r="CV155">
        <f t="shared" si="120"/>
        <v>20.8</v>
      </c>
      <c r="CW155">
        <f t="shared" si="120"/>
        <v>0</v>
      </c>
      <c r="CX155">
        <f t="shared" si="120"/>
        <v>0</v>
      </c>
      <c r="CY155">
        <f>(((S155+R155)*AT155)/100)</f>
        <v>4454.7749999999996</v>
      </c>
      <c r="CZ155">
        <f>(((S155+R155)*AU155)/100)</f>
        <v>2276.8850000000002</v>
      </c>
      <c r="DC155" t="s">
        <v>3</v>
      </c>
      <c r="DD155" t="s">
        <v>3</v>
      </c>
      <c r="DE155" t="s">
        <v>3</v>
      </c>
      <c r="DF155" t="s">
        <v>3</v>
      </c>
      <c r="DG155" t="s">
        <v>3</v>
      </c>
      <c r="DH155" t="s">
        <v>3</v>
      </c>
      <c r="DI155" t="s">
        <v>3</v>
      </c>
      <c r="DJ155" t="s">
        <v>3</v>
      </c>
      <c r="DK155" t="s">
        <v>3</v>
      </c>
      <c r="DL155" t="s">
        <v>3</v>
      </c>
      <c r="DM155" t="s">
        <v>3</v>
      </c>
      <c r="DN155">
        <v>0</v>
      </c>
      <c r="DO155">
        <v>0</v>
      </c>
      <c r="DP155">
        <v>1</v>
      </c>
      <c r="DQ155">
        <v>1</v>
      </c>
      <c r="DU155">
        <v>1013</v>
      </c>
      <c r="DV155" t="s">
        <v>201</v>
      </c>
      <c r="DW155" t="s">
        <v>201</v>
      </c>
      <c r="DX155">
        <v>1</v>
      </c>
      <c r="DZ155" t="s">
        <v>3</v>
      </c>
      <c r="EA155" t="s">
        <v>3</v>
      </c>
      <c r="EB155" t="s">
        <v>3</v>
      </c>
      <c r="EC155" t="s">
        <v>3</v>
      </c>
      <c r="EE155">
        <v>36520132</v>
      </c>
      <c r="EF155">
        <v>6</v>
      </c>
      <c r="EG155" t="s">
        <v>20</v>
      </c>
      <c r="EH155">
        <v>0</v>
      </c>
      <c r="EI155" t="s">
        <v>3</v>
      </c>
      <c r="EJ155">
        <v>1</v>
      </c>
      <c r="EK155">
        <v>62001</v>
      </c>
      <c r="EL155" t="s">
        <v>203</v>
      </c>
      <c r="EM155" t="s">
        <v>204</v>
      </c>
      <c r="EO155" t="s">
        <v>3</v>
      </c>
      <c r="EQ155">
        <v>0</v>
      </c>
      <c r="ER155">
        <v>162.24</v>
      </c>
      <c r="ES155">
        <v>0</v>
      </c>
      <c r="ET155">
        <v>0</v>
      </c>
      <c r="EU155">
        <v>0</v>
      </c>
      <c r="EV155">
        <v>162.24</v>
      </c>
      <c r="EW155">
        <v>20.8</v>
      </c>
      <c r="EX155">
        <v>0</v>
      </c>
      <c r="EY155">
        <v>0</v>
      </c>
      <c r="FQ155">
        <v>0</v>
      </c>
      <c r="FR155">
        <f>ROUND(IF(AND(BH155=3,BI155=3),P155,0),2)</f>
        <v>0</v>
      </c>
      <c r="FS155">
        <v>0</v>
      </c>
      <c r="FX155">
        <v>90</v>
      </c>
      <c r="FY155">
        <v>46</v>
      </c>
      <c r="GA155" t="s">
        <v>3</v>
      </c>
      <c r="GD155">
        <v>1</v>
      </c>
      <c r="GF155">
        <v>916765695</v>
      </c>
      <c r="GG155">
        <v>2</v>
      </c>
      <c r="GH155">
        <v>2</v>
      </c>
      <c r="GI155">
        <v>2</v>
      </c>
      <c r="GJ155">
        <v>0</v>
      </c>
      <c r="GK155">
        <v>0</v>
      </c>
      <c r="GL155">
        <f>ROUND(IF(AND(BH155=3,BI155=3,FS155&lt;&gt;0),P155,0),2)</f>
        <v>0</v>
      </c>
      <c r="GM155">
        <f>ROUND(O155+X155+Y155,2)+GX155</f>
        <v>11681.42</v>
      </c>
      <c r="GN155">
        <f>IF(OR(BI155=0,BI155=1),ROUND(O155+X155+Y155,2),0)</f>
        <v>11681.42</v>
      </c>
      <c r="GO155">
        <f>IF(BI155=2,ROUND(O155+X155+Y155,2),0)</f>
        <v>0</v>
      </c>
      <c r="GP155">
        <f>IF(BI155=4,ROUND(O155+X155+Y155,2)+GX155,0)</f>
        <v>0</v>
      </c>
      <c r="GR155">
        <v>0</v>
      </c>
      <c r="GS155">
        <v>3</v>
      </c>
      <c r="GT155">
        <v>0</v>
      </c>
      <c r="GU155" t="s">
        <v>3</v>
      </c>
      <c r="GV155">
        <f>ROUND((GT155),6)</f>
        <v>0</v>
      </c>
      <c r="GW155">
        <v>1</v>
      </c>
      <c r="GX155">
        <f>ROUND(HC155*I155,2)</f>
        <v>0</v>
      </c>
      <c r="HA155">
        <v>0</v>
      </c>
      <c r="HB155">
        <v>0</v>
      </c>
      <c r="HC155">
        <f>GV155*GW155</f>
        <v>0</v>
      </c>
      <c r="HE155" t="s">
        <v>3</v>
      </c>
      <c r="HF155" t="s">
        <v>3</v>
      </c>
      <c r="HM155" t="s">
        <v>3</v>
      </c>
      <c r="HN155" t="s">
        <v>3</v>
      </c>
      <c r="HO155" t="s">
        <v>3</v>
      </c>
      <c r="HP155" t="s">
        <v>3</v>
      </c>
      <c r="HQ155" t="s">
        <v>3</v>
      </c>
      <c r="IK155">
        <v>0</v>
      </c>
    </row>
    <row r="156" spans="1:245">
      <c r="A156">
        <v>17</v>
      </c>
      <c r="B156">
        <v>1</v>
      </c>
      <c r="C156">
        <f>ROW(SmtRes!A103)</f>
        <v>103</v>
      </c>
      <c r="D156">
        <f>ROW(EtalonRes!A104)</f>
        <v>104</v>
      </c>
      <c r="E156" t="s">
        <v>23</v>
      </c>
      <c r="F156" t="s">
        <v>110</v>
      </c>
      <c r="G156" t="s">
        <v>111</v>
      </c>
      <c r="H156" t="s">
        <v>112</v>
      </c>
      <c r="I156">
        <f>ROUND(90.8/100,9)</f>
        <v>0.90800000000000003</v>
      </c>
      <c r="J156">
        <v>0</v>
      </c>
      <c r="K156">
        <f>ROUND(90.8/100,9)</f>
        <v>0.90800000000000003</v>
      </c>
      <c r="O156">
        <f>ROUND(CP156,2)</f>
        <v>3481.24</v>
      </c>
      <c r="P156">
        <f>ROUND(CQ156*I156,2)</f>
        <v>1471.22</v>
      </c>
      <c r="Q156">
        <f>ROUND(CR156*I156,2)</f>
        <v>246.99</v>
      </c>
      <c r="R156">
        <f>ROUND(CS156*I156,2)</f>
        <v>14.03</v>
      </c>
      <c r="S156">
        <f>ROUND(CT156*I156,2)</f>
        <v>1763.03</v>
      </c>
      <c r="T156">
        <f>ROUND(CU156*I156,2)</f>
        <v>0</v>
      </c>
      <c r="U156">
        <f>CV156*I156</f>
        <v>6.2025480000000002</v>
      </c>
      <c r="V156">
        <f>CW156*I156</f>
        <v>3.6320000000000005E-2</v>
      </c>
      <c r="W156">
        <f>ROUND(CX156*I156,2)</f>
        <v>0</v>
      </c>
      <c r="X156">
        <f t="shared" si="119"/>
        <v>1723.75</v>
      </c>
      <c r="Y156">
        <f t="shared" si="119"/>
        <v>835.22</v>
      </c>
      <c r="AA156">
        <v>35841400</v>
      </c>
      <c r="AB156">
        <f>ROUND((AC156+AD156+AF156),6)</f>
        <v>256.98750000000001</v>
      </c>
      <c r="AC156">
        <f>ROUND((ES156),6)</f>
        <v>154.46</v>
      </c>
      <c r="AD156">
        <f>ROUND((((ET156)-(EU156))+AE156),6)</f>
        <v>44.74</v>
      </c>
      <c r="AE156">
        <f>ROUND((EU156),6)</f>
        <v>0.46</v>
      </c>
      <c r="AF156">
        <f>ROUND(((EV156*1.15)),6)</f>
        <v>57.787500000000001</v>
      </c>
      <c r="AG156">
        <f>ROUND((AP156),6)</f>
        <v>0</v>
      </c>
      <c r="AH156">
        <f>((EW156*1.15))</f>
        <v>6.8309999999999995</v>
      </c>
      <c r="AI156">
        <f>(EX156)</f>
        <v>0.04</v>
      </c>
      <c r="AJ156">
        <f>(AS156)</f>
        <v>0</v>
      </c>
      <c r="AK156">
        <v>249.45</v>
      </c>
      <c r="AL156">
        <v>154.46</v>
      </c>
      <c r="AM156">
        <v>44.74</v>
      </c>
      <c r="AN156">
        <v>0.46</v>
      </c>
      <c r="AO156">
        <v>50.25</v>
      </c>
      <c r="AP156">
        <v>0</v>
      </c>
      <c r="AQ156">
        <v>5.94</v>
      </c>
      <c r="AR156">
        <v>0.04</v>
      </c>
      <c r="AS156">
        <v>0</v>
      </c>
      <c r="AT156">
        <v>97</v>
      </c>
      <c r="AU156">
        <v>47</v>
      </c>
      <c r="AV156">
        <v>1</v>
      </c>
      <c r="AW156">
        <v>1</v>
      </c>
      <c r="AZ156">
        <v>1</v>
      </c>
      <c r="BA156">
        <v>33.6</v>
      </c>
      <c r="BB156">
        <v>6.08</v>
      </c>
      <c r="BC156">
        <v>10.49</v>
      </c>
      <c r="BD156" t="s">
        <v>3</v>
      </c>
      <c r="BE156" t="s">
        <v>3</v>
      </c>
      <c r="BF156" t="s">
        <v>3</v>
      </c>
      <c r="BG156" t="s">
        <v>3</v>
      </c>
      <c r="BH156">
        <v>0</v>
      </c>
      <c r="BI156">
        <v>1</v>
      </c>
      <c r="BJ156" t="s">
        <v>113</v>
      </c>
      <c r="BM156">
        <v>10001</v>
      </c>
      <c r="BN156">
        <v>0</v>
      </c>
      <c r="BO156" t="s">
        <v>110</v>
      </c>
      <c r="BP156">
        <v>1</v>
      </c>
      <c r="BQ156">
        <v>2</v>
      </c>
      <c r="BR156">
        <v>0</v>
      </c>
      <c r="BS156">
        <v>33.6</v>
      </c>
      <c r="BT156">
        <v>1</v>
      </c>
      <c r="BU156">
        <v>1</v>
      </c>
      <c r="BV156">
        <v>1</v>
      </c>
      <c r="BW156">
        <v>1</v>
      </c>
      <c r="BX156">
        <v>1</v>
      </c>
      <c r="BY156" t="s">
        <v>3</v>
      </c>
      <c r="BZ156">
        <v>97</v>
      </c>
      <c r="CA156">
        <v>47</v>
      </c>
      <c r="CB156" t="s">
        <v>3</v>
      </c>
      <c r="CE156">
        <v>0</v>
      </c>
      <c r="CF156">
        <v>0</v>
      </c>
      <c r="CG156">
        <v>0</v>
      </c>
      <c r="CM156">
        <v>0</v>
      </c>
      <c r="CN156" t="s">
        <v>606</v>
      </c>
      <c r="CO156">
        <v>0</v>
      </c>
      <c r="CP156">
        <f>(P156+Q156+S156)</f>
        <v>3481.24</v>
      </c>
      <c r="CQ156">
        <f>AC156*BC156</f>
        <v>1620.2854000000002</v>
      </c>
      <c r="CR156">
        <f>AD156*BB156</f>
        <v>272.01920000000001</v>
      </c>
      <c r="CS156">
        <f>AE156*BS156</f>
        <v>15.456000000000001</v>
      </c>
      <c r="CT156">
        <f>AF156*BA156</f>
        <v>1941.66</v>
      </c>
      <c r="CU156">
        <f t="shared" si="120"/>
        <v>0</v>
      </c>
      <c r="CV156">
        <f t="shared" si="120"/>
        <v>6.8309999999999995</v>
      </c>
      <c r="CW156">
        <f t="shared" si="120"/>
        <v>0.04</v>
      </c>
      <c r="CX156">
        <f t="shared" si="120"/>
        <v>0</v>
      </c>
      <c r="CY156">
        <f>(((S156+R156)*AT156)/100)</f>
        <v>1723.7482</v>
      </c>
      <c r="CZ156">
        <f>(((S156+R156)*AU156)/100)</f>
        <v>835.21819999999991</v>
      </c>
      <c r="DC156" t="s">
        <v>3</v>
      </c>
      <c r="DD156" t="s">
        <v>3</v>
      </c>
      <c r="DE156" t="s">
        <v>3</v>
      </c>
      <c r="DF156" t="s">
        <v>3</v>
      </c>
      <c r="DG156" t="s">
        <v>114</v>
      </c>
      <c r="DH156" t="s">
        <v>3</v>
      </c>
      <c r="DI156" t="s">
        <v>114</v>
      </c>
      <c r="DJ156" t="s">
        <v>3</v>
      </c>
      <c r="DK156" t="s">
        <v>3</v>
      </c>
      <c r="DL156" t="s">
        <v>3</v>
      </c>
      <c r="DM156" t="s">
        <v>3</v>
      </c>
      <c r="DN156">
        <v>0</v>
      </c>
      <c r="DO156">
        <v>0</v>
      </c>
      <c r="DP156">
        <v>1</v>
      </c>
      <c r="DQ156">
        <v>1</v>
      </c>
      <c r="DU156">
        <v>1013</v>
      </c>
      <c r="DV156" t="s">
        <v>112</v>
      </c>
      <c r="DW156" t="s">
        <v>112</v>
      </c>
      <c r="DX156">
        <v>1</v>
      </c>
      <c r="DZ156" t="s">
        <v>3</v>
      </c>
      <c r="EA156" t="s">
        <v>3</v>
      </c>
      <c r="EB156" t="s">
        <v>3</v>
      </c>
      <c r="EC156" t="s">
        <v>3</v>
      </c>
      <c r="EE156">
        <v>36520026</v>
      </c>
      <c r="EF156">
        <v>2</v>
      </c>
      <c r="EG156" t="s">
        <v>28</v>
      </c>
      <c r="EH156">
        <v>0</v>
      </c>
      <c r="EI156" t="s">
        <v>3</v>
      </c>
      <c r="EJ156">
        <v>1</v>
      </c>
      <c r="EK156">
        <v>10001</v>
      </c>
      <c r="EL156" t="s">
        <v>115</v>
      </c>
      <c r="EM156" t="s">
        <v>116</v>
      </c>
      <c r="EO156" t="s">
        <v>117</v>
      </c>
      <c r="EQ156">
        <v>0</v>
      </c>
      <c r="ER156">
        <v>249.45</v>
      </c>
      <c r="ES156">
        <v>154.46</v>
      </c>
      <c r="ET156">
        <v>44.74</v>
      </c>
      <c r="EU156">
        <v>0.46</v>
      </c>
      <c r="EV156">
        <v>50.25</v>
      </c>
      <c r="EW156">
        <v>5.94</v>
      </c>
      <c r="EX156">
        <v>0.04</v>
      </c>
      <c r="EY156">
        <v>0</v>
      </c>
      <c r="FQ156">
        <v>0</v>
      </c>
      <c r="FR156">
        <f>ROUND(IF(AND(BH156=3,BI156=3),P156,0),2)</f>
        <v>0</v>
      </c>
      <c r="FS156">
        <v>0</v>
      </c>
      <c r="FX156">
        <v>97</v>
      </c>
      <c r="FY156">
        <v>47</v>
      </c>
      <c r="GA156" t="s">
        <v>3</v>
      </c>
      <c r="GD156">
        <v>1</v>
      </c>
      <c r="GF156">
        <v>513310785</v>
      </c>
      <c r="GG156">
        <v>2</v>
      </c>
      <c r="GH156">
        <v>2</v>
      </c>
      <c r="GI156">
        <v>2</v>
      </c>
      <c r="GJ156">
        <v>0</v>
      </c>
      <c r="GK156">
        <v>0</v>
      </c>
      <c r="GL156">
        <f>ROUND(IF(AND(BH156=3,BI156=3,FS156&lt;&gt;0),P156,0),2)</f>
        <v>0</v>
      </c>
      <c r="GM156">
        <f>ROUND(O156+X156+Y156,2)+GX156</f>
        <v>6040.21</v>
      </c>
      <c r="GN156">
        <f>IF(OR(BI156=0,BI156=1),ROUND(O156+X156+Y156,2),0)</f>
        <v>6040.21</v>
      </c>
      <c r="GO156">
        <f>IF(BI156=2,ROUND(O156+X156+Y156,2),0)</f>
        <v>0</v>
      </c>
      <c r="GP156">
        <f>IF(BI156=4,ROUND(O156+X156+Y156,2)+GX156,0)</f>
        <v>0</v>
      </c>
      <c r="GR156">
        <v>0</v>
      </c>
      <c r="GS156">
        <v>3</v>
      </c>
      <c r="GT156">
        <v>0</v>
      </c>
      <c r="GU156" t="s">
        <v>3</v>
      </c>
      <c r="GV156">
        <f>ROUND((GT156),6)</f>
        <v>0</v>
      </c>
      <c r="GW156">
        <v>1</v>
      </c>
      <c r="GX156">
        <f>ROUND(HC156*I156,2)</f>
        <v>0</v>
      </c>
      <c r="HA156">
        <v>0</v>
      </c>
      <c r="HB156">
        <v>0</v>
      </c>
      <c r="HC156">
        <f>GV156*GW156</f>
        <v>0</v>
      </c>
      <c r="HE156" t="s">
        <v>3</v>
      </c>
      <c r="HF156" t="s">
        <v>3</v>
      </c>
      <c r="HM156" t="s">
        <v>3</v>
      </c>
      <c r="HN156" t="s">
        <v>3</v>
      </c>
      <c r="HO156" t="s">
        <v>3</v>
      </c>
      <c r="HP156" t="s">
        <v>3</v>
      </c>
      <c r="HQ156" t="s">
        <v>3</v>
      </c>
      <c r="IK156">
        <v>0</v>
      </c>
    </row>
    <row r="157" spans="1:245">
      <c r="A157">
        <v>17</v>
      </c>
      <c r="B157">
        <v>1</v>
      </c>
      <c r="C157">
        <f>ROW(SmtRes!A111)</f>
        <v>111</v>
      </c>
      <c r="D157">
        <f>ROW(EtalonRes!A112)</f>
        <v>112</v>
      </c>
      <c r="E157" t="s">
        <v>31</v>
      </c>
      <c r="F157" t="s">
        <v>205</v>
      </c>
      <c r="G157" t="s">
        <v>206</v>
      </c>
      <c r="H157" t="s">
        <v>137</v>
      </c>
      <c r="I157">
        <f>ROUND(90.8/100,9)</f>
        <v>0.90800000000000003</v>
      </c>
      <c r="J157">
        <v>0</v>
      </c>
      <c r="K157">
        <f>ROUND(90.8/100,9)</f>
        <v>0.90800000000000003</v>
      </c>
      <c r="O157">
        <f>ROUND(CP157,2)</f>
        <v>22042.17</v>
      </c>
      <c r="P157">
        <f>ROUND(CQ157*I157,2)</f>
        <v>4935.28</v>
      </c>
      <c r="Q157">
        <f>ROUND(CR157*I157,2)</f>
        <v>143.94</v>
      </c>
      <c r="R157">
        <f>ROUND(CS157*I157,2)</f>
        <v>8.24</v>
      </c>
      <c r="S157">
        <f>ROUND(CT157*I157,2)</f>
        <v>16962.95</v>
      </c>
      <c r="T157">
        <f>ROUND(CU157*I157,2)</f>
        <v>0</v>
      </c>
      <c r="U157">
        <f>CV157*I157</f>
        <v>56.282379999999996</v>
      </c>
      <c r="V157">
        <f>CW157*I157</f>
        <v>1.8160000000000003E-2</v>
      </c>
      <c r="W157">
        <f>ROUND(CX157*I157,2)</f>
        <v>0</v>
      </c>
      <c r="X157">
        <f t="shared" si="119"/>
        <v>15274.07</v>
      </c>
      <c r="Y157">
        <f t="shared" si="119"/>
        <v>7127.9</v>
      </c>
      <c r="AA157">
        <v>35841400</v>
      </c>
      <c r="AB157">
        <f>ROUND((AC157+AD157+AF157),6)</f>
        <v>1936.232</v>
      </c>
      <c r="AC157">
        <f>ROUND((ES157),6)</f>
        <v>1365.66</v>
      </c>
      <c r="AD157">
        <f>ROUND((((ET157)-(EU157))+AE157),6)</f>
        <v>14.57</v>
      </c>
      <c r="AE157">
        <f>ROUND((EU157),6)</f>
        <v>0.27</v>
      </c>
      <c r="AF157">
        <f>ROUND(((EV157*1.15)),6)</f>
        <v>556.00199999999995</v>
      </c>
      <c r="AG157">
        <f>ROUND((AP157),6)</f>
        <v>0</v>
      </c>
      <c r="AH157">
        <f>((EW157*1.15))</f>
        <v>61.984999999999992</v>
      </c>
      <c r="AI157">
        <f>(EX157)</f>
        <v>0.02</v>
      </c>
      <c r="AJ157">
        <f>(AS157)</f>
        <v>0</v>
      </c>
      <c r="AK157">
        <v>1863.71</v>
      </c>
      <c r="AL157">
        <v>1365.66</v>
      </c>
      <c r="AM157">
        <v>14.57</v>
      </c>
      <c r="AN157">
        <v>0.27</v>
      </c>
      <c r="AO157">
        <v>483.48</v>
      </c>
      <c r="AP157">
        <v>0</v>
      </c>
      <c r="AQ157">
        <v>53.9</v>
      </c>
      <c r="AR157">
        <v>0.02</v>
      </c>
      <c r="AS157">
        <v>0</v>
      </c>
      <c r="AT157">
        <v>90</v>
      </c>
      <c r="AU157">
        <v>42</v>
      </c>
      <c r="AV157">
        <v>1</v>
      </c>
      <c r="AW157">
        <v>1</v>
      </c>
      <c r="AZ157">
        <v>1</v>
      </c>
      <c r="BA157">
        <v>33.6</v>
      </c>
      <c r="BB157">
        <v>10.88</v>
      </c>
      <c r="BC157">
        <v>3.98</v>
      </c>
      <c r="BD157" t="s">
        <v>3</v>
      </c>
      <c r="BE157" t="s">
        <v>3</v>
      </c>
      <c r="BF157" t="s">
        <v>3</v>
      </c>
      <c r="BG157" t="s">
        <v>3</v>
      </c>
      <c r="BH157">
        <v>0</v>
      </c>
      <c r="BI157">
        <v>1</v>
      </c>
      <c r="BJ157" t="s">
        <v>207</v>
      </c>
      <c r="BM157">
        <v>15001</v>
      </c>
      <c r="BN157">
        <v>0</v>
      </c>
      <c r="BO157" t="s">
        <v>205</v>
      </c>
      <c r="BP157">
        <v>1</v>
      </c>
      <c r="BQ157">
        <v>2</v>
      </c>
      <c r="BR157">
        <v>0</v>
      </c>
      <c r="BS157">
        <v>33.6</v>
      </c>
      <c r="BT157">
        <v>1</v>
      </c>
      <c r="BU157">
        <v>1</v>
      </c>
      <c r="BV157">
        <v>1</v>
      </c>
      <c r="BW157">
        <v>1</v>
      </c>
      <c r="BX157">
        <v>1</v>
      </c>
      <c r="BY157" t="s">
        <v>3</v>
      </c>
      <c r="BZ157">
        <v>90</v>
      </c>
      <c r="CA157">
        <v>42</v>
      </c>
      <c r="CB157" t="s">
        <v>3</v>
      </c>
      <c r="CE157">
        <v>0</v>
      </c>
      <c r="CF157">
        <v>0</v>
      </c>
      <c r="CG157">
        <v>0</v>
      </c>
      <c r="CM157">
        <v>0</v>
      </c>
      <c r="CN157" t="s">
        <v>606</v>
      </c>
      <c r="CO157">
        <v>0</v>
      </c>
      <c r="CP157">
        <f>(P157+Q157+S157)</f>
        <v>22042.17</v>
      </c>
      <c r="CQ157">
        <f>AC157*BC157</f>
        <v>5435.3268000000007</v>
      </c>
      <c r="CR157">
        <f>AD157*BB157</f>
        <v>158.52160000000001</v>
      </c>
      <c r="CS157">
        <f>AE157*BS157</f>
        <v>9.072000000000001</v>
      </c>
      <c r="CT157">
        <f>AF157*BA157</f>
        <v>18681.6672</v>
      </c>
      <c r="CU157">
        <f t="shared" si="120"/>
        <v>0</v>
      </c>
      <c r="CV157">
        <f t="shared" si="120"/>
        <v>61.984999999999992</v>
      </c>
      <c r="CW157">
        <f t="shared" si="120"/>
        <v>0.02</v>
      </c>
      <c r="CX157">
        <f t="shared" si="120"/>
        <v>0</v>
      </c>
      <c r="CY157">
        <f>(((S157+R157)*AT157)/100)</f>
        <v>15274.071000000002</v>
      </c>
      <c r="CZ157">
        <f>(((S157+R157)*AU157)/100)</f>
        <v>7127.8998000000011</v>
      </c>
      <c r="DC157" t="s">
        <v>3</v>
      </c>
      <c r="DD157" t="s">
        <v>3</v>
      </c>
      <c r="DE157" t="s">
        <v>3</v>
      </c>
      <c r="DF157" t="s">
        <v>3</v>
      </c>
      <c r="DG157" t="s">
        <v>114</v>
      </c>
      <c r="DH157" t="s">
        <v>3</v>
      </c>
      <c r="DI157" t="s">
        <v>114</v>
      </c>
      <c r="DJ157" t="s">
        <v>3</v>
      </c>
      <c r="DK157" t="s">
        <v>3</v>
      </c>
      <c r="DL157" t="s">
        <v>3</v>
      </c>
      <c r="DM157" t="s">
        <v>3</v>
      </c>
      <c r="DN157">
        <v>0</v>
      </c>
      <c r="DO157">
        <v>0</v>
      </c>
      <c r="DP157">
        <v>1</v>
      </c>
      <c r="DQ157">
        <v>1</v>
      </c>
      <c r="DU157">
        <v>1005</v>
      </c>
      <c r="DV157" t="s">
        <v>137</v>
      </c>
      <c r="DW157" t="s">
        <v>137</v>
      </c>
      <c r="DX157">
        <v>100</v>
      </c>
      <c r="DZ157" t="s">
        <v>3</v>
      </c>
      <c r="EA157" t="s">
        <v>3</v>
      </c>
      <c r="EB157" t="s">
        <v>3</v>
      </c>
      <c r="EC157" t="s">
        <v>3</v>
      </c>
      <c r="EE157">
        <v>36520056</v>
      </c>
      <c r="EF157">
        <v>2</v>
      </c>
      <c r="EG157" t="s">
        <v>28</v>
      </c>
      <c r="EH157">
        <v>0</v>
      </c>
      <c r="EI157" t="s">
        <v>3</v>
      </c>
      <c r="EJ157">
        <v>1</v>
      </c>
      <c r="EK157">
        <v>15001</v>
      </c>
      <c r="EL157" t="s">
        <v>140</v>
      </c>
      <c r="EM157" t="s">
        <v>141</v>
      </c>
      <c r="EO157" t="s">
        <v>117</v>
      </c>
      <c r="EQ157">
        <v>0</v>
      </c>
      <c r="ER157">
        <v>1863.71</v>
      </c>
      <c r="ES157">
        <v>1365.66</v>
      </c>
      <c r="ET157">
        <v>14.57</v>
      </c>
      <c r="EU157">
        <v>0.27</v>
      </c>
      <c r="EV157">
        <v>483.48</v>
      </c>
      <c r="EW157">
        <v>53.9</v>
      </c>
      <c r="EX157">
        <v>0.02</v>
      </c>
      <c r="EY157">
        <v>0</v>
      </c>
      <c r="FQ157">
        <v>0</v>
      </c>
      <c r="FR157">
        <f>ROUND(IF(AND(BH157=3,BI157=3),P157,0),2)</f>
        <v>0</v>
      </c>
      <c r="FS157">
        <v>0</v>
      </c>
      <c r="FX157">
        <v>90</v>
      </c>
      <c r="FY157">
        <v>42</v>
      </c>
      <c r="GA157" t="s">
        <v>3</v>
      </c>
      <c r="GD157">
        <v>1</v>
      </c>
      <c r="GF157">
        <v>-260859034</v>
      </c>
      <c r="GG157">
        <v>2</v>
      </c>
      <c r="GH157">
        <v>2</v>
      </c>
      <c r="GI157">
        <v>2</v>
      </c>
      <c r="GJ157">
        <v>0</v>
      </c>
      <c r="GK157">
        <v>0</v>
      </c>
      <c r="GL157">
        <f>ROUND(IF(AND(BH157=3,BI157=3,FS157&lt;&gt;0),P157,0),2)</f>
        <v>0</v>
      </c>
      <c r="GM157">
        <f>ROUND(O157+X157+Y157,2)+GX157</f>
        <v>44444.14</v>
      </c>
      <c r="GN157">
        <f>IF(OR(BI157=0,BI157=1),ROUND(O157+X157+Y157,2),0)</f>
        <v>44444.14</v>
      </c>
      <c r="GO157">
        <f>IF(BI157=2,ROUND(O157+X157+Y157,2),0)</f>
        <v>0</v>
      </c>
      <c r="GP157">
        <f>IF(BI157=4,ROUND(O157+X157+Y157,2)+GX157,0)</f>
        <v>0</v>
      </c>
      <c r="GR157">
        <v>0</v>
      </c>
      <c r="GS157">
        <v>3</v>
      </c>
      <c r="GT157">
        <v>0</v>
      </c>
      <c r="GU157" t="s">
        <v>3</v>
      </c>
      <c r="GV157">
        <f>ROUND((GT157),6)</f>
        <v>0</v>
      </c>
      <c r="GW157">
        <v>1</v>
      </c>
      <c r="GX157">
        <f>ROUND(HC157*I157,2)</f>
        <v>0</v>
      </c>
      <c r="HA157">
        <v>0</v>
      </c>
      <c r="HB157">
        <v>0</v>
      </c>
      <c r="HC157">
        <f>GV157*GW157</f>
        <v>0</v>
      </c>
      <c r="HE157" t="s">
        <v>3</v>
      </c>
      <c r="HF157" t="s">
        <v>3</v>
      </c>
      <c r="HM157" t="s">
        <v>3</v>
      </c>
      <c r="HN157" t="s">
        <v>3</v>
      </c>
      <c r="HO157" t="s">
        <v>3</v>
      </c>
      <c r="HP157" t="s">
        <v>3</v>
      </c>
      <c r="HQ157" t="s">
        <v>3</v>
      </c>
      <c r="IK157">
        <v>0</v>
      </c>
    </row>
    <row r="159" spans="1:245">
      <c r="A159" s="2">
        <v>51</v>
      </c>
      <c r="B159" s="2">
        <f>B151</f>
        <v>1</v>
      </c>
      <c r="C159" s="2">
        <f>A151</f>
        <v>4</v>
      </c>
      <c r="D159" s="2">
        <f>ROW(A151)</f>
        <v>151</v>
      </c>
      <c r="E159" s="2"/>
      <c r="F159" s="2" t="str">
        <f>IF(F151&lt;&gt;"",F151,"")</f>
        <v>Новый раздел</v>
      </c>
      <c r="G159" s="2" t="str">
        <f>IF(G151&lt;&gt;"",G151,"")</f>
        <v>Потолок</v>
      </c>
      <c r="H159" s="2">
        <v>0</v>
      </c>
      <c r="I159" s="2"/>
      <c r="J159" s="2"/>
      <c r="K159" s="2"/>
      <c r="L159" s="2"/>
      <c r="M159" s="2"/>
      <c r="N159" s="2"/>
      <c r="O159" s="2">
        <f t="shared" ref="O159:T159" si="121">ROUND(AB159,2)</f>
        <v>30473.16</v>
      </c>
      <c r="P159" s="2">
        <f t="shared" si="121"/>
        <v>6406.5</v>
      </c>
      <c r="Q159" s="2">
        <f t="shared" si="121"/>
        <v>390.93</v>
      </c>
      <c r="R159" s="2">
        <f t="shared" si="121"/>
        <v>22.27</v>
      </c>
      <c r="S159" s="2">
        <f t="shared" si="121"/>
        <v>23675.73</v>
      </c>
      <c r="T159" s="2">
        <f t="shared" si="121"/>
        <v>0</v>
      </c>
      <c r="U159" s="2">
        <f>AH159</f>
        <v>81.371328000000005</v>
      </c>
      <c r="V159" s="2">
        <f>AI159</f>
        <v>5.4480000000000008E-2</v>
      </c>
      <c r="W159" s="2">
        <f>ROUND(AJ159,2)</f>
        <v>0</v>
      </c>
      <c r="X159" s="2">
        <f>ROUND(AK159,2)</f>
        <v>21452.6</v>
      </c>
      <c r="Y159" s="2">
        <f>ROUND(AL159,2)</f>
        <v>10240.01</v>
      </c>
      <c r="Z159" s="2"/>
      <c r="AA159" s="2"/>
      <c r="AB159" s="2">
        <f>ROUND(SUMIF(AA155:AA157,"=35841400",O155:O157),2)</f>
        <v>30473.16</v>
      </c>
      <c r="AC159" s="2">
        <f>ROUND(SUMIF(AA155:AA157,"=35841400",P155:P157),2)</f>
        <v>6406.5</v>
      </c>
      <c r="AD159" s="2">
        <f>ROUND(SUMIF(AA155:AA157,"=35841400",Q155:Q157),2)</f>
        <v>390.93</v>
      </c>
      <c r="AE159" s="2">
        <f>ROUND(SUMIF(AA155:AA157,"=35841400",R155:R157),2)</f>
        <v>22.27</v>
      </c>
      <c r="AF159" s="2">
        <f>ROUND(SUMIF(AA155:AA157,"=35841400",S155:S157),2)</f>
        <v>23675.73</v>
      </c>
      <c r="AG159" s="2">
        <f>ROUND(SUMIF(AA155:AA157,"=35841400",T155:T157),2)</f>
        <v>0</v>
      </c>
      <c r="AH159" s="2">
        <f>SUMIF(AA155:AA157,"=35841400",U155:U157)</f>
        <v>81.371328000000005</v>
      </c>
      <c r="AI159" s="2">
        <f>SUMIF(AA155:AA157,"=35841400",V155:V157)</f>
        <v>5.4480000000000008E-2</v>
      </c>
      <c r="AJ159" s="2">
        <f>ROUND(SUMIF(AA155:AA157,"=35841400",W155:W157),2)</f>
        <v>0</v>
      </c>
      <c r="AK159" s="2">
        <f>ROUND(SUMIF(AA155:AA157,"=35841400",X155:X157),2)</f>
        <v>21452.6</v>
      </c>
      <c r="AL159" s="2">
        <f>ROUND(SUMIF(AA155:AA157,"=35841400",Y155:Y157),2)</f>
        <v>10240.01</v>
      </c>
      <c r="AM159" s="2"/>
      <c r="AN159" s="2"/>
      <c r="AO159" s="2">
        <f t="shared" ref="AO159:BD159" si="122">ROUND(BX159,2)</f>
        <v>0</v>
      </c>
      <c r="AP159" s="2">
        <f t="shared" si="122"/>
        <v>0</v>
      </c>
      <c r="AQ159" s="2">
        <f t="shared" si="122"/>
        <v>0</v>
      </c>
      <c r="AR159" s="2">
        <f t="shared" si="122"/>
        <v>62165.77</v>
      </c>
      <c r="AS159" s="2">
        <f t="shared" si="122"/>
        <v>62165.77</v>
      </c>
      <c r="AT159" s="2">
        <f t="shared" si="122"/>
        <v>0</v>
      </c>
      <c r="AU159" s="2">
        <f t="shared" si="122"/>
        <v>0</v>
      </c>
      <c r="AV159" s="2">
        <f t="shared" si="122"/>
        <v>6406.5</v>
      </c>
      <c r="AW159" s="2">
        <f t="shared" si="122"/>
        <v>6406.5</v>
      </c>
      <c r="AX159" s="2">
        <f t="shared" si="122"/>
        <v>0</v>
      </c>
      <c r="AY159" s="2">
        <f t="shared" si="122"/>
        <v>6406.5</v>
      </c>
      <c r="AZ159" s="2">
        <f t="shared" si="122"/>
        <v>0</v>
      </c>
      <c r="BA159" s="2">
        <f t="shared" si="122"/>
        <v>0</v>
      </c>
      <c r="BB159" s="2">
        <f t="shared" si="122"/>
        <v>0</v>
      </c>
      <c r="BC159" s="2">
        <f t="shared" si="122"/>
        <v>0</v>
      </c>
      <c r="BD159" s="2">
        <f t="shared" si="122"/>
        <v>0</v>
      </c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>
        <f>ROUND(SUMIF(AA155:AA157,"=35841400",FQ155:FQ157),2)</f>
        <v>0</v>
      </c>
      <c r="BY159" s="2">
        <f>ROUND(SUMIF(AA155:AA157,"=35841400",FR155:FR157),2)</f>
        <v>0</v>
      </c>
      <c r="BZ159" s="2">
        <f>ROUND(SUMIF(AA155:AA157,"=35841400",GL155:GL157),2)</f>
        <v>0</v>
      </c>
      <c r="CA159" s="2">
        <f>ROUND(SUMIF(AA155:AA157,"=35841400",GM155:GM157),2)</f>
        <v>62165.77</v>
      </c>
      <c r="CB159" s="2">
        <f>ROUND(SUMIF(AA155:AA157,"=35841400",GN155:GN157),2)</f>
        <v>62165.77</v>
      </c>
      <c r="CC159" s="2">
        <f>ROUND(SUMIF(AA155:AA157,"=35841400",GO155:GO157),2)</f>
        <v>0</v>
      </c>
      <c r="CD159" s="2">
        <f>ROUND(SUMIF(AA155:AA157,"=35841400",GP155:GP157),2)</f>
        <v>0</v>
      </c>
      <c r="CE159" s="2">
        <f>AC159-BX159</f>
        <v>6406.5</v>
      </c>
      <c r="CF159" s="2">
        <f>AC159-BY159</f>
        <v>6406.5</v>
      </c>
      <c r="CG159" s="2">
        <f>BX159-BZ159</f>
        <v>0</v>
      </c>
      <c r="CH159" s="2">
        <f>AC159-BX159-BY159+BZ159</f>
        <v>6406.5</v>
      </c>
      <c r="CI159" s="2">
        <f>BY159-BZ159</f>
        <v>0</v>
      </c>
      <c r="CJ159" s="2">
        <f>ROUND(SUMIF(AA155:AA157,"=35841400",GX155:GX157),2)</f>
        <v>0</v>
      </c>
      <c r="CK159" s="2">
        <f>ROUND(SUMIF(AA155:AA157,"=35841400",GY155:GY157),2)</f>
        <v>0</v>
      </c>
      <c r="CL159" s="2">
        <f>ROUND(SUMIF(AA155:AA157,"=35841400",GZ155:GZ157),2)</f>
        <v>0</v>
      </c>
      <c r="CM159" s="2">
        <f>ROUND(SUMIF(AA155:AA157,"=35841400",HD155:HD157),2)</f>
        <v>0</v>
      </c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>
        <v>0</v>
      </c>
    </row>
    <row r="161" spans="1:28">
      <c r="A161" s="4">
        <v>50</v>
      </c>
      <c r="B161" s="4">
        <v>0</v>
      </c>
      <c r="C161" s="4">
        <v>0</v>
      </c>
      <c r="D161" s="4">
        <v>1</v>
      </c>
      <c r="E161" s="4">
        <v>201</v>
      </c>
      <c r="F161" s="4">
        <f>ROUND(Source!O159,O161)</f>
        <v>30473.16</v>
      </c>
      <c r="G161" s="4" t="s">
        <v>54</v>
      </c>
      <c r="H161" s="4" t="s">
        <v>55</v>
      </c>
      <c r="I161" s="4"/>
      <c r="J161" s="4"/>
      <c r="K161" s="4">
        <v>201</v>
      </c>
      <c r="L161" s="4">
        <v>1</v>
      </c>
      <c r="M161" s="4">
        <v>3</v>
      </c>
      <c r="N161" s="4" t="s">
        <v>3</v>
      </c>
      <c r="O161" s="4">
        <v>2</v>
      </c>
      <c r="P161" s="4"/>
      <c r="Q161" s="4"/>
      <c r="R161" s="4"/>
      <c r="S161" s="4"/>
      <c r="T161" s="4"/>
      <c r="U161" s="4"/>
      <c r="V161" s="4"/>
      <c r="W161" s="4">
        <v>30473.16</v>
      </c>
      <c r="X161" s="4">
        <v>1</v>
      </c>
      <c r="Y161" s="4">
        <v>30473.16</v>
      </c>
      <c r="Z161" s="4"/>
      <c r="AA161" s="4"/>
      <c r="AB161" s="4"/>
    </row>
    <row r="162" spans="1:28">
      <c r="A162" s="4">
        <v>50</v>
      </c>
      <c r="B162" s="4">
        <v>0</v>
      </c>
      <c r="C162" s="4">
        <v>0</v>
      </c>
      <c r="D162" s="4">
        <v>1</v>
      </c>
      <c r="E162" s="4">
        <v>202</v>
      </c>
      <c r="F162" s="4">
        <f>ROUND(Source!P159,O162)</f>
        <v>6406.5</v>
      </c>
      <c r="G162" s="4" t="s">
        <v>56</v>
      </c>
      <c r="H162" s="4" t="s">
        <v>57</v>
      </c>
      <c r="I162" s="4"/>
      <c r="J162" s="4"/>
      <c r="K162" s="4">
        <v>202</v>
      </c>
      <c r="L162" s="4">
        <v>2</v>
      </c>
      <c r="M162" s="4">
        <v>3</v>
      </c>
      <c r="N162" s="4" t="s">
        <v>3</v>
      </c>
      <c r="O162" s="4">
        <v>2</v>
      </c>
      <c r="P162" s="4"/>
      <c r="Q162" s="4"/>
      <c r="R162" s="4"/>
      <c r="S162" s="4"/>
      <c r="T162" s="4"/>
      <c r="U162" s="4"/>
      <c r="V162" s="4"/>
      <c r="W162" s="4">
        <v>6406.5</v>
      </c>
      <c r="X162" s="4">
        <v>1</v>
      </c>
      <c r="Y162" s="4">
        <v>6406.5</v>
      </c>
      <c r="Z162" s="4"/>
      <c r="AA162" s="4"/>
      <c r="AB162" s="4"/>
    </row>
    <row r="163" spans="1:28">
      <c r="A163" s="4">
        <v>50</v>
      </c>
      <c r="B163" s="4">
        <v>0</v>
      </c>
      <c r="C163" s="4">
        <v>0</v>
      </c>
      <c r="D163" s="4">
        <v>1</v>
      </c>
      <c r="E163" s="4">
        <v>222</v>
      </c>
      <c r="F163" s="4">
        <f>ROUND(Source!AO159,O163)</f>
        <v>0</v>
      </c>
      <c r="G163" s="4" t="s">
        <v>58</v>
      </c>
      <c r="H163" s="4" t="s">
        <v>59</v>
      </c>
      <c r="I163" s="4"/>
      <c r="J163" s="4"/>
      <c r="K163" s="4">
        <v>222</v>
      </c>
      <c r="L163" s="4">
        <v>3</v>
      </c>
      <c r="M163" s="4">
        <v>3</v>
      </c>
      <c r="N163" s="4" t="s">
        <v>3</v>
      </c>
      <c r="O163" s="4">
        <v>2</v>
      </c>
      <c r="P163" s="4"/>
      <c r="Q163" s="4"/>
      <c r="R163" s="4"/>
      <c r="S163" s="4"/>
      <c r="T163" s="4"/>
      <c r="U163" s="4"/>
      <c r="V163" s="4"/>
      <c r="W163" s="4">
        <v>0</v>
      </c>
      <c r="X163" s="4">
        <v>1</v>
      </c>
      <c r="Y163" s="4">
        <v>0</v>
      </c>
      <c r="Z163" s="4"/>
      <c r="AA163" s="4"/>
      <c r="AB163" s="4"/>
    </row>
    <row r="164" spans="1:28">
      <c r="A164" s="4">
        <v>50</v>
      </c>
      <c r="B164" s="4">
        <v>0</v>
      </c>
      <c r="C164" s="4">
        <v>0</v>
      </c>
      <c r="D164" s="4">
        <v>1</v>
      </c>
      <c r="E164" s="4">
        <v>225</v>
      </c>
      <c r="F164" s="4">
        <f>ROUND(Source!AV159,O164)</f>
        <v>6406.5</v>
      </c>
      <c r="G164" s="4" t="s">
        <v>60</v>
      </c>
      <c r="H164" s="4" t="s">
        <v>61</v>
      </c>
      <c r="I164" s="4"/>
      <c r="J164" s="4"/>
      <c r="K164" s="4">
        <v>225</v>
      </c>
      <c r="L164" s="4">
        <v>4</v>
      </c>
      <c r="M164" s="4">
        <v>3</v>
      </c>
      <c r="N164" s="4" t="s">
        <v>3</v>
      </c>
      <c r="O164" s="4">
        <v>2</v>
      </c>
      <c r="P164" s="4"/>
      <c r="Q164" s="4"/>
      <c r="R164" s="4"/>
      <c r="S164" s="4"/>
      <c r="T164" s="4"/>
      <c r="U164" s="4"/>
      <c r="V164" s="4"/>
      <c r="W164" s="4">
        <v>6406.5</v>
      </c>
      <c r="X164" s="4">
        <v>1</v>
      </c>
      <c r="Y164" s="4">
        <v>6406.5</v>
      </c>
      <c r="Z164" s="4"/>
      <c r="AA164" s="4"/>
      <c r="AB164" s="4"/>
    </row>
    <row r="165" spans="1:28">
      <c r="A165" s="4">
        <v>50</v>
      </c>
      <c r="B165" s="4">
        <v>0</v>
      </c>
      <c r="C165" s="4">
        <v>0</v>
      </c>
      <c r="D165" s="4">
        <v>1</v>
      </c>
      <c r="E165" s="4">
        <v>226</v>
      </c>
      <c r="F165" s="4">
        <f>ROUND(Source!AW159,O165)</f>
        <v>6406.5</v>
      </c>
      <c r="G165" s="4" t="s">
        <v>62</v>
      </c>
      <c r="H165" s="4" t="s">
        <v>63</v>
      </c>
      <c r="I165" s="4"/>
      <c r="J165" s="4"/>
      <c r="K165" s="4">
        <v>226</v>
      </c>
      <c r="L165" s="4">
        <v>5</v>
      </c>
      <c r="M165" s="4">
        <v>3</v>
      </c>
      <c r="N165" s="4" t="s">
        <v>3</v>
      </c>
      <c r="O165" s="4">
        <v>2</v>
      </c>
      <c r="P165" s="4"/>
      <c r="Q165" s="4"/>
      <c r="R165" s="4"/>
      <c r="S165" s="4"/>
      <c r="T165" s="4"/>
      <c r="U165" s="4"/>
      <c r="V165" s="4"/>
      <c r="W165" s="4">
        <v>6406.5</v>
      </c>
      <c r="X165" s="4">
        <v>1</v>
      </c>
      <c r="Y165" s="4">
        <v>6406.5</v>
      </c>
      <c r="Z165" s="4"/>
      <c r="AA165" s="4"/>
      <c r="AB165" s="4"/>
    </row>
    <row r="166" spans="1:28">
      <c r="A166" s="4">
        <v>50</v>
      </c>
      <c r="B166" s="4">
        <v>0</v>
      </c>
      <c r="C166" s="4">
        <v>0</v>
      </c>
      <c r="D166" s="4">
        <v>1</v>
      </c>
      <c r="E166" s="4">
        <v>227</v>
      </c>
      <c r="F166" s="4">
        <f>ROUND(Source!AX159,O166)</f>
        <v>0</v>
      </c>
      <c r="G166" s="4" t="s">
        <v>64</v>
      </c>
      <c r="H166" s="4" t="s">
        <v>65</v>
      </c>
      <c r="I166" s="4"/>
      <c r="J166" s="4"/>
      <c r="K166" s="4">
        <v>227</v>
      </c>
      <c r="L166" s="4">
        <v>6</v>
      </c>
      <c r="M166" s="4">
        <v>3</v>
      </c>
      <c r="N166" s="4" t="s">
        <v>3</v>
      </c>
      <c r="O166" s="4">
        <v>2</v>
      </c>
      <c r="P166" s="4"/>
      <c r="Q166" s="4"/>
      <c r="R166" s="4"/>
      <c r="S166" s="4"/>
      <c r="T166" s="4"/>
      <c r="U166" s="4"/>
      <c r="V166" s="4"/>
      <c r="W166" s="4">
        <v>0</v>
      </c>
      <c r="X166" s="4">
        <v>1</v>
      </c>
      <c r="Y166" s="4">
        <v>0</v>
      </c>
      <c r="Z166" s="4"/>
      <c r="AA166" s="4"/>
      <c r="AB166" s="4"/>
    </row>
    <row r="167" spans="1:28">
      <c r="A167" s="4">
        <v>50</v>
      </c>
      <c r="B167" s="4">
        <v>0</v>
      </c>
      <c r="C167" s="4">
        <v>0</v>
      </c>
      <c r="D167" s="4">
        <v>1</v>
      </c>
      <c r="E167" s="4">
        <v>228</v>
      </c>
      <c r="F167" s="4">
        <f>ROUND(Source!AY159,O167)</f>
        <v>6406.5</v>
      </c>
      <c r="G167" s="4" t="s">
        <v>66</v>
      </c>
      <c r="H167" s="4" t="s">
        <v>67</v>
      </c>
      <c r="I167" s="4"/>
      <c r="J167" s="4"/>
      <c r="K167" s="4">
        <v>228</v>
      </c>
      <c r="L167" s="4">
        <v>7</v>
      </c>
      <c r="M167" s="4">
        <v>3</v>
      </c>
      <c r="N167" s="4" t="s">
        <v>3</v>
      </c>
      <c r="O167" s="4">
        <v>2</v>
      </c>
      <c r="P167" s="4"/>
      <c r="Q167" s="4"/>
      <c r="R167" s="4"/>
      <c r="S167" s="4"/>
      <c r="T167" s="4"/>
      <c r="U167" s="4"/>
      <c r="V167" s="4"/>
      <c r="W167" s="4">
        <v>6406.5</v>
      </c>
      <c r="X167" s="4">
        <v>1</v>
      </c>
      <c r="Y167" s="4">
        <v>6406.5</v>
      </c>
      <c r="Z167" s="4"/>
      <c r="AA167" s="4"/>
      <c r="AB167" s="4"/>
    </row>
    <row r="168" spans="1:28">
      <c r="A168" s="4">
        <v>50</v>
      </c>
      <c r="B168" s="4">
        <v>0</v>
      </c>
      <c r="C168" s="4">
        <v>0</v>
      </c>
      <c r="D168" s="4">
        <v>1</v>
      </c>
      <c r="E168" s="4">
        <v>216</v>
      </c>
      <c r="F168" s="4">
        <f>ROUND(Source!AP159,O168)</f>
        <v>0</v>
      </c>
      <c r="G168" s="4" t="s">
        <v>68</v>
      </c>
      <c r="H168" s="4" t="s">
        <v>69</v>
      </c>
      <c r="I168" s="4"/>
      <c r="J168" s="4"/>
      <c r="K168" s="4">
        <v>216</v>
      </c>
      <c r="L168" s="4">
        <v>8</v>
      </c>
      <c r="M168" s="4">
        <v>3</v>
      </c>
      <c r="N168" s="4" t="s">
        <v>3</v>
      </c>
      <c r="O168" s="4">
        <v>2</v>
      </c>
      <c r="P168" s="4"/>
      <c r="Q168" s="4"/>
      <c r="R168" s="4"/>
      <c r="S168" s="4"/>
      <c r="T168" s="4"/>
      <c r="U168" s="4"/>
      <c r="V168" s="4"/>
      <c r="W168" s="4">
        <v>0</v>
      </c>
      <c r="X168" s="4">
        <v>1</v>
      </c>
      <c r="Y168" s="4">
        <v>0</v>
      </c>
      <c r="Z168" s="4"/>
      <c r="AA168" s="4"/>
      <c r="AB168" s="4"/>
    </row>
    <row r="169" spans="1:28">
      <c r="A169" s="4">
        <v>50</v>
      </c>
      <c r="B169" s="4">
        <v>0</v>
      </c>
      <c r="C169" s="4">
        <v>0</v>
      </c>
      <c r="D169" s="4">
        <v>1</v>
      </c>
      <c r="E169" s="4">
        <v>223</v>
      </c>
      <c r="F169" s="4">
        <f>ROUND(Source!AQ159,O169)</f>
        <v>0</v>
      </c>
      <c r="G169" s="4" t="s">
        <v>70</v>
      </c>
      <c r="H169" s="4" t="s">
        <v>71</v>
      </c>
      <c r="I169" s="4"/>
      <c r="J169" s="4"/>
      <c r="K169" s="4">
        <v>223</v>
      </c>
      <c r="L169" s="4">
        <v>9</v>
      </c>
      <c r="M169" s="4">
        <v>3</v>
      </c>
      <c r="N169" s="4" t="s">
        <v>3</v>
      </c>
      <c r="O169" s="4">
        <v>2</v>
      </c>
      <c r="P169" s="4"/>
      <c r="Q169" s="4"/>
      <c r="R169" s="4"/>
      <c r="S169" s="4"/>
      <c r="T169" s="4"/>
      <c r="U169" s="4"/>
      <c r="V169" s="4"/>
      <c r="W169" s="4">
        <v>0</v>
      </c>
      <c r="X169" s="4">
        <v>1</v>
      </c>
      <c r="Y169" s="4">
        <v>0</v>
      </c>
      <c r="Z169" s="4"/>
      <c r="AA169" s="4"/>
      <c r="AB169" s="4"/>
    </row>
    <row r="170" spans="1:28">
      <c r="A170" s="4">
        <v>50</v>
      </c>
      <c r="B170" s="4">
        <v>0</v>
      </c>
      <c r="C170" s="4">
        <v>0</v>
      </c>
      <c r="D170" s="4">
        <v>1</v>
      </c>
      <c r="E170" s="4">
        <v>229</v>
      </c>
      <c r="F170" s="4">
        <f>ROUND(Source!AZ159,O170)</f>
        <v>0</v>
      </c>
      <c r="G170" s="4" t="s">
        <v>72</v>
      </c>
      <c r="H170" s="4" t="s">
        <v>73</v>
      </c>
      <c r="I170" s="4"/>
      <c r="J170" s="4"/>
      <c r="K170" s="4">
        <v>229</v>
      </c>
      <c r="L170" s="4">
        <v>10</v>
      </c>
      <c r="M170" s="4">
        <v>3</v>
      </c>
      <c r="N170" s="4" t="s">
        <v>3</v>
      </c>
      <c r="O170" s="4">
        <v>2</v>
      </c>
      <c r="P170" s="4"/>
      <c r="Q170" s="4"/>
      <c r="R170" s="4"/>
      <c r="S170" s="4"/>
      <c r="T170" s="4"/>
      <c r="U170" s="4"/>
      <c r="V170" s="4"/>
      <c r="W170" s="4">
        <v>0</v>
      </c>
      <c r="X170" s="4">
        <v>1</v>
      </c>
      <c r="Y170" s="4">
        <v>0</v>
      </c>
      <c r="Z170" s="4"/>
      <c r="AA170" s="4"/>
      <c r="AB170" s="4"/>
    </row>
    <row r="171" spans="1:28">
      <c r="A171" s="4">
        <v>50</v>
      </c>
      <c r="B171" s="4">
        <v>0</v>
      </c>
      <c r="C171" s="4">
        <v>0</v>
      </c>
      <c r="D171" s="4">
        <v>1</v>
      </c>
      <c r="E171" s="4">
        <v>203</v>
      </c>
      <c r="F171" s="4">
        <f>ROUND(Source!Q159,O171)</f>
        <v>390.93</v>
      </c>
      <c r="G171" s="4" t="s">
        <v>74</v>
      </c>
      <c r="H171" s="4" t="s">
        <v>75</v>
      </c>
      <c r="I171" s="4"/>
      <c r="J171" s="4"/>
      <c r="K171" s="4">
        <v>203</v>
      </c>
      <c r="L171" s="4">
        <v>11</v>
      </c>
      <c r="M171" s="4">
        <v>3</v>
      </c>
      <c r="N171" s="4" t="s">
        <v>3</v>
      </c>
      <c r="O171" s="4">
        <v>2</v>
      </c>
      <c r="P171" s="4"/>
      <c r="Q171" s="4"/>
      <c r="R171" s="4"/>
      <c r="S171" s="4"/>
      <c r="T171" s="4"/>
      <c r="U171" s="4"/>
      <c r="V171" s="4"/>
      <c r="W171" s="4">
        <v>390.93</v>
      </c>
      <c r="X171" s="4">
        <v>1</v>
      </c>
      <c r="Y171" s="4">
        <v>390.93</v>
      </c>
      <c r="Z171" s="4"/>
      <c r="AA171" s="4"/>
      <c r="AB171" s="4"/>
    </row>
    <row r="172" spans="1:28">
      <c r="A172" s="4">
        <v>50</v>
      </c>
      <c r="B172" s="4">
        <v>0</v>
      </c>
      <c r="C172" s="4">
        <v>0</v>
      </c>
      <c r="D172" s="4">
        <v>1</v>
      </c>
      <c r="E172" s="4">
        <v>231</v>
      </c>
      <c r="F172" s="4">
        <f>ROUND(Source!BB159,O172)</f>
        <v>0</v>
      </c>
      <c r="G172" s="4" t="s">
        <v>76</v>
      </c>
      <c r="H172" s="4" t="s">
        <v>77</v>
      </c>
      <c r="I172" s="4"/>
      <c r="J172" s="4"/>
      <c r="K172" s="4">
        <v>231</v>
      </c>
      <c r="L172" s="4">
        <v>12</v>
      </c>
      <c r="M172" s="4">
        <v>3</v>
      </c>
      <c r="N172" s="4" t="s">
        <v>3</v>
      </c>
      <c r="O172" s="4">
        <v>2</v>
      </c>
      <c r="P172" s="4"/>
      <c r="Q172" s="4"/>
      <c r="R172" s="4"/>
      <c r="S172" s="4"/>
      <c r="T172" s="4"/>
      <c r="U172" s="4"/>
      <c r="V172" s="4"/>
      <c r="W172" s="4">
        <v>0</v>
      </c>
      <c r="X172" s="4">
        <v>1</v>
      </c>
      <c r="Y172" s="4">
        <v>0</v>
      </c>
      <c r="Z172" s="4"/>
      <c r="AA172" s="4"/>
      <c r="AB172" s="4"/>
    </row>
    <row r="173" spans="1:28">
      <c r="A173" s="4">
        <v>50</v>
      </c>
      <c r="B173" s="4">
        <v>0</v>
      </c>
      <c r="C173" s="4">
        <v>0</v>
      </c>
      <c r="D173" s="4">
        <v>1</v>
      </c>
      <c r="E173" s="4">
        <v>204</v>
      </c>
      <c r="F173" s="4">
        <f>ROUND(Source!R159,O173)</f>
        <v>22.27</v>
      </c>
      <c r="G173" s="4" t="s">
        <v>78</v>
      </c>
      <c r="H173" s="4" t="s">
        <v>79</v>
      </c>
      <c r="I173" s="4"/>
      <c r="J173" s="4"/>
      <c r="K173" s="4">
        <v>204</v>
      </c>
      <c r="L173" s="4">
        <v>13</v>
      </c>
      <c r="M173" s="4">
        <v>3</v>
      </c>
      <c r="N173" s="4" t="s">
        <v>3</v>
      </c>
      <c r="O173" s="4">
        <v>2</v>
      </c>
      <c r="P173" s="4"/>
      <c r="Q173" s="4"/>
      <c r="R173" s="4"/>
      <c r="S173" s="4"/>
      <c r="T173" s="4"/>
      <c r="U173" s="4"/>
      <c r="V173" s="4"/>
      <c r="W173" s="4">
        <v>22.27</v>
      </c>
      <c r="X173" s="4">
        <v>1</v>
      </c>
      <c r="Y173" s="4">
        <v>22.27</v>
      </c>
      <c r="Z173" s="4"/>
      <c r="AA173" s="4"/>
      <c r="AB173" s="4"/>
    </row>
    <row r="174" spans="1:28">
      <c r="A174" s="4">
        <v>50</v>
      </c>
      <c r="B174" s="4">
        <v>0</v>
      </c>
      <c r="C174" s="4">
        <v>0</v>
      </c>
      <c r="D174" s="4">
        <v>1</v>
      </c>
      <c r="E174" s="4">
        <v>205</v>
      </c>
      <c r="F174" s="4">
        <f>ROUND(Source!S159,O174)</f>
        <v>23675.73</v>
      </c>
      <c r="G174" s="4" t="s">
        <v>80</v>
      </c>
      <c r="H174" s="4" t="s">
        <v>81</v>
      </c>
      <c r="I174" s="4"/>
      <c r="J174" s="4"/>
      <c r="K174" s="4">
        <v>205</v>
      </c>
      <c r="L174" s="4">
        <v>14</v>
      </c>
      <c r="M174" s="4">
        <v>3</v>
      </c>
      <c r="N174" s="4" t="s">
        <v>3</v>
      </c>
      <c r="O174" s="4">
        <v>2</v>
      </c>
      <c r="P174" s="4"/>
      <c r="Q174" s="4"/>
      <c r="R174" s="4"/>
      <c r="S174" s="4"/>
      <c r="T174" s="4"/>
      <c r="U174" s="4"/>
      <c r="V174" s="4"/>
      <c r="W174" s="4">
        <v>23675.73</v>
      </c>
      <c r="X174" s="4">
        <v>1</v>
      </c>
      <c r="Y174" s="4">
        <v>23675.73</v>
      </c>
      <c r="Z174" s="4"/>
      <c r="AA174" s="4"/>
      <c r="AB174" s="4"/>
    </row>
    <row r="175" spans="1:28">
      <c r="A175" s="4">
        <v>50</v>
      </c>
      <c r="B175" s="4">
        <v>0</v>
      </c>
      <c r="C175" s="4">
        <v>0</v>
      </c>
      <c r="D175" s="4">
        <v>1</v>
      </c>
      <c r="E175" s="4">
        <v>232</v>
      </c>
      <c r="F175" s="4">
        <f>ROUND(Source!BC159,O175)</f>
        <v>0</v>
      </c>
      <c r="G175" s="4" t="s">
        <v>82</v>
      </c>
      <c r="H175" s="4" t="s">
        <v>83</v>
      </c>
      <c r="I175" s="4"/>
      <c r="J175" s="4"/>
      <c r="K175" s="4">
        <v>232</v>
      </c>
      <c r="L175" s="4">
        <v>15</v>
      </c>
      <c r="M175" s="4">
        <v>3</v>
      </c>
      <c r="N175" s="4" t="s">
        <v>3</v>
      </c>
      <c r="O175" s="4">
        <v>2</v>
      </c>
      <c r="P175" s="4"/>
      <c r="Q175" s="4"/>
      <c r="R175" s="4"/>
      <c r="S175" s="4"/>
      <c r="T175" s="4"/>
      <c r="U175" s="4"/>
      <c r="V175" s="4"/>
      <c r="W175" s="4">
        <v>0</v>
      </c>
      <c r="X175" s="4">
        <v>1</v>
      </c>
      <c r="Y175" s="4">
        <v>0</v>
      </c>
      <c r="Z175" s="4"/>
      <c r="AA175" s="4"/>
      <c r="AB175" s="4"/>
    </row>
    <row r="176" spans="1:28">
      <c r="A176" s="4">
        <v>50</v>
      </c>
      <c r="B176" s="4">
        <v>0</v>
      </c>
      <c r="C176" s="4">
        <v>0</v>
      </c>
      <c r="D176" s="4">
        <v>1</v>
      </c>
      <c r="E176" s="4">
        <v>214</v>
      </c>
      <c r="F176" s="4">
        <f>ROUND(Source!AS159,O176)</f>
        <v>62165.77</v>
      </c>
      <c r="G176" s="4" t="s">
        <v>84</v>
      </c>
      <c r="H176" s="4" t="s">
        <v>85</v>
      </c>
      <c r="I176" s="4"/>
      <c r="J176" s="4"/>
      <c r="K176" s="4">
        <v>214</v>
      </c>
      <c r="L176" s="4">
        <v>16</v>
      </c>
      <c r="M176" s="4">
        <v>3</v>
      </c>
      <c r="N176" s="4" t="s">
        <v>3</v>
      </c>
      <c r="O176" s="4">
        <v>2</v>
      </c>
      <c r="P176" s="4"/>
      <c r="Q176" s="4"/>
      <c r="R176" s="4"/>
      <c r="S176" s="4"/>
      <c r="T176" s="4"/>
      <c r="U176" s="4"/>
      <c r="V176" s="4"/>
      <c r="W176" s="4">
        <v>62165.77</v>
      </c>
      <c r="X176" s="4">
        <v>1</v>
      </c>
      <c r="Y176" s="4">
        <v>62165.77</v>
      </c>
      <c r="Z176" s="4"/>
      <c r="AA176" s="4"/>
      <c r="AB176" s="4"/>
    </row>
    <row r="177" spans="1:206">
      <c r="A177" s="4">
        <v>50</v>
      </c>
      <c r="B177" s="4">
        <v>0</v>
      </c>
      <c r="C177" s="4">
        <v>0</v>
      </c>
      <c r="D177" s="4">
        <v>1</v>
      </c>
      <c r="E177" s="4">
        <v>215</v>
      </c>
      <c r="F177" s="4">
        <f>ROUND(Source!AT159,O177)</f>
        <v>0</v>
      </c>
      <c r="G177" s="4" t="s">
        <v>86</v>
      </c>
      <c r="H177" s="4" t="s">
        <v>87</v>
      </c>
      <c r="I177" s="4"/>
      <c r="J177" s="4"/>
      <c r="K177" s="4">
        <v>215</v>
      </c>
      <c r="L177" s="4">
        <v>17</v>
      </c>
      <c r="M177" s="4">
        <v>3</v>
      </c>
      <c r="N177" s="4" t="s">
        <v>3</v>
      </c>
      <c r="O177" s="4">
        <v>2</v>
      </c>
      <c r="P177" s="4"/>
      <c r="Q177" s="4"/>
      <c r="R177" s="4"/>
      <c r="S177" s="4"/>
      <c r="T177" s="4"/>
      <c r="U177" s="4"/>
      <c r="V177" s="4"/>
      <c r="W177" s="4">
        <v>0</v>
      </c>
      <c r="X177" s="4">
        <v>1</v>
      </c>
      <c r="Y177" s="4">
        <v>0</v>
      </c>
      <c r="Z177" s="4"/>
      <c r="AA177" s="4"/>
      <c r="AB177" s="4"/>
    </row>
    <row r="178" spans="1:206">
      <c r="A178" s="4">
        <v>50</v>
      </c>
      <c r="B178" s="4">
        <v>0</v>
      </c>
      <c r="C178" s="4">
        <v>0</v>
      </c>
      <c r="D178" s="4">
        <v>1</v>
      </c>
      <c r="E178" s="4">
        <v>217</v>
      </c>
      <c r="F178" s="4">
        <f>ROUND(Source!AU159,O178)</f>
        <v>0</v>
      </c>
      <c r="G178" s="4" t="s">
        <v>88</v>
      </c>
      <c r="H178" s="4" t="s">
        <v>89</v>
      </c>
      <c r="I178" s="4"/>
      <c r="J178" s="4"/>
      <c r="K178" s="4">
        <v>217</v>
      </c>
      <c r="L178" s="4">
        <v>18</v>
      </c>
      <c r="M178" s="4">
        <v>3</v>
      </c>
      <c r="N178" s="4" t="s">
        <v>3</v>
      </c>
      <c r="O178" s="4">
        <v>2</v>
      </c>
      <c r="P178" s="4"/>
      <c r="Q178" s="4"/>
      <c r="R178" s="4"/>
      <c r="S178" s="4"/>
      <c r="T178" s="4"/>
      <c r="U178" s="4"/>
      <c r="V178" s="4"/>
      <c r="W178" s="4">
        <v>0</v>
      </c>
      <c r="X178" s="4">
        <v>1</v>
      </c>
      <c r="Y178" s="4">
        <v>0</v>
      </c>
      <c r="Z178" s="4"/>
      <c r="AA178" s="4"/>
      <c r="AB178" s="4"/>
    </row>
    <row r="179" spans="1:206">
      <c r="A179" s="4">
        <v>50</v>
      </c>
      <c r="B179" s="4">
        <v>0</v>
      </c>
      <c r="C179" s="4">
        <v>0</v>
      </c>
      <c r="D179" s="4">
        <v>1</v>
      </c>
      <c r="E179" s="4">
        <v>230</v>
      </c>
      <c r="F179" s="4">
        <f>ROUND(Source!BA159,O179)</f>
        <v>0</v>
      </c>
      <c r="G179" s="4" t="s">
        <v>90</v>
      </c>
      <c r="H179" s="4" t="s">
        <v>91</v>
      </c>
      <c r="I179" s="4"/>
      <c r="J179" s="4"/>
      <c r="K179" s="4">
        <v>230</v>
      </c>
      <c r="L179" s="4">
        <v>19</v>
      </c>
      <c r="M179" s="4">
        <v>3</v>
      </c>
      <c r="N179" s="4" t="s">
        <v>3</v>
      </c>
      <c r="O179" s="4">
        <v>2</v>
      </c>
      <c r="P179" s="4"/>
      <c r="Q179" s="4"/>
      <c r="R179" s="4"/>
      <c r="S179" s="4"/>
      <c r="T179" s="4"/>
      <c r="U179" s="4"/>
      <c r="V179" s="4"/>
      <c r="W179" s="4">
        <v>0</v>
      </c>
      <c r="X179" s="4">
        <v>1</v>
      </c>
      <c r="Y179" s="4">
        <v>0</v>
      </c>
      <c r="Z179" s="4"/>
      <c r="AA179" s="4"/>
      <c r="AB179" s="4"/>
    </row>
    <row r="180" spans="1:206">
      <c r="A180" s="4">
        <v>50</v>
      </c>
      <c r="B180" s="4">
        <v>0</v>
      </c>
      <c r="C180" s="4">
        <v>0</v>
      </c>
      <c r="D180" s="4">
        <v>1</v>
      </c>
      <c r="E180" s="4">
        <v>206</v>
      </c>
      <c r="F180" s="4">
        <f>ROUND(Source!T159,O180)</f>
        <v>0</v>
      </c>
      <c r="G180" s="4" t="s">
        <v>92</v>
      </c>
      <c r="H180" s="4" t="s">
        <v>93</v>
      </c>
      <c r="I180" s="4"/>
      <c r="J180" s="4"/>
      <c r="K180" s="4">
        <v>206</v>
      </c>
      <c r="L180" s="4">
        <v>20</v>
      </c>
      <c r="M180" s="4">
        <v>3</v>
      </c>
      <c r="N180" s="4" t="s">
        <v>3</v>
      </c>
      <c r="O180" s="4">
        <v>2</v>
      </c>
      <c r="P180" s="4"/>
      <c r="Q180" s="4"/>
      <c r="R180" s="4"/>
      <c r="S180" s="4"/>
      <c r="T180" s="4"/>
      <c r="U180" s="4"/>
      <c r="V180" s="4"/>
      <c r="W180" s="4">
        <v>0</v>
      </c>
      <c r="X180" s="4">
        <v>1</v>
      </c>
      <c r="Y180" s="4">
        <v>0</v>
      </c>
      <c r="Z180" s="4"/>
      <c r="AA180" s="4"/>
      <c r="AB180" s="4"/>
    </row>
    <row r="181" spans="1:206">
      <c r="A181" s="4">
        <v>50</v>
      </c>
      <c r="B181" s="4">
        <v>0</v>
      </c>
      <c r="C181" s="4">
        <v>0</v>
      </c>
      <c r="D181" s="4">
        <v>1</v>
      </c>
      <c r="E181" s="4">
        <v>207</v>
      </c>
      <c r="F181" s="4">
        <f>Source!U159</f>
        <v>81.371328000000005</v>
      </c>
      <c r="G181" s="4" t="s">
        <v>94</v>
      </c>
      <c r="H181" s="4" t="s">
        <v>95</v>
      </c>
      <c r="I181" s="4"/>
      <c r="J181" s="4"/>
      <c r="K181" s="4">
        <v>207</v>
      </c>
      <c r="L181" s="4">
        <v>21</v>
      </c>
      <c r="M181" s="4">
        <v>3</v>
      </c>
      <c r="N181" s="4" t="s">
        <v>3</v>
      </c>
      <c r="O181" s="4">
        <v>-1</v>
      </c>
      <c r="P181" s="4"/>
      <c r="Q181" s="4"/>
      <c r="R181" s="4"/>
      <c r="S181" s="4"/>
      <c r="T181" s="4"/>
      <c r="U181" s="4"/>
      <c r="V181" s="4"/>
      <c r="W181" s="4">
        <v>81.371328000000005</v>
      </c>
      <c r="X181" s="4">
        <v>1</v>
      </c>
      <c r="Y181" s="4">
        <v>81.371328000000005</v>
      </c>
      <c r="Z181" s="4"/>
      <c r="AA181" s="4"/>
      <c r="AB181" s="4"/>
    </row>
    <row r="182" spans="1:206">
      <c r="A182" s="4">
        <v>50</v>
      </c>
      <c r="B182" s="4">
        <v>0</v>
      </c>
      <c r="C182" s="4">
        <v>0</v>
      </c>
      <c r="D182" s="4">
        <v>1</v>
      </c>
      <c r="E182" s="4">
        <v>208</v>
      </c>
      <c r="F182" s="4">
        <f>Source!V159</f>
        <v>5.4480000000000008E-2</v>
      </c>
      <c r="G182" s="4" t="s">
        <v>96</v>
      </c>
      <c r="H182" s="4" t="s">
        <v>97</v>
      </c>
      <c r="I182" s="4"/>
      <c r="J182" s="4"/>
      <c r="K182" s="4">
        <v>208</v>
      </c>
      <c r="L182" s="4">
        <v>22</v>
      </c>
      <c r="M182" s="4">
        <v>3</v>
      </c>
      <c r="N182" s="4" t="s">
        <v>3</v>
      </c>
      <c r="O182" s="4">
        <v>-1</v>
      </c>
      <c r="P182" s="4"/>
      <c r="Q182" s="4"/>
      <c r="R182" s="4"/>
      <c r="S182" s="4"/>
      <c r="T182" s="4"/>
      <c r="U182" s="4"/>
      <c r="V182" s="4"/>
      <c r="W182" s="4">
        <v>5.4480000000000001E-2</v>
      </c>
      <c r="X182" s="4">
        <v>1</v>
      </c>
      <c r="Y182" s="4">
        <v>5.4480000000000001E-2</v>
      </c>
      <c r="Z182" s="4"/>
      <c r="AA182" s="4"/>
      <c r="AB182" s="4"/>
    </row>
    <row r="183" spans="1:206">
      <c r="A183" s="4">
        <v>50</v>
      </c>
      <c r="B183" s="4">
        <v>0</v>
      </c>
      <c r="C183" s="4">
        <v>0</v>
      </c>
      <c r="D183" s="4">
        <v>1</v>
      </c>
      <c r="E183" s="4">
        <v>209</v>
      </c>
      <c r="F183" s="4">
        <f>ROUND(Source!W159,O183)</f>
        <v>0</v>
      </c>
      <c r="G183" s="4" t="s">
        <v>98</v>
      </c>
      <c r="H183" s="4" t="s">
        <v>99</v>
      </c>
      <c r="I183" s="4"/>
      <c r="J183" s="4"/>
      <c r="K183" s="4">
        <v>209</v>
      </c>
      <c r="L183" s="4">
        <v>23</v>
      </c>
      <c r="M183" s="4">
        <v>3</v>
      </c>
      <c r="N183" s="4" t="s">
        <v>3</v>
      </c>
      <c r="O183" s="4">
        <v>2</v>
      </c>
      <c r="P183" s="4"/>
      <c r="Q183" s="4"/>
      <c r="R183" s="4"/>
      <c r="S183" s="4"/>
      <c r="T183" s="4"/>
      <c r="U183" s="4"/>
      <c r="V183" s="4"/>
      <c r="W183" s="4">
        <v>0</v>
      </c>
      <c r="X183" s="4">
        <v>1</v>
      </c>
      <c r="Y183" s="4">
        <v>0</v>
      </c>
      <c r="Z183" s="4"/>
      <c r="AA183" s="4"/>
      <c r="AB183" s="4"/>
    </row>
    <row r="184" spans="1:206">
      <c r="A184" s="4">
        <v>50</v>
      </c>
      <c r="B184" s="4">
        <v>0</v>
      </c>
      <c r="C184" s="4">
        <v>0</v>
      </c>
      <c r="D184" s="4">
        <v>1</v>
      </c>
      <c r="E184" s="4">
        <v>233</v>
      </c>
      <c r="F184" s="4">
        <f>ROUND(Source!BD159,O184)</f>
        <v>0</v>
      </c>
      <c r="G184" s="4" t="s">
        <v>100</v>
      </c>
      <c r="H184" s="4" t="s">
        <v>101</v>
      </c>
      <c r="I184" s="4"/>
      <c r="J184" s="4"/>
      <c r="K184" s="4">
        <v>233</v>
      </c>
      <c r="L184" s="4">
        <v>24</v>
      </c>
      <c r="M184" s="4">
        <v>3</v>
      </c>
      <c r="N184" s="4" t="s">
        <v>3</v>
      </c>
      <c r="O184" s="4">
        <v>2</v>
      </c>
      <c r="P184" s="4"/>
      <c r="Q184" s="4"/>
      <c r="R184" s="4"/>
      <c r="S184" s="4"/>
      <c r="T184" s="4"/>
      <c r="U184" s="4"/>
      <c r="V184" s="4"/>
      <c r="W184" s="4">
        <v>0</v>
      </c>
      <c r="X184" s="4">
        <v>1</v>
      </c>
      <c r="Y184" s="4">
        <v>0</v>
      </c>
      <c r="Z184" s="4"/>
      <c r="AA184" s="4"/>
      <c r="AB184" s="4"/>
    </row>
    <row r="185" spans="1:206">
      <c r="A185" s="4">
        <v>50</v>
      </c>
      <c r="B185" s="4">
        <v>0</v>
      </c>
      <c r="C185" s="4">
        <v>0</v>
      </c>
      <c r="D185" s="4">
        <v>1</v>
      </c>
      <c r="E185" s="4">
        <v>210</v>
      </c>
      <c r="F185" s="4">
        <f>ROUND(Source!X159,O185)</f>
        <v>21452.6</v>
      </c>
      <c r="G185" s="4" t="s">
        <v>102</v>
      </c>
      <c r="H185" s="4" t="s">
        <v>103</v>
      </c>
      <c r="I185" s="4"/>
      <c r="J185" s="4"/>
      <c r="K185" s="4">
        <v>210</v>
      </c>
      <c r="L185" s="4">
        <v>25</v>
      </c>
      <c r="M185" s="4">
        <v>3</v>
      </c>
      <c r="N185" s="4" t="s">
        <v>3</v>
      </c>
      <c r="O185" s="4">
        <v>2</v>
      </c>
      <c r="P185" s="4"/>
      <c r="Q185" s="4"/>
      <c r="R185" s="4"/>
      <c r="S185" s="4"/>
      <c r="T185" s="4"/>
      <c r="U185" s="4"/>
      <c r="V185" s="4"/>
      <c r="W185" s="4">
        <v>21452.6</v>
      </c>
      <c r="X185" s="4">
        <v>1</v>
      </c>
      <c r="Y185" s="4">
        <v>21452.6</v>
      </c>
      <c r="Z185" s="4"/>
      <c r="AA185" s="4"/>
      <c r="AB185" s="4"/>
    </row>
    <row r="186" spans="1:206">
      <c r="A186" s="4">
        <v>50</v>
      </c>
      <c r="B186" s="4">
        <v>0</v>
      </c>
      <c r="C186" s="4">
        <v>0</v>
      </c>
      <c r="D186" s="4">
        <v>1</v>
      </c>
      <c r="E186" s="4">
        <v>211</v>
      </c>
      <c r="F186" s="4">
        <f>ROUND(Source!Y159,O186)</f>
        <v>10240.01</v>
      </c>
      <c r="G186" s="4" t="s">
        <v>104</v>
      </c>
      <c r="H186" s="4" t="s">
        <v>105</v>
      </c>
      <c r="I186" s="4"/>
      <c r="J186" s="4"/>
      <c r="K186" s="4">
        <v>211</v>
      </c>
      <c r="L186" s="4">
        <v>26</v>
      </c>
      <c r="M186" s="4">
        <v>3</v>
      </c>
      <c r="N186" s="4" t="s">
        <v>3</v>
      </c>
      <c r="O186" s="4">
        <v>2</v>
      </c>
      <c r="P186" s="4"/>
      <c r="Q186" s="4"/>
      <c r="R186" s="4"/>
      <c r="S186" s="4"/>
      <c r="T186" s="4"/>
      <c r="U186" s="4"/>
      <c r="V186" s="4"/>
      <c r="W186" s="4">
        <v>10240.01</v>
      </c>
      <c r="X186" s="4">
        <v>1</v>
      </c>
      <c r="Y186" s="4">
        <v>10240.01</v>
      </c>
      <c r="Z186" s="4"/>
      <c r="AA186" s="4"/>
      <c r="AB186" s="4"/>
    </row>
    <row r="187" spans="1:206">
      <c r="A187" s="4">
        <v>50</v>
      </c>
      <c r="B187" s="4">
        <v>0</v>
      </c>
      <c r="C187" s="4">
        <v>0</v>
      </c>
      <c r="D187" s="4">
        <v>1</v>
      </c>
      <c r="E187" s="4">
        <v>224</v>
      </c>
      <c r="F187" s="4">
        <f>ROUND(Source!AR159,O187)</f>
        <v>62165.77</v>
      </c>
      <c r="G187" s="4" t="s">
        <v>106</v>
      </c>
      <c r="H187" s="4" t="s">
        <v>107</v>
      </c>
      <c r="I187" s="4"/>
      <c r="J187" s="4"/>
      <c r="K187" s="4">
        <v>224</v>
      </c>
      <c r="L187" s="4">
        <v>27</v>
      </c>
      <c r="M187" s="4">
        <v>3</v>
      </c>
      <c r="N187" s="4" t="s">
        <v>3</v>
      </c>
      <c r="O187" s="4">
        <v>2</v>
      </c>
      <c r="P187" s="4"/>
      <c r="Q187" s="4"/>
      <c r="R187" s="4"/>
      <c r="S187" s="4"/>
      <c r="T187" s="4"/>
      <c r="U187" s="4"/>
      <c r="V187" s="4"/>
      <c r="W187" s="4">
        <v>62165.77</v>
      </c>
      <c r="X187" s="4">
        <v>1</v>
      </c>
      <c r="Y187" s="4">
        <v>62165.77</v>
      </c>
      <c r="Z187" s="4"/>
      <c r="AA187" s="4"/>
      <c r="AB187" s="4"/>
    </row>
    <row r="189" spans="1:206">
      <c r="A189" s="1">
        <v>4</v>
      </c>
      <c r="B189" s="1">
        <v>1</v>
      </c>
      <c r="C189" s="1"/>
      <c r="D189" s="1">
        <f>ROW(A210)</f>
        <v>210</v>
      </c>
      <c r="E189" s="1"/>
      <c r="F189" s="1" t="s">
        <v>13</v>
      </c>
      <c r="G189" s="1" t="s">
        <v>208</v>
      </c>
      <c r="H189" s="1" t="s">
        <v>3</v>
      </c>
      <c r="I189" s="1">
        <v>0</v>
      </c>
      <c r="J189" s="1"/>
      <c r="K189" s="1">
        <v>-1</v>
      </c>
      <c r="L189" s="1"/>
      <c r="M189" s="1" t="s">
        <v>3</v>
      </c>
      <c r="N189" s="1"/>
      <c r="O189" s="1"/>
      <c r="P189" s="1"/>
      <c r="Q189" s="1"/>
      <c r="R189" s="1"/>
      <c r="S189" s="1">
        <v>0</v>
      </c>
      <c r="T189" s="1"/>
      <c r="U189" s="1" t="s">
        <v>3</v>
      </c>
      <c r="V189" s="1">
        <v>0</v>
      </c>
      <c r="W189" s="1"/>
      <c r="X189" s="1"/>
      <c r="Y189" s="1"/>
      <c r="Z189" s="1"/>
      <c r="AA189" s="1"/>
      <c r="AB189" s="1" t="s">
        <v>3</v>
      </c>
      <c r="AC189" s="1" t="s">
        <v>3</v>
      </c>
      <c r="AD189" s="1" t="s">
        <v>3</v>
      </c>
      <c r="AE189" s="1" t="s">
        <v>3</v>
      </c>
      <c r="AF189" s="1" t="s">
        <v>3</v>
      </c>
      <c r="AG189" s="1" t="s">
        <v>3</v>
      </c>
      <c r="AH189" s="1"/>
      <c r="AI189" s="1"/>
      <c r="AJ189" s="1"/>
      <c r="AK189" s="1"/>
      <c r="AL189" s="1"/>
      <c r="AM189" s="1"/>
      <c r="AN189" s="1"/>
      <c r="AO189" s="1"/>
      <c r="AP189" s="1" t="s">
        <v>3</v>
      </c>
      <c r="AQ189" s="1" t="s">
        <v>3</v>
      </c>
      <c r="AR189" s="1" t="s">
        <v>3</v>
      </c>
      <c r="AS189" s="1"/>
      <c r="AT189" s="1"/>
      <c r="AU189" s="1"/>
      <c r="AV189" s="1"/>
      <c r="AW189" s="1"/>
      <c r="AX189" s="1"/>
      <c r="AY189" s="1"/>
      <c r="AZ189" s="1" t="s">
        <v>3</v>
      </c>
      <c r="BA189" s="1"/>
      <c r="BB189" s="1" t="s">
        <v>3</v>
      </c>
      <c r="BC189" s="1" t="s">
        <v>3</v>
      </c>
      <c r="BD189" s="1" t="s">
        <v>3</v>
      </c>
      <c r="BE189" s="1" t="s">
        <v>3</v>
      </c>
      <c r="BF189" s="1" t="s">
        <v>3</v>
      </c>
      <c r="BG189" s="1" t="s">
        <v>3</v>
      </c>
      <c r="BH189" s="1" t="s">
        <v>3</v>
      </c>
      <c r="BI189" s="1" t="s">
        <v>3</v>
      </c>
      <c r="BJ189" s="1" t="s">
        <v>3</v>
      </c>
      <c r="BK189" s="1" t="s">
        <v>3</v>
      </c>
      <c r="BL189" s="1" t="s">
        <v>3</v>
      </c>
      <c r="BM189" s="1" t="s">
        <v>3</v>
      </c>
      <c r="BN189" s="1" t="s">
        <v>3</v>
      </c>
      <c r="BO189" s="1" t="s">
        <v>3</v>
      </c>
      <c r="BP189" s="1" t="s">
        <v>3</v>
      </c>
      <c r="BQ189" s="1"/>
      <c r="BR189" s="1"/>
      <c r="BS189" s="1"/>
      <c r="BT189" s="1"/>
      <c r="BU189" s="1"/>
      <c r="BV189" s="1"/>
      <c r="BW189" s="1"/>
      <c r="BX189" s="1">
        <v>0</v>
      </c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>
        <v>0</v>
      </c>
    </row>
    <row r="191" spans="1:206">
      <c r="A191" s="2">
        <v>52</v>
      </c>
      <c r="B191" s="2">
        <f t="shared" ref="B191:G191" si="123">B210</f>
        <v>1</v>
      </c>
      <c r="C191" s="2">
        <f t="shared" si="123"/>
        <v>4</v>
      </c>
      <c r="D191" s="2">
        <f t="shared" si="123"/>
        <v>189</v>
      </c>
      <c r="E191" s="2">
        <f t="shared" si="123"/>
        <v>0</v>
      </c>
      <c r="F191" s="2" t="str">
        <f t="shared" si="123"/>
        <v>Новый раздел</v>
      </c>
      <c r="G191" s="2" t="str">
        <f t="shared" si="123"/>
        <v>Оконный блок</v>
      </c>
      <c r="H191" s="2"/>
      <c r="I191" s="2"/>
      <c r="J191" s="2"/>
      <c r="K191" s="2"/>
      <c r="L191" s="2"/>
      <c r="M191" s="2"/>
      <c r="N191" s="2"/>
      <c r="O191" s="2">
        <f t="shared" ref="O191:AT191" si="124">O210</f>
        <v>38599.56</v>
      </c>
      <c r="P191" s="2">
        <f t="shared" si="124"/>
        <v>25837.88</v>
      </c>
      <c r="Q191" s="2">
        <f t="shared" si="124"/>
        <v>2325.9</v>
      </c>
      <c r="R191" s="2">
        <f t="shared" si="124"/>
        <v>1344.46</v>
      </c>
      <c r="S191" s="2">
        <f t="shared" si="124"/>
        <v>10435.780000000001</v>
      </c>
      <c r="T191" s="2">
        <f t="shared" si="124"/>
        <v>0</v>
      </c>
      <c r="U191" s="2">
        <f t="shared" si="124"/>
        <v>34.770054999999999</v>
      </c>
      <c r="V191" s="2">
        <f t="shared" si="124"/>
        <v>3.9545020000000002</v>
      </c>
      <c r="W191" s="2">
        <f t="shared" si="124"/>
        <v>0.53</v>
      </c>
      <c r="X191" s="2">
        <f t="shared" si="124"/>
        <v>11785.24</v>
      </c>
      <c r="Y191" s="2">
        <f t="shared" si="124"/>
        <v>6404.35</v>
      </c>
      <c r="Z191" s="2">
        <f t="shared" si="124"/>
        <v>0</v>
      </c>
      <c r="AA191" s="2">
        <f t="shared" si="124"/>
        <v>0</v>
      </c>
      <c r="AB191" s="2">
        <f t="shared" si="124"/>
        <v>38599.56</v>
      </c>
      <c r="AC191" s="2">
        <f t="shared" si="124"/>
        <v>25837.88</v>
      </c>
      <c r="AD191" s="2">
        <f t="shared" si="124"/>
        <v>2325.9</v>
      </c>
      <c r="AE191" s="2">
        <f t="shared" si="124"/>
        <v>1344.46</v>
      </c>
      <c r="AF191" s="2">
        <f t="shared" si="124"/>
        <v>10435.780000000001</v>
      </c>
      <c r="AG191" s="2">
        <f t="shared" si="124"/>
        <v>0</v>
      </c>
      <c r="AH191" s="2">
        <f t="shared" si="124"/>
        <v>34.770054999999999</v>
      </c>
      <c r="AI191" s="2">
        <f t="shared" si="124"/>
        <v>3.9545020000000002</v>
      </c>
      <c r="AJ191" s="2">
        <f t="shared" si="124"/>
        <v>0.53</v>
      </c>
      <c r="AK191" s="2">
        <f t="shared" si="124"/>
        <v>11785.24</v>
      </c>
      <c r="AL191" s="2">
        <f t="shared" si="124"/>
        <v>6404.35</v>
      </c>
      <c r="AM191" s="2">
        <f t="shared" si="124"/>
        <v>0</v>
      </c>
      <c r="AN191" s="2">
        <f t="shared" si="124"/>
        <v>0</v>
      </c>
      <c r="AO191" s="2">
        <f t="shared" si="124"/>
        <v>0</v>
      </c>
      <c r="AP191" s="2">
        <f t="shared" si="124"/>
        <v>0</v>
      </c>
      <c r="AQ191" s="2">
        <f t="shared" si="124"/>
        <v>0</v>
      </c>
      <c r="AR191" s="2">
        <f t="shared" si="124"/>
        <v>56789.15</v>
      </c>
      <c r="AS191" s="2">
        <f t="shared" si="124"/>
        <v>56789.15</v>
      </c>
      <c r="AT191" s="2">
        <f t="shared" si="124"/>
        <v>0</v>
      </c>
      <c r="AU191" s="2">
        <f t="shared" ref="AU191:BZ191" si="125">AU210</f>
        <v>0</v>
      </c>
      <c r="AV191" s="2">
        <f t="shared" si="125"/>
        <v>25837.88</v>
      </c>
      <c r="AW191" s="2">
        <f t="shared" si="125"/>
        <v>25837.88</v>
      </c>
      <c r="AX191" s="2">
        <f t="shared" si="125"/>
        <v>0</v>
      </c>
      <c r="AY191" s="2">
        <f t="shared" si="125"/>
        <v>25837.88</v>
      </c>
      <c r="AZ191" s="2">
        <f t="shared" si="125"/>
        <v>0</v>
      </c>
      <c r="BA191" s="2">
        <f t="shared" si="125"/>
        <v>0</v>
      </c>
      <c r="BB191" s="2">
        <f t="shared" si="125"/>
        <v>0</v>
      </c>
      <c r="BC191" s="2">
        <f t="shared" si="125"/>
        <v>0</v>
      </c>
      <c r="BD191" s="2">
        <f t="shared" si="125"/>
        <v>0</v>
      </c>
      <c r="BE191" s="2">
        <f t="shared" si="125"/>
        <v>0</v>
      </c>
      <c r="BF191" s="2">
        <f t="shared" si="125"/>
        <v>0</v>
      </c>
      <c r="BG191" s="2">
        <f t="shared" si="125"/>
        <v>0</v>
      </c>
      <c r="BH191" s="2">
        <f t="shared" si="125"/>
        <v>0</v>
      </c>
      <c r="BI191" s="2">
        <f t="shared" si="125"/>
        <v>0</v>
      </c>
      <c r="BJ191" s="2">
        <f t="shared" si="125"/>
        <v>0</v>
      </c>
      <c r="BK191" s="2">
        <f t="shared" si="125"/>
        <v>0</v>
      </c>
      <c r="BL191" s="2">
        <f t="shared" si="125"/>
        <v>0</v>
      </c>
      <c r="BM191" s="2">
        <f t="shared" si="125"/>
        <v>0</v>
      </c>
      <c r="BN191" s="2">
        <f t="shared" si="125"/>
        <v>0</v>
      </c>
      <c r="BO191" s="2">
        <f t="shared" si="125"/>
        <v>0</v>
      </c>
      <c r="BP191" s="2">
        <f t="shared" si="125"/>
        <v>0</v>
      </c>
      <c r="BQ191" s="2">
        <f t="shared" si="125"/>
        <v>0</v>
      </c>
      <c r="BR191" s="2">
        <f t="shared" si="125"/>
        <v>0</v>
      </c>
      <c r="BS191" s="2">
        <f t="shared" si="125"/>
        <v>0</v>
      </c>
      <c r="BT191" s="2">
        <f t="shared" si="125"/>
        <v>0</v>
      </c>
      <c r="BU191" s="2">
        <f t="shared" si="125"/>
        <v>0</v>
      </c>
      <c r="BV191" s="2">
        <f t="shared" si="125"/>
        <v>0</v>
      </c>
      <c r="BW191" s="2">
        <f t="shared" si="125"/>
        <v>0</v>
      </c>
      <c r="BX191" s="2">
        <f t="shared" si="125"/>
        <v>0</v>
      </c>
      <c r="BY191" s="2">
        <f t="shared" si="125"/>
        <v>0</v>
      </c>
      <c r="BZ191" s="2">
        <f t="shared" si="125"/>
        <v>0</v>
      </c>
      <c r="CA191" s="2">
        <f t="shared" ref="CA191:DF191" si="126">CA210</f>
        <v>56789.15</v>
      </c>
      <c r="CB191" s="2">
        <f t="shared" si="126"/>
        <v>56789.15</v>
      </c>
      <c r="CC191" s="2">
        <f t="shared" si="126"/>
        <v>0</v>
      </c>
      <c r="CD191" s="2">
        <f t="shared" si="126"/>
        <v>0</v>
      </c>
      <c r="CE191" s="2">
        <f t="shared" si="126"/>
        <v>25837.88</v>
      </c>
      <c r="CF191" s="2">
        <f t="shared" si="126"/>
        <v>25837.88</v>
      </c>
      <c r="CG191" s="2">
        <f t="shared" si="126"/>
        <v>0</v>
      </c>
      <c r="CH191" s="2">
        <f t="shared" si="126"/>
        <v>25837.88</v>
      </c>
      <c r="CI191" s="2">
        <f t="shared" si="126"/>
        <v>0</v>
      </c>
      <c r="CJ191" s="2">
        <f t="shared" si="126"/>
        <v>0</v>
      </c>
      <c r="CK191" s="2">
        <f t="shared" si="126"/>
        <v>0</v>
      </c>
      <c r="CL191" s="2">
        <f t="shared" si="126"/>
        <v>0</v>
      </c>
      <c r="CM191" s="2">
        <f t="shared" si="126"/>
        <v>0</v>
      </c>
      <c r="CN191" s="2">
        <f t="shared" si="126"/>
        <v>0</v>
      </c>
      <c r="CO191" s="2">
        <f t="shared" si="126"/>
        <v>0</v>
      </c>
      <c r="CP191" s="2">
        <f t="shared" si="126"/>
        <v>0</v>
      </c>
      <c r="CQ191" s="2">
        <f t="shared" si="126"/>
        <v>0</v>
      </c>
      <c r="CR191" s="2">
        <f t="shared" si="126"/>
        <v>0</v>
      </c>
      <c r="CS191" s="2">
        <f t="shared" si="126"/>
        <v>0</v>
      </c>
      <c r="CT191" s="2">
        <f t="shared" si="126"/>
        <v>0</v>
      </c>
      <c r="CU191" s="2">
        <f t="shared" si="126"/>
        <v>0</v>
      </c>
      <c r="CV191" s="2">
        <f t="shared" si="126"/>
        <v>0</v>
      </c>
      <c r="CW191" s="2">
        <f t="shared" si="126"/>
        <v>0</v>
      </c>
      <c r="CX191" s="2">
        <f t="shared" si="126"/>
        <v>0</v>
      </c>
      <c r="CY191" s="2">
        <f t="shared" si="126"/>
        <v>0</v>
      </c>
      <c r="CZ191" s="2">
        <f t="shared" si="126"/>
        <v>0</v>
      </c>
      <c r="DA191" s="2">
        <f t="shared" si="126"/>
        <v>0</v>
      </c>
      <c r="DB191" s="2">
        <f t="shared" si="126"/>
        <v>0</v>
      </c>
      <c r="DC191" s="2">
        <f t="shared" si="126"/>
        <v>0</v>
      </c>
      <c r="DD191" s="2">
        <f t="shared" si="126"/>
        <v>0</v>
      </c>
      <c r="DE191" s="2">
        <f t="shared" si="126"/>
        <v>0</v>
      </c>
      <c r="DF191" s="2">
        <f t="shared" si="126"/>
        <v>0</v>
      </c>
      <c r="DG191" s="3">
        <f t="shared" ref="DG191:EL191" si="127">DG210</f>
        <v>0</v>
      </c>
      <c r="DH191" s="3">
        <f t="shared" si="127"/>
        <v>0</v>
      </c>
      <c r="DI191" s="3">
        <f t="shared" si="127"/>
        <v>0</v>
      </c>
      <c r="DJ191" s="3">
        <f t="shared" si="127"/>
        <v>0</v>
      </c>
      <c r="DK191" s="3">
        <f t="shared" si="127"/>
        <v>0</v>
      </c>
      <c r="DL191" s="3">
        <f t="shared" si="127"/>
        <v>0</v>
      </c>
      <c r="DM191" s="3">
        <f t="shared" si="127"/>
        <v>0</v>
      </c>
      <c r="DN191" s="3">
        <f t="shared" si="127"/>
        <v>0</v>
      </c>
      <c r="DO191" s="3">
        <f t="shared" si="127"/>
        <v>0</v>
      </c>
      <c r="DP191" s="3">
        <f t="shared" si="127"/>
        <v>0</v>
      </c>
      <c r="DQ191" s="3">
        <f t="shared" si="127"/>
        <v>0</v>
      </c>
      <c r="DR191" s="3">
        <f t="shared" si="127"/>
        <v>0</v>
      </c>
      <c r="DS191" s="3">
        <f t="shared" si="127"/>
        <v>0</v>
      </c>
      <c r="DT191" s="3">
        <f t="shared" si="127"/>
        <v>0</v>
      </c>
      <c r="DU191" s="3">
        <f t="shared" si="127"/>
        <v>0</v>
      </c>
      <c r="DV191" s="3">
        <f t="shared" si="127"/>
        <v>0</v>
      </c>
      <c r="DW191" s="3">
        <f t="shared" si="127"/>
        <v>0</v>
      </c>
      <c r="DX191" s="3">
        <f t="shared" si="127"/>
        <v>0</v>
      </c>
      <c r="DY191" s="3">
        <f t="shared" si="127"/>
        <v>0</v>
      </c>
      <c r="DZ191" s="3">
        <f t="shared" si="127"/>
        <v>0</v>
      </c>
      <c r="EA191" s="3">
        <f t="shared" si="127"/>
        <v>0</v>
      </c>
      <c r="EB191" s="3">
        <f t="shared" si="127"/>
        <v>0</v>
      </c>
      <c r="EC191" s="3">
        <f t="shared" si="127"/>
        <v>0</v>
      </c>
      <c r="ED191" s="3">
        <f t="shared" si="127"/>
        <v>0</v>
      </c>
      <c r="EE191" s="3">
        <f t="shared" si="127"/>
        <v>0</v>
      </c>
      <c r="EF191" s="3">
        <f t="shared" si="127"/>
        <v>0</v>
      </c>
      <c r="EG191" s="3">
        <f t="shared" si="127"/>
        <v>0</v>
      </c>
      <c r="EH191" s="3">
        <f t="shared" si="127"/>
        <v>0</v>
      </c>
      <c r="EI191" s="3">
        <f t="shared" si="127"/>
        <v>0</v>
      </c>
      <c r="EJ191" s="3">
        <f t="shared" si="127"/>
        <v>0</v>
      </c>
      <c r="EK191" s="3">
        <f t="shared" si="127"/>
        <v>0</v>
      </c>
      <c r="EL191" s="3">
        <f t="shared" si="127"/>
        <v>0</v>
      </c>
      <c r="EM191" s="3">
        <f t="shared" ref="EM191:FR191" si="128">EM210</f>
        <v>0</v>
      </c>
      <c r="EN191" s="3">
        <f t="shared" si="128"/>
        <v>0</v>
      </c>
      <c r="EO191" s="3">
        <f t="shared" si="128"/>
        <v>0</v>
      </c>
      <c r="EP191" s="3">
        <f t="shared" si="128"/>
        <v>0</v>
      </c>
      <c r="EQ191" s="3">
        <f t="shared" si="128"/>
        <v>0</v>
      </c>
      <c r="ER191" s="3">
        <f t="shared" si="128"/>
        <v>0</v>
      </c>
      <c r="ES191" s="3">
        <f t="shared" si="128"/>
        <v>0</v>
      </c>
      <c r="ET191" s="3">
        <f t="shared" si="128"/>
        <v>0</v>
      </c>
      <c r="EU191" s="3">
        <f t="shared" si="128"/>
        <v>0</v>
      </c>
      <c r="EV191" s="3">
        <f t="shared" si="128"/>
        <v>0</v>
      </c>
      <c r="EW191" s="3">
        <f t="shared" si="128"/>
        <v>0</v>
      </c>
      <c r="EX191" s="3">
        <f t="shared" si="128"/>
        <v>0</v>
      </c>
      <c r="EY191" s="3">
        <f t="shared" si="128"/>
        <v>0</v>
      </c>
      <c r="EZ191" s="3">
        <f t="shared" si="128"/>
        <v>0</v>
      </c>
      <c r="FA191" s="3">
        <f t="shared" si="128"/>
        <v>0</v>
      </c>
      <c r="FB191" s="3">
        <f t="shared" si="128"/>
        <v>0</v>
      </c>
      <c r="FC191" s="3">
        <f t="shared" si="128"/>
        <v>0</v>
      </c>
      <c r="FD191" s="3">
        <f t="shared" si="128"/>
        <v>0</v>
      </c>
      <c r="FE191" s="3">
        <f t="shared" si="128"/>
        <v>0</v>
      </c>
      <c r="FF191" s="3">
        <f t="shared" si="128"/>
        <v>0</v>
      </c>
      <c r="FG191" s="3">
        <f t="shared" si="128"/>
        <v>0</v>
      </c>
      <c r="FH191" s="3">
        <f t="shared" si="128"/>
        <v>0</v>
      </c>
      <c r="FI191" s="3">
        <f t="shared" si="128"/>
        <v>0</v>
      </c>
      <c r="FJ191" s="3">
        <f t="shared" si="128"/>
        <v>0</v>
      </c>
      <c r="FK191" s="3">
        <f t="shared" si="128"/>
        <v>0</v>
      </c>
      <c r="FL191" s="3">
        <f t="shared" si="128"/>
        <v>0</v>
      </c>
      <c r="FM191" s="3">
        <f t="shared" si="128"/>
        <v>0</v>
      </c>
      <c r="FN191" s="3">
        <f t="shared" si="128"/>
        <v>0</v>
      </c>
      <c r="FO191" s="3">
        <f t="shared" si="128"/>
        <v>0</v>
      </c>
      <c r="FP191" s="3">
        <f t="shared" si="128"/>
        <v>0</v>
      </c>
      <c r="FQ191" s="3">
        <f t="shared" si="128"/>
        <v>0</v>
      </c>
      <c r="FR191" s="3">
        <f t="shared" si="128"/>
        <v>0</v>
      </c>
      <c r="FS191" s="3">
        <f t="shared" ref="FS191:GX191" si="129">FS210</f>
        <v>0</v>
      </c>
      <c r="FT191" s="3">
        <f t="shared" si="129"/>
        <v>0</v>
      </c>
      <c r="FU191" s="3">
        <f t="shared" si="129"/>
        <v>0</v>
      </c>
      <c r="FV191" s="3">
        <f t="shared" si="129"/>
        <v>0</v>
      </c>
      <c r="FW191" s="3">
        <f t="shared" si="129"/>
        <v>0</v>
      </c>
      <c r="FX191" s="3">
        <f t="shared" si="129"/>
        <v>0</v>
      </c>
      <c r="FY191" s="3">
        <f t="shared" si="129"/>
        <v>0</v>
      </c>
      <c r="FZ191" s="3">
        <f t="shared" si="129"/>
        <v>0</v>
      </c>
      <c r="GA191" s="3">
        <f t="shared" si="129"/>
        <v>0</v>
      </c>
      <c r="GB191" s="3">
        <f t="shared" si="129"/>
        <v>0</v>
      </c>
      <c r="GC191" s="3">
        <f t="shared" si="129"/>
        <v>0</v>
      </c>
      <c r="GD191" s="3">
        <f t="shared" si="129"/>
        <v>0</v>
      </c>
      <c r="GE191" s="3">
        <f t="shared" si="129"/>
        <v>0</v>
      </c>
      <c r="GF191" s="3">
        <f t="shared" si="129"/>
        <v>0</v>
      </c>
      <c r="GG191" s="3">
        <f t="shared" si="129"/>
        <v>0</v>
      </c>
      <c r="GH191" s="3">
        <f t="shared" si="129"/>
        <v>0</v>
      </c>
      <c r="GI191" s="3">
        <f t="shared" si="129"/>
        <v>0</v>
      </c>
      <c r="GJ191" s="3">
        <f t="shared" si="129"/>
        <v>0</v>
      </c>
      <c r="GK191" s="3">
        <f t="shared" si="129"/>
        <v>0</v>
      </c>
      <c r="GL191" s="3">
        <f t="shared" si="129"/>
        <v>0</v>
      </c>
      <c r="GM191" s="3">
        <f t="shared" si="129"/>
        <v>0</v>
      </c>
      <c r="GN191" s="3">
        <f t="shared" si="129"/>
        <v>0</v>
      </c>
      <c r="GO191" s="3">
        <f t="shared" si="129"/>
        <v>0</v>
      </c>
      <c r="GP191" s="3">
        <f t="shared" si="129"/>
        <v>0</v>
      </c>
      <c r="GQ191" s="3">
        <f t="shared" si="129"/>
        <v>0</v>
      </c>
      <c r="GR191" s="3">
        <f t="shared" si="129"/>
        <v>0</v>
      </c>
      <c r="GS191" s="3">
        <f t="shared" si="129"/>
        <v>0</v>
      </c>
      <c r="GT191" s="3">
        <f t="shared" si="129"/>
        <v>0</v>
      </c>
      <c r="GU191" s="3">
        <f t="shared" si="129"/>
        <v>0</v>
      </c>
      <c r="GV191" s="3">
        <f t="shared" si="129"/>
        <v>0</v>
      </c>
      <c r="GW191" s="3">
        <f t="shared" si="129"/>
        <v>0</v>
      </c>
      <c r="GX191" s="3">
        <f t="shared" si="129"/>
        <v>0</v>
      </c>
    </row>
    <row r="193" spans="1:245">
      <c r="A193">
        <v>17</v>
      </c>
      <c r="B193">
        <v>1</v>
      </c>
      <c r="C193">
        <f>ROW(SmtRes!A115)</f>
        <v>115</v>
      </c>
      <c r="D193">
        <f>ROW(EtalonRes!A116)</f>
        <v>116</v>
      </c>
      <c r="E193" t="s">
        <v>15</v>
      </c>
      <c r="F193" t="s">
        <v>209</v>
      </c>
      <c r="G193" t="s">
        <v>210</v>
      </c>
      <c r="H193" t="s">
        <v>211</v>
      </c>
      <c r="I193">
        <v>1.53</v>
      </c>
      <c r="J193">
        <v>0</v>
      </c>
      <c r="K193">
        <v>1.53</v>
      </c>
      <c r="O193">
        <f t="shared" ref="O193:O208" si="130">ROUND(CP193,2)</f>
        <v>8657.2000000000007</v>
      </c>
      <c r="P193">
        <f t="shared" ref="P193:P208" si="131">ROUND(CQ193*I193,2)</f>
        <v>0</v>
      </c>
      <c r="Q193">
        <f t="shared" ref="Q193:Q208" si="132">ROUND(CR193*I193,2)</f>
        <v>2134.58</v>
      </c>
      <c r="R193">
        <f t="shared" ref="R193:R208" si="133">ROUND(CS193*I193,2)</f>
        <v>1313.47</v>
      </c>
      <c r="S193">
        <f t="shared" ref="S193:S208" si="134">ROUND(CT193*I193,2)</f>
        <v>6522.62</v>
      </c>
      <c r="T193">
        <f t="shared" ref="T193:T208" si="135">ROUND(CU193*I193,2)</f>
        <v>0</v>
      </c>
      <c r="U193">
        <f t="shared" ref="U193:U208" si="136">CV193*I193</f>
        <v>21.641849999999998</v>
      </c>
      <c r="V193">
        <f t="shared" ref="V193:V208" si="137">CW193*I193</f>
        <v>3.8862000000000001</v>
      </c>
      <c r="W193">
        <f t="shared" ref="W193:W208" si="138">ROUND(CX193*I193,2)</f>
        <v>0</v>
      </c>
      <c r="X193">
        <f t="shared" ref="X193:X208" si="139">ROUND(CY193,2)</f>
        <v>8071.17</v>
      </c>
      <c r="Y193">
        <f t="shared" ref="Y193:Y208" si="140">ROUND(CZ193,2)</f>
        <v>4623.29</v>
      </c>
      <c r="AA193">
        <v>35841400</v>
      </c>
      <c r="AB193">
        <f t="shared" ref="AB193:AB208" si="141">ROUND((AC193+AD193+AF193),6)</f>
        <v>252.90950000000001</v>
      </c>
      <c r="AC193">
        <f t="shared" ref="AC193:AC208" si="142">ROUND((ES193),6)</f>
        <v>0</v>
      </c>
      <c r="AD193">
        <f t="shared" ref="AD193:AD198" si="143">ROUND((((ET193)-(EU193))+AE193),6)</f>
        <v>126.03</v>
      </c>
      <c r="AE193">
        <f t="shared" ref="AE193:AE198" si="144">ROUND((EU193),6)</f>
        <v>25.55</v>
      </c>
      <c r="AF193">
        <f>ROUND(((EV193*1.15)),6)</f>
        <v>126.87949999999999</v>
      </c>
      <c r="AG193">
        <f t="shared" ref="AG193:AG208" si="145">ROUND((AP193),6)</f>
        <v>0</v>
      </c>
      <c r="AH193">
        <f>((EW193*1.15))</f>
        <v>14.145</v>
      </c>
      <c r="AI193">
        <f t="shared" ref="AI193:AI198" si="146">(EX193)</f>
        <v>2.54</v>
      </c>
      <c r="AJ193">
        <f t="shared" ref="AJ193:AJ208" si="147">(AS193)</f>
        <v>0</v>
      </c>
      <c r="AK193">
        <v>236.36</v>
      </c>
      <c r="AL193">
        <v>0</v>
      </c>
      <c r="AM193">
        <v>126.03</v>
      </c>
      <c r="AN193">
        <v>25.55</v>
      </c>
      <c r="AO193">
        <v>110.33</v>
      </c>
      <c r="AP193">
        <v>0</v>
      </c>
      <c r="AQ193">
        <v>12.3</v>
      </c>
      <c r="AR193">
        <v>2.54</v>
      </c>
      <c r="AS193">
        <v>0</v>
      </c>
      <c r="AT193">
        <v>103</v>
      </c>
      <c r="AU193">
        <v>59</v>
      </c>
      <c r="AV193">
        <v>1</v>
      </c>
      <c r="AW193">
        <v>1</v>
      </c>
      <c r="AZ193">
        <v>1</v>
      </c>
      <c r="BA193">
        <v>33.6</v>
      </c>
      <c r="BB193">
        <v>11.07</v>
      </c>
      <c r="BC193">
        <v>1</v>
      </c>
      <c r="BD193" t="s">
        <v>3</v>
      </c>
      <c r="BE193" t="s">
        <v>3</v>
      </c>
      <c r="BF193" t="s">
        <v>3</v>
      </c>
      <c r="BG193" t="s">
        <v>3</v>
      </c>
      <c r="BH193">
        <v>0</v>
      </c>
      <c r="BI193">
        <v>1</v>
      </c>
      <c r="BJ193" t="s">
        <v>212</v>
      </c>
      <c r="BM193">
        <v>46001</v>
      </c>
      <c r="BN193">
        <v>0</v>
      </c>
      <c r="BO193" t="s">
        <v>209</v>
      </c>
      <c r="BP193">
        <v>1</v>
      </c>
      <c r="BQ193">
        <v>2</v>
      </c>
      <c r="BR193">
        <v>0</v>
      </c>
      <c r="BS193">
        <v>33.6</v>
      </c>
      <c r="BT193">
        <v>1</v>
      </c>
      <c r="BU193">
        <v>1</v>
      </c>
      <c r="BV193">
        <v>1</v>
      </c>
      <c r="BW193">
        <v>1</v>
      </c>
      <c r="BX193">
        <v>1</v>
      </c>
      <c r="BY193" t="s">
        <v>3</v>
      </c>
      <c r="BZ193">
        <v>103</v>
      </c>
      <c r="CA193">
        <v>59</v>
      </c>
      <c r="CB193" t="s">
        <v>3</v>
      </c>
      <c r="CE193">
        <v>0</v>
      </c>
      <c r="CF193">
        <v>0</v>
      </c>
      <c r="CG193">
        <v>0</v>
      </c>
      <c r="CM193">
        <v>0</v>
      </c>
      <c r="CN193" t="s">
        <v>606</v>
      </c>
      <c r="CO193">
        <v>0</v>
      </c>
      <c r="CP193">
        <f t="shared" ref="CP193:CP208" si="148">(P193+Q193+S193)</f>
        <v>8657.2000000000007</v>
      </c>
      <c r="CQ193">
        <f t="shared" ref="CQ193:CQ208" si="149">AC193*BC193</f>
        <v>0</v>
      </c>
      <c r="CR193">
        <f t="shared" ref="CR193:CR208" si="150">AD193*BB193</f>
        <v>1395.1521</v>
      </c>
      <c r="CS193">
        <f t="shared" ref="CS193:CS208" si="151">AE193*BS193</f>
        <v>858.48</v>
      </c>
      <c r="CT193">
        <f t="shared" ref="CT193:CT208" si="152">AF193*BA193</f>
        <v>4263.1512000000002</v>
      </c>
      <c r="CU193">
        <f t="shared" ref="CU193:CU208" si="153">AG193</f>
        <v>0</v>
      </c>
      <c r="CV193">
        <f t="shared" ref="CV193:CV208" si="154">AH193</f>
        <v>14.145</v>
      </c>
      <c r="CW193">
        <f t="shared" ref="CW193:CW208" si="155">AI193</f>
        <v>2.54</v>
      </c>
      <c r="CX193">
        <f t="shared" ref="CX193:CX208" si="156">AJ193</f>
        <v>0</v>
      </c>
      <c r="CY193">
        <f t="shared" ref="CY193:CY208" si="157">(((S193+R193)*AT193)/100)</f>
        <v>8071.1727000000001</v>
      </c>
      <c r="CZ193">
        <f t="shared" ref="CZ193:CZ208" si="158">(((S193+R193)*AU193)/100)</f>
        <v>4623.2930999999999</v>
      </c>
      <c r="DC193" t="s">
        <v>3</v>
      </c>
      <c r="DD193" t="s">
        <v>3</v>
      </c>
      <c r="DE193" t="s">
        <v>3</v>
      </c>
      <c r="DF193" t="s">
        <v>3</v>
      </c>
      <c r="DG193" t="s">
        <v>114</v>
      </c>
      <c r="DH193" t="s">
        <v>3</v>
      </c>
      <c r="DI193" t="s">
        <v>114</v>
      </c>
      <c r="DJ193" t="s">
        <v>3</v>
      </c>
      <c r="DK193" t="s">
        <v>3</v>
      </c>
      <c r="DL193" t="s">
        <v>3</v>
      </c>
      <c r="DM193" t="s">
        <v>3</v>
      </c>
      <c r="DN193">
        <v>0</v>
      </c>
      <c r="DO193">
        <v>0</v>
      </c>
      <c r="DP193">
        <v>1</v>
      </c>
      <c r="DQ193">
        <v>1</v>
      </c>
      <c r="DU193">
        <v>1013</v>
      </c>
      <c r="DV193" t="s">
        <v>211</v>
      </c>
      <c r="DW193" t="s">
        <v>211</v>
      </c>
      <c r="DX193">
        <v>1</v>
      </c>
      <c r="DZ193" t="s">
        <v>3</v>
      </c>
      <c r="EA193" t="s">
        <v>3</v>
      </c>
      <c r="EB193" t="s">
        <v>3</v>
      </c>
      <c r="EC193" t="s">
        <v>3</v>
      </c>
      <c r="EE193">
        <v>36520116</v>
      </c>
      <c r="EF193">
        <v>2</v>
      </c>
      <c r="EG193" t="s">
        <v>28</v>
      </c>
      <c r="EH193">
        <v>0</v>
      </c>
      <c r="EI193" t="s">
        <v>3</v>
      </c>
      <c r="EJ193">
        <v>1</v>
      </c>
      <c r="EK193">
        <v>46001</v>
      </c>
      <c r="EL193" t="s">
        <v>29</v>
      </c>
      <c r="EM193" t="s">
        <v>30</v>
      </c>
      <c r="EO193" t="s">
        <v>117</v>
      </c>
      <c r="EQ193">
        <v>0</v>
      </c>
      <c r="ER193">
        <v>236.36</v>
      </c>
      <c r="ES193">
        <v>0</v>
      </c>
      <c r="ET193">
        <v>126.03</v>
      </c>
      <c r="EU193">
        <v>25.55</v>
      </c>
      <c r="EV193">
        <v>110.33</v>
      </c>
      <c r="EW193">
        <v>12.3</v>
      </c>
      <c r="EX193">
        <v>2.54</v>
      </c>
      <c r="EY193">
        <v>0</v>
      </c>
      <c r="FQ193">
        <v>0</v>
      </c>
      <c r="FR193">
        <f t="shared" ref="FR193:FR208" si="159">ROUND(IF(AND(BH193=3,BI193=3),P193,0),2)</f>
        <v>0</v>
      </c>
      <c r="FS193">
        <v>0</v>
      </c>
      <c r="FX193">
        <v>103</v>
      </c>
      <c r="FY193">
        <v>59</v>
      </c>
      <c r="GA193" t="s">
        <v>3</v>
      </c>
      <c r="GD193">
        <v>1</v>
      </c>
      <c r="GF193">
        <v>1101037771</v>
      </c>
      <c r="GG193">
        <v>2</v>
      </c>
      <c r="GH193">
        <v>2</v>
      </c>
      <c r="GI193">
        <v>2</v>
      </c>
      <c r="GJ193">
        <v>0</v>
      </c>
      <c r="GK193">
        <v>0</v>
      </c>
      <c r="GL193">
        <f t="shared" ref="GL193:GL208" si="160">ROUND(IF(AND(BH193=3,BI193=3,FS193&lt;&gt;0),P193,0),2)</f>
        <v>0</v>
      </c>
      <c r="GM193">
        <f t="shared" ref="GM193:GM208" si="161">ROUND(O193+X193+Y193,2)+GX193</f>
        <v>21351.66</v>
      </c>
      <c r="GN193">
        <f t="shared" ref="GN193:GN208" si="162">IF(OR(BI193=0,BI193=1),ROUND(O193+X193+Y193,2),0)</f>
        <v>21351.66</v>
      </c>
      <c r="GO193">
        <f t="shared" ref="GO193:GO208" si="163">IF(BI193=2,ROUND(O193+X193+Y193,2),0)</f>
        <v>0</v>
      </c>
      <c r="GP193">
        <f t="shared" ref="GP193:GP208" si="164">IF(BI193=4,ROUND(O193+X193+Y193,2)+GX193,0)</f>
        <v>0</v>
      </c>
      <c r="GR193">
        <v>0</v>
      </c>
      <c r="GS193">
        <v>3</v>
      </c>
      <c r="GT193">
        <v>0</v>
      </c>
      <c r="GU193" t="s">
        <v>3</v>
      </c>
      <c r="GV193">
        <f t="shared" ref="GV193:GV208" si="165">ROUND((GT193),6)</f>
        <v>0</v>
      </c>
      <c r="GW193">
        <v>1</v>
      </c>
      <c r="GX193">
        <f t="shared" ref="GX193:GX208" si="166">ROUND(HC193*I193,2)</f>
        <v>0</v>
      </c>
      <c r="HA193">
        <v>0</v>
      </c>
      <c r="HB193">
        <v>0</v>
      </c>
      <c r="HC193">
        <f t="shared" ref="HC193:HC208" si="167">GV193*GW193</f>
        <v>0</v>
      </c>
      <c r="HE193" t="s">
        <v>3</v>
      </c>
      <c r="HF193" t="s">
        <v>3</v>
      </c>
      <c r="HM193" t="s">
        <v>3</v>
      </c>
      <c r="HN193" t="s">
        <v>3</v>
      </c>
      <c r="HO193" t="s">
        <v>3</v>
      </c>
      <c r="HP193" t="s">
        <v>3</v>
      </c>
      <c r="HQ193" t="s">
        <v>3</v>
      </c>
      <c r="IK193">
        <v>0</v>
      </c>
    </row>
    <row r="194" spans="1:245">
      <c r="A194">
        <v>17</v>
      </c>
      <c r="B194">
        <v>1</v>
      </c>
      <c r="C194">
        <f>ROW(SmtRes!A129)</f>
        <v>129</v>
      </c>
      <c r="D194">
        <f>ROW(EtalonRes!A129)</f>
        <v>129</v>
      </c>
      <c r="E194" t="s">
        <v>213</v>
      </c>
      <c r="F194" t="s">
        <v>214</v>
      </c>
      <c r="G194" t="s">
        <v>215</v>
      </c>
      <c r="H194" t="s">
        <v>216</v>
      </c>
      <c r="I194">
        <f>ROUND(2/100,9)</f>
        <v>0.02</v>
      </c>
      <c r="J194">
        <v>0</v>
      </c>
      <c r="K194">
        <f>ROUND(2/100,9)</f>
        <v>0.02</v>
      </c>
      <c r="O194">
        <f t="shared" si="130"/>
        <v>7407.96</v>
      </c>
      <c r="P194">
        <f t="shared" si="131"/>
        <v>6159.5</v>
      </c>
      <c r="Q194">
        <f t="shared" si="132"/>
        <v>95.16</v>
      </c>
      <c r="R194">
        <f t="shared" si="133"/>
        <v>15.97</v>
      </c>
      <c r="S194">
        <f t="shared" si="134"/>
        <v>1153.3</v>
      </c>
      <c r="T194">
        <f t="shared" si="135"/>
        <v>0</v>
      </c>
      <c r="U194">
        <f t="shared" si="136"/>
        <v>3.9272499999999999</v>
      </c>
      <c r="V194">
        <f t="shared" si="137"/>
        <v>3.5200000000000002E-2</v>
      </c>
      <c r="W194">
        <f t="shared" si="138"/>
        <v>0</v>
      </c>
      <c r="X194">
        <f t="shared" si="139"/>
        <v>1134.19</v>
      </c>
      <c r="Y194">
        <f t="shared" si="140"/>
        <v>549.55999999999995</v>
      </c>
      <c r="AA194">
        <v>35841400</v>
      </c>
      <c r="AB194">
        <f t="shared" si="141"/>
        <v>176140.524</v>
      </c>
      <c r="AC194">
        <f t="shared" si="142"/>
        <v>173997.22</v>
      </c>
      <c r="AD194">
        <f t="shared" si="143"/>
        <v>427.09</v>
      </c>
      <c r="AE194">
        <f t="shared" si="144"/>
        <v>23.76</v>
      </c>
      <c r="AF194">
        <f>ROUND(((EV194*1.15)),6)</f>
        <v>1716.2139999999999</v>
      </c>
      <c r="AG194">
        <f t="shared" si="145"/>
        <v>0</v>
      </c>
      <c r="AH194">
        <f>((EW194*1.15))</f>
        <v>196.36249999999998</v>
      </c>
      <c r="AI194">
        <f t="shared" si="146"/>
        <v>1.76</v>
      </c>
      <c r="AJ194">
        <f t="shared" si="147"/>
        <v>0</v>
      </c>
      <c r="AK194">
        <v>175916.67</v>
      </c>
      <c r="AL194">
        <v>173997.22</v>
      </c>
      <c r="AM194">
        <v>427.09</v>
      </c>
      <c r="AN194">
        <v>23.76</v>
      </c>
      <c r="AO194">
        <v>1492.36</v>
      </c>
      <c r="AP194">
        <v>0</v>
      </c>
      <c r="AQ194">
        <v>170.75</v>
      </c>
      <c r="AR194">
        <v>1.76</v>
      </c>
      <c r="AS194">
        <v>0</v>
      </c>
      <c r="AT194">
        <v>97</v>
      </c>
      <c r="AU194">
        <v>47</v>
      </c>
      <c r="AV194">
        <v>1</v>
      </c>
      <c r="AW194">
        <v>1</v>
      </c>
      <c r="AZ194">
        <v>1</v>
      </c>
      <c r="BA194">
        <v>33.6</v>
      </c>
      <c r="BB194">
        <v>11.14</v>
      </c>
      <c r="BC194">
        <v>1.77</v>
      </c>
      <c r="BD194" t="s">
        <v>3</v>
      </c>
      <c r="BE194" t="s">
        <v>3</v>
      </c>
      <c r="BF194" t="s">
        <v>3</v>
      </c>
      <c r="BG194" t="s">
        <v>3</v>
      </c>
      <c r="BH194">
        <v>0</v>
      </c>
      <c r="BI194">
        <v>1</v>
      </c>
      <c r="BJ194" t="s">
        <v>217</v>
      </c>
      <c r="BM194">
        <v>10001</v>
      </c>
      <c r="BN194">
        <v>0</v>
      </c>
      <c r="BO194" t="s">
        <v>214</v>
      </c>
      <c r="BP194">
        <v>1</v>
      </c>
      <c r="BQ194">
        <v>2</v>
      </c>
      <c r="BR194">
        <v>0</v>
      </c>
      <c r="BS194">
        <v>33.6</v>
      </c>
      <c r="BT194">
        <v>1</v>
      </c>
      <c r="BU194">
        <v>1</v>
      </c>
      <c r="BV194">
        <v>1</v>
      </c>
      <c r="BW194">
        <v>1</v>
      </c>
      <c r="BX194">
        <v>1</v>
      </c>
      <c r="BY194" t="s">
        <v>3</v>
      </c>
      <c r="BZ194">
        <v>97</v>
      </c>
      <c r="CA194">
        <v>47</v>
      </c>
      <c r="CB194" t="s">
        <v>3</v>
      </c>
      <c r="CE194">
        <v>0</v>
      </c>
      <c r="CF194">
        <v>0</v>
      </c>
      <c r="CG194">
        <v>0</v>
      </c>
      <c r="CM194">
        <v>0</v>
      </c>
      <c r="CN194" t="s">
        <v>606</v>
      </c>
      <c r="CO194">
        <v>0</v>
      </c>
      <c r="CP194">
        <f t="shared" si="148"/>
        <v>7407.96</v>
      </c>
      <c r="CQ194">
        <f t="shared" si="149"/>
        <v>307975.07939999999</v>
      </c>
      <c r="CR194">
        <f t="shared" si="150"/>
        <v>4757.7825999999995</v>
      </c>
      <c r="CS194">
        <f t="shared" si="151"/>
        <v>798.33600000000013</v>
      </c>
      <c r="CT194">
        <f t="shared" si="152"/>
        <v>57664.790399999998</v>
      </c>
      <c r="CU194">
        <f t="shared" si="153"/>
        <v>0</v>
      </c>
      <c r="CV194">
        <f t="shared" si="154"/>
        <v>196.36249999999998</v>
      </c>
      <c r="CW194">
        <f t="shared" si="155"/>
        <v>1.76</v>
      </c>
      <c r="CX194">
        <f t="shared" si="156"/>
        <v>0</v>
      </c>
      <c r="CY194">
        <f t="shared" si="157"/>
        <v>1134.1919</v>
      </c>
      <c r="CZ194">
        <f t="shared" si="158"/>
        <v>549.55690000000004</v>
      </c>
      <c r="DC194" t="s">
        <v>3</v>
      </c>
      <c r="DD194" t="s">
        <v>3</v>
      </c>
      <c r="DE194" t="s">
        <v>3</v>
      </c>
      <c r="DF194" t="s">
        <v>3</v>
      </c>
      <c r="DG194" t="s">
        <v>114</v>
      </c>
      <c r="DH194" t="s">
        <v>3</v>
      </c>
      <c r="DI194" t="s">
        <v>114</v>
      </c>
      <c r="DJ194" t="s">
        <v>3</v>
      </c>
      <c r="DK194" t="s">
        <v>3</v>
      </c>
      <c r="DL194" t="s">
        <v>3</v>
      </c>
      <c r="DM194" t="s">
        <v>3</v>
      </c>
      <c r="DN194">
        <v>0</v>
      </c>
      <c r="DO194">
        <v>0</v>
      </c>
      <c r="DP194">
        <v>1</v>
      </c>
      <c r="DQ194">
        <v>1</v>
      </c>
      <c r="DU194">
        <v>1013</v>
      </c>
      <c r="DV194" t="s">
        <v>216</v>
      </c>
      <c r="DW194" t="s">
        <v>216</v>
      </c>
      <c r="DX194">
        <v>1</v>
      </c>
      <c r="DZ194" t="s">
        <v>3</v>
      </c>
      <c r="EA194" t="s">
        <v>3</v>
      </c>
      <c r="EB194" t="s">
        <v>3</v>
      </c>
      <c r="EC194" t="s">
        <v>3</v>
      </c>
      <c r="EE194">
        <v>36520026</v>
      </c>
      <c r="EF194">
        <v>2</v>
      </c>
      <c r="EG194" t="s">
        <v>28</v>
      </c>
      <c r="EH194">
        <v>0</v>
      </c>
      <c r="EI194" t="s">
        <v>3</v>
      </c>
      <c r="EJ194">
        <v>1</v>
      </c>
      <c r="EK194">
        <v>10001</v>
      </c>
      <c r="EL194" t="s">
        <v>115</v>
      </c>
      <c r="EM194" t="s">
        <v>116</v>
      </c>
      <c r="EO194" t="s">
        <v>117</v>
      </c>
      <c r="EQ194">
        <v>0</v>
      </c>
      <c r="ER194">
        <v>175916.67</v>
      </c>
      <c r="ES194">
        <v>173997.22</v>
      </c>
      <c r="ET194">
        <v>427.09</v>
      </c>
      <c r="EU194">
        <v>23.76</v>
      </c>
      <c r="EV194">
        <v>1492.36</v>
      </c>
      <c r="EW194">
        <v>170.75</v>
      </c>
      <c r="EX194">
        <v>1.76</v>
      </c>
      <c r="EY194">
        <v>0</v>
      </c>
      <c r="FQ194">
        <v>0</v>
      </c>
      <c r="FR194">
        <f t="shared" si="159"/>
        <v>0</v>
      </c>
      <c r="FS194">
        <v>0</v>
      </c>
      <c r="FX194">
        <v>97</v>
      </c>
      <c r="FY194">
        <v>47</v>
      </c>
      <c r="GA194" t="s">
        <v>3</v>
      </c>
      <c r="GD194">
        <v>1</v>
      </c>
      <c r="GF194">
        <v>2085951634</v>
      </c>
      <c r="GG194">
        <v>2</v>
      </c>
      <c r="GH194">
        <v>2</v>
      </c>
      <c r="GI194">
        <v>2</v>
      </c>
      <c r="GJ194">
        <v>0</v>
      </c>
      <c r="GK194">
        <v>0</v>
      </c>
      <c r="GL194">
        <f t="shared" si="160"/>
        <v>0</v>
      </c>
      <c r="GM194">
        <f t="shared" si="161"/>
        <v>9091.7099999999991</v>
      </c>
      <c r="GN194">
        <f t="shared" si="162"/>
        <v>9091.7099999999991</v>
      </c>
      <c r="GO194">
        <f t="shared" si="163"/>
        <v>0</v>
      </c>
      <c r="GP194">
        <f t="shared" si="164"/>
        <v>0</v>
      </c>
      <c r="GR194">
        <v>0</v>
      </c>
      <c r="GS194">
        <v>3</v>
      </c>
      <c r="GT194">
        <v>0</v>
      </c>
      <c r="GU194" t="s">
        <v>3</v>
      </c>
      <c r="GV194">
        <f t="shared" si="165"/>
        <v>0</v>
      </c>
      <c r="GW194">
        <v>1</v>
      </c>
      <c r="GX194">
        <f t="shared" si="166"/>
        <v>0</v>
      </c>
      <c r="HA194">
        <v>0</v>
      </c>
      <c r="HB194">
        <v>0</v>
      </c>
      <c r="HC194">
        <f t="shared" si="167"/>
        <v>0</v>
      </c>
      <c r="HE194" t="s">
        <v>3</v>
      </c>
      <c r="HF194" t="s">
        <v>3</v>
      </c>
      <c r="HM194" t="s">
        <v>3</v>
      </c>
      <c r="HN194" t="s">
        <v>3</v>
      </c>
      <c r="HO194" t="s">
        <v>3</v>
      </c>
      <c r="HP194" t="s">
        <v>3</v>
      </c>
      <c r="HQ194" t="s">
        <v>3</v>
      </c>
      <c r="IK194">
        <v>0</v>
      </c>
    </row>
    <row r="195" spans="1:245">
      <c r="A195">
        <v>18</v>
      </c>
      <c r="B195">
        <v>1</v>
      </c>
      <c r="C195">
        <v>128</v>
      </c>
      <c r="E195" t="s">
        <v>218</v>
      </c>
      <c r="F195" t="s">
        <v>219</v>
      </c>
      <c r="G195" t="s">
        <v>220</v>
      </c>
      <c r="H195" t="s">
        <v>129</v>
      </c>
      <c r="I195">
        <f>I194*J195</f>
        <v>-2</v>
      </c>
      <c r="J195">
        <v>-100</v>
      </c>
      <c r="K195">
        <v>-100</v>
      </c>
      <c r="O195">
        <f t="shared" si="130"/>
        <v>-5216.99</v>
      </c>
      <c r="P195">
        <f t="shared" si="131"/>
        <v>-5216.99</v>
      </c>
      <c r="Q195">
        <f t="shared" si="132"/>
        <v>0</v>
      </c>
      <c r="R195">
        <f t="shared" si="133"/>
        <v>0</v>
      </c>
      <c r="S195">
        <f t="shared" si="134"/>
        <v>0</v>
      </c>
      <c r="T195">
        <f t="shared" si="135"/>
        <v>0</v>
      </c>
      <c r="U195">
        <f t="shared" si="136"/>
        <v>0</v>
      </c>
      <c r="V195">
        <f t="shared" si="137"/>
        <v>0</v>
      </c>
      <c r="W195">
        <f t="shared" si="138"/>
        <v>0</v>
      </c>
      <c r="X195">
        <f t="shared" si="139"/>
        <v>0</v>
      </c>
      <c r="Y195">
        <f t="shared" si="140"/>
        <v>0</v>
      </c>
      <c r="AA195">
        <v>35841400</v>
      </c>
      <c r="AB195">
        <f t="shared" si="141"/>
        <v>1630.31</v>
      </c>
      <c r="AC195">
        <f t="shared" si="142"/>
        <v>1630.31</v>
      </c>
      <c r="AD195">
        <f t="shared" si="143"/>
        <v>0</v>
      </c>
      <c r="AE195">
        <f t="shared" si="144"/>
        <v>0</v>
      </c>
      <c r="AF195">
        <f>ROUND((EV195),6)</f>
        <v>0</v>
      </c>
      <c r="AG195">
        <f t="shared" si="145"/>
        <v>0</v>
      </c>
      <c r="AH195">
        <f>(EW195)</f>
        <v>0</v>
      </c>
      <c r="AI195">
        <f t="shared" si="146"/>
        <v>0</v>
      </c>
      <c r="AJ195">
        <f t="shared" si="147"/>
        <v>0</v>
      </c>
      <c r="AK195">
        <v>1630.31</v>
      </c>
      <c r="AL195">
        <v>1630.31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108</v>
      </c>
      <c r="AU195">
        <v>47</v>
      </c>
      <c r="AV195">
        <v>1</v>
      </c>
      <c r="AW195">
        <v>1</v>
      </c>
      <c r="AZ195">
        <v>1</v>
      </c>
      <c r="BA195">
        <v>1</v>
      </c>
      <c r="BB195">
        <v>1</v>
      </c>
      <c r="BC195">
        <v>1.6</v>
      </c>
      <c r="BD195" t="s">
        <v>3</v>
      </c>
      <c r="BE195" t="s">
        <v>3</v>
      </c>
      <c r="BF195" t="s">
        <v>3</v>
      </c>
      <c r="BG195" t="s">
        <v>3</v>
      </c>
      <c r="BH195">
        <v>3</v>
      </c>
      <c r="BI195">
        <v>1</v>
      </c>
      <c r="BJ195" t="s">
        <v>221</v>
      </c>
      <c r="BM195">
        <v>10001</v>
      </c>
      <c r="BN195">
        <v>0</v>
      </c>
      <c r="BO195" t="s">
        <v>219</v>
      </c>
      <c r="BP195">
        <v>1</v>
      </c>
      <c r="BQ195">
        <v>2</v>
      </c>
      <c r="BR195">
        <v>1</v>
      </c>
      <c r="BS195">
        <v>1</v>
      </c>
      <c r="BT195">
        <v>1</v>
      </c>
      <c r="BU195">
        <v>1</v>
      </c>
      <c r="BV195">
        <v>1</v>
      </c>
      <c r="BW195">
        <v>1</v>
      </c>
      <c r="BX195">
        <v>1</v>
      </c>
      <c r="BY195" t="s">
        <v>3</v>
      </c>
      <c r="BZ195">
        <v>108</v>
      </c>
      <c r="CA195">
        <v>47</v>
      </c>
      <c r="CB195" t="s">
        <v>3</v>
      </c>
      <c r="CE195">
        <v>0</v>
      </c>
      <c r="CF195">
        <v>0</v>
      </c>
      <c r="CG195">
        <v>0</v>
      </c>
      <c r="CM195">
        <v>0</v>
      </c>
      <c r="CN195" t="s">
        <v>3</v>
      </c>
      <c r="CO195">
        <v>0</v>
      </c>
      <c r="CP195">
        <f t="shared" si="148"/>
        <v>-5216.99</v>
      </c>
      <c r="CQ195">
        <f t="shared" si="149"/>
        <v>2608.4960000000001</v>
      </c>
      <c r="CR195">
        <f t="shared" si="150"/>
        <v>0</v>
      </c>
      <c r="CS195">
        <f t="shared" si="151"/>
        <v>0</v>
      </c>
      <c r="CT195">
        <f t="shared" si="152"/>
        <v>0</v>
      </c>
      <c r="CU195">
        <f t="shared" si="153"/>
        <v>0</v>
      </c>
      <c r="CV195">
        <f t="shared" si="154"/>
        <v>0</v>
      </c>
      <c r="CW195">
        <f t="shared" si="155"/>
        <v>0</v>
      </c>
      <c r="CX195">
        <f t="shared" si="156"/>
        <v>0</v>
      </c>
      <c r="CY195">
        <f t="shared" si="157"/>
        <v>0</v>
      </c>
      <c r="CZ195">
        <f t="shared" si="158"/>
        <v>0</v>
      </c>
      <c r="DC195" t="s">
        <v>3</v>
      </c>
      <c r="DD195" t="s">
        <v>3</v>
      </c>
      <c r="DE195" t="s">
        <v>3</v>
      </c>
      <c r="DF195" t="s">
        <v>3</v>
      </c>
      <c r="DG195" t="s">
        <v>3</v>
      </c>
      <c r="DH195" t="s">
        <v>3</v>
      </c>
      <c r="DI195" t="s">
        <v>3</v>
      </c>
      <c r="DJ195" t="s">
        <v>3</v>
      </c>
      <c r="DK195" t="s">
        <v>3</v>
      </c>
      <c r="DL195" t="s">
        <v>3</v>
      </c>
      <c r="DM195" t="s">
        <v>3</v>
      </c>
      <c r="DN195">
        <v>0</v>
      </c>
      <c r="DO195">
        <v>0</v>
      </c>
      <c r="DP195">
        <v>1</v>
      </c>
      <c r="DQ195">
        <v>1</v>
      </c>
      <c r="DU195">
        <v>1005</v>
      </c>
      <c r="DV195" t="s">
        <v>129</v>
      </c>
      <c r="DW195" t="s">
        <v>129</v>
      </c>
      <c r="DX195">
        <v>1</v>
      </c>
      <c r="DZ195" t="s">
        <v>3</v>
      </c>
      <c r="EA195" t="s">
        <v>3</v>
      </c>
      <c r="EB195" t="s">
        <v>3</v>
      </c>
      <c r="EC195" t="s">
        <v>3</v>
      </c>
      <c r="EE195">
        <v>36520026</v>
      </c>
      <c r="EF195">
        <v>2</v>
      </c>
      <c r="EG195" t="s">
        <v>28</v>
      </c>
      <c r="EH195">
        <v>0</v>
      </c>
      <c r="EI195" t="s">
        <v>3</v>
      </c>
      <c r="EJ195">
        <v>1</v>
      </c>
      <c r="EK195">
        <v>10001</v>
      </c>
      <c r="EL195" t="s">
        <v>115</v>
      </c>
      <c r="EM195" t="s">
        <v>116</v>
      </c>
      <c r="EO195" t="s">
        <v>3</v>
      </c>
      <c r="EQ195">
        <v>0</v>
      </c>
      <c r="ER195">
        <v>1630.31</v>
      </c>
      <c r="ES195">
        <v>1630.31</v>
      </c>
      <c r="ET195">
        <v>0</v>
      </c>
      <c r="EU195">
        <v>0</v>
      </c>
      <c r="EV195">
        <v>0</v>
      </c>
      <c r="EW195">
        <v>0</v>
      </c>
      <c r="EX195">
        <v>0</v>
      </c>
      <c r="FQ195">
        <v>0</v>
      </c>
      <c r="FR195">
        <f t="shared" si="159"/>
        <v>0</v>
      </c>
      <c r="FS195">
        <v>0</v>
      </c>
      <c r="FX195">
        <v>108</v>
      </c>
      <c r="FY195">
        <v>47</v>
      </c>
      <c r="GA195" t="s">
        <v>3</v>
      </c>
      <c r="GD195">
        <v>1</v>
      </c>
      <c r="GF195">
        <v>-1154308862</v>
      </c>
      <c r="GG195">
        <v>2</v>
      </c>
      <c r="GH195">
        <v>1</v>
      </c>
      <c r="GI195">
        <v>2</v>
      </c>
      <c r="GJ195">
        <v>0</v>
      </c>
      <c r="GK195">
        <v>0</v>
      </c>
      <c r="GL195">
        <f t="shared" si="160"/>
        <v>0</v>
      </c>
      <c r="GM195">
        <f t="shared" si="161"/>
        <v>-5216.99</v>
      </c>
      <c r="GN195">
        <f t="shared" si="162"/>
        <v>-5216.99</v>
      </c>
      <c r="GO195">
        <f t="shared" si="163"/>
        <v>0</v>
      </c>
      <c r="GP195">
        <f t="shared" si="164"/>
        <v>0</v>
      </c>
      <c r="GR195">
        <v>0</v>
      </c>
      <c r="GS195">
        <v>3</v>
      </c>
      <c r="GT195">
        <v>0</v>
      </c>
      <c r="GU195" t="s">
        <v>3</v>
      </c>
      <c r="GV195">
        <f t="shared" si="165"/>
        <v>0</v>
      </c>
      <c r="GW195">
        <v>1</v>
      </c>
      <c r="GX195">
        <f t="shared" si="166"/>
        <v>0</v>
      </c>
      <c r="HA195">
        <v>0</v>
      </c>
      <c r="HB195">
        <v>0</v>
      </c>
      <c r="HC195">
        <f t="shared" si="167"/>
        <v>0</v>
      </c>
      <c r="HE195" t="s">
        <v>3</v>
      </c>
      <c r="HF195" t="s">
        <v>3</v>
      </c>
      <c r="HM195" t="s">
        <v>3</v>
      </c>
      <c r="HN195" t="s">
        <v>3</v>
      </c>
      <c r="HO195" t="s">
        <v>3</v>
      </c>
      <c r="HP195" t="s">
        <v>3</v>
      </c>
      <c r="HQ195" t="s">
        <v>3</v>
      </c>
      <c r="IK195">
        <v>0</v>
      </c>
    </row>
    <row r="196" spans="1:245">
      <c r="A196">
        <v>18</v>
      </c>
      <c r="B196">
        <v>1</v>
      </c>
      <c r="C196">
        <v>129</v>
      </c>
      <c r="E196" t="s">
        <v>222</v>
      </c>
      <c r="F196" t="s">
        <v>183</v>
      </c>
      <c r="G196" t="s">
        <v>223</v>
      </c>
      <c r="H196" t="s">
        <v>3</v>
      </c>
      <c r="I196">
        <f>I194*J196</f>
        <v>1</v>
      </c>
      <c r="J196">
        <v>50</v>
      </c>
      <c r="K196">
        <v>50</v>
      </c>
      <c r="O196">
        <f t="shared" si="130"/>
        <v>18000</v>
      </c>
      <c r="P196">
        <f t="shared" si="131"/>
        <v>18000</v>
      </c>
      <c r="Q196">
        <f t="shared" si="132"/>
        <v>0</v>
      </c>
      <c r="R196">
        <f t="shared" si="133"/>
        <v>0</v>
      </c>
      <c r="S196">
        <f t="shared" si="134"/>
        <v>0</v>
      </c>
      <c r="T196">
        <f t="shared" si="135"/>
        <v>0</v>
      </c>
      <c r="U196">
        <f t="shared" si="136"/>
        <v>0</v>
      </c>
      <c r="V196">
        <f t="shared" si="137"/>
        <v>0</v>
      </c>
      <c r="W196">
        <f t="shared" si="138"/>
        <v>0</v>
      </c>
      <c r="X196">
        <f t="shared" si="139"/>
        <v>0</v>
      </c>
      <c r="Y196">
        <f t="shared" si="140"/>
        <v>0</v>
      </c>
      <c r="AA196">
        <v>35841400</v>
      </c>
      <c r="AB196">
        <f t="shared" si="141"/>
        <v>18000</v>
      </c>
      <c r="AC196">
        <f t="shared" si="142"/>
        <v>18000</v>
      </c>
      <c r="AD196">
        <f t="shared" si="143"/>
        <v>0</v>
      </c>
      <c r="AE196">
        <f t="shared" si="144"/>
        <v>0</v>
      </c>
      <c r="AF196">
        <f>ROUND((EV196),6)</f>
        <v>0</v>
      </c>
      <c r="AG196">
        <f t="shared" si="145"/>
        <v>0</v>
      </c>
      <c r="AH196">
        <f>(EW196)</f>
        <v>0</v>
      </c>
      <c r="AI196">
        <f t="shared" si="146"/>
        <v>0</v>
      </c>
      <c r="AJ196">
        <f t="shared" si="147"/>
        <v>0</v>
      </c>
      <c r="AK196">
        <v>18000</v>
      </c>
      <c r="AL196">
        <v>18000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108</v>
      </c>
      <c r="AU196">
        <v>47</v>
      </c>
      <c r="AV196">
        <v>1</v>
      </c>
      <c r="AW196">
        <v>1</v>
      </c>
      <c r="AZ196">
        <v>1</v>
      </c>
      <c r="BA196">
        <v>1</v>
      </c>
      <c r="BB196">
        <v>1</v>
      </c>
      <c r="BC196">
        <v>1</v>
      </c>
      <c r="BD196" t="s">
        <v>3</v>
      </c>
      <c r="BE196" t="s">
        <v>3</v>
      </c>
      <c r="BF196" t="s">
        <v>3</v>
      </c>
      <c r="BG196" t="s">
        <v>3</v>
      </c>
      <c r="BH196">
        <v>3</v>
      </c>
      <c r="BI196">
        <v>1</v>
      </c>
      <c r="BJ196" t="s">
        <v>3</v>
      </c>
      <c r="BM196">
        <v>10001</v>
      </c>
      <c r="BN196">
        <v>0</v>
      </c>
      <c r="BO196" t="s">
        <v>3</v>
      </c>
      <c r="BP196">
        <v>0</v>
      </c>
      <c r="BQ196">
        <v>2</v>
      </c>
      <c r="BR196">
        <v>0</v>
      </c>
      <c r="BS196">
        <v>1</v>
      </c>
      <c r="BT196">
        <v>1</v>
      </c>
      <c r="BU196">
        <v>1</v>
      </c>
      <c r="BV196">
        <v>1</v>
      </c>
      <c r="BW196">
        <v>1</v>
      </c>
      <c r="BX196">
        <v>1</v>
      </c>
      <c r="BY196" t="s">
        <v>3</v>
      </c>
      <c r="BZ196">
        <v>108</v>
      </c>
      <c r="CA196">
        <v>47</v>
      </c>
      <c r="CB196" t="s">
        <v>3</v>
      </c>
      <c r="CE196">
        <v>0</v>
      </c>
      <c r="CF196">
        <v>0</v>
      </c>
      <c r="CG196">
        <v>0</v>
      </c>
      <c r="CM196">
        <v>0</v>
      </c>
      <c r="CN196" t="s">
        <v>3</v>
      </c>
      <c r="CO196">
        <v>0</v>
      </c>
      <c r="CP196">
        <f t="shared" si="148"/>
        <v>18000</v>
      </c>
      <c r="CQ196">
        <f t="shared" si="149"/>
        <v>18000</v>
      </c>
      <c r="CR196">
        <f t="shared" si="150"/>
        <v>0</v>
      </c>
      <c r="CS196">
        <f t="shared" si="151"/>
        <v>0</v>
      </c>
      <c r="CT196">
        <f t="shared" si="152"/>
        <v>0</v>
      </c>
      <c r="CU196">
        <f t="shared" si="153"/>
        <v>0</v>
      </c>
      <c r="CV196">
        <f t="shared" si="154"/>
        <v>0</v>
      </c>
      <c r="CW196">
        <f t="shared" si="155"/>
        <v>0</v>
      </c>
      <c r="CX196">
        <f t="shared" si="156"/>
        <v>0</v>
      </c>
      <c r="CY196">
        <f t="shared" si="157"/>
        <v>0</v>
      </c>
      <c r="CZ196">
        <f t="shared" si="158"/>
        <v>0</v>
      </c>
      <c r="DC196" t="s">
        <v>3</v>
      </c>
      <c r="DD196" t="s">
        <v>3</v>
      </c>
      <c r="DE196" t="s">
        <v>3</v>
      </c>
      <c r="DF196" t="s">
        <v>3</v>
      </c>
      <c r="DG196" t="s">
        <v>3</v>
      </c>
      <c r="DH196" t="s">
        <v>3</v>
      </c>
      <c r="DI196" t="s">
        <v>3</v>
      </c>
      <c r="DJ196" t="s">
        <v>3</v>
      </c>
      <c r="DK196" t="s">
        <v>3</v>
      </c>
      <c r="DL196" t="s">
        <v>3</v>
      </c>
      <c r="DM196" t="s">
        <v>3</v>
      </c>
      <c r="DN196">
        <v>0</v>
      </c>
      <c r="DO196">
        <v>0</v>
      </c>
      <c r="DP196">
        <v>1</v>
      </c>
      <c r="DQ196">
        <v>1</v>
      </c>
      <c r="DZ196" t="s">
        <v>3</v>
      </c>
      <c r="EA196" t="s">
        <v>3</v>
      </c>
      <c r="EB196" t="s">
        <v>3</v>
      </c>
      <c r="EC196" t="s">
        <v>3</v>
      </c>
      <c r="EE196">
        <v>36520026</v>
      </c>
      <c r="EF196">
        <v>2</v>
      </c>
      <c r="EG196" t="s">
        <v>28</v>
      </c>
      <c r="EH196">
        <v>0</v>
      </c>
      <c r="EI196" t="s">
        <v>3</v>
      </c>
      <c r="EJ196">
        <v>1</v>
      </c>
      <c r="EK196">
        <v>10001</v>
      </c>
      <c r="EL196" t="s">
        <v>115</v>
      </c>
      <c r="EM196" t="s">
        <v>116</v>
      </c>
      <c r="EO196" t="s">
        <v>3</v>
      </c>
      <c r="EQ196">
        <v>0</v>
      </c>
      <c r="ER196">
        <v>18000</v>
      </c>
      <c r="ES196">
        <v>18000</v>
      </c>
      <c r="ET196">
        <v>0</v>
      </c>
      <c r="EU196">
        <v>0</v>
      </c>
      <c r="EV196">
        <v>0</v>
      </c>
      <c r="EW196">
        <v>0</v>
      </c>
      <c r="EX196">
        <v>0</v>
      </c>
      <c r="FQ196">
        <v>0</v>
      </c>
      <c r="FR196">
        <f t="shared" si="159"/>
        <v>0</v>
      </c>
      <c r="FS196">
        <v>0</v>
      </c>
      <c r="FX196">
        <v>108</v>
      </c>
      <c r="FY196">
        <v>47</v>
      </c>
      <c r="GA196" t="s">
        <v>186</v>
      </c>
      <c r="GD196">
        <v>1</v>
      </c>
      <c r="GF196">
        <v>1754635246</v>
      </c>
      <c r="GG196">
        <v>2</v>
      </c>
      <c r="GH196">
        <v>0</v>
      </c>
      <c r="GI196">
        <v>-2</v>
      </c>
      <c r="GJ196">
        <v>0</v>
      </c>
      <c r="GK196">
        <v>0</v>
      </c>
      <c r="GL196">
        <f t="shared" si="160"/>
        <v>0</v>
      </c>
      <c r="GM196">
        <f t="shared" si="161"/>
        <v>18000</v>
      </c>
      <c r="GN196">
        <f t="shared" si="162"/>
        <v>18000</v>
      </c>
      <c r="GO196">
        <f t="shared" si="163"/>
        <v>0</v>
      </c>
      <c r="GP196">
        <f t="shared" si="164"/>
        <v>0</v>
      </c>
      <c r="GR196">
        <v>0</v>
      </c>
      <c r="GS196">
        <v>4</v>
      </c>
      <c r="GT196">
        <v>0</v>
      </c>
      <c r="GU196" t="s">
        <v>3</v>
      </c>
      <c r="GV196">
        <f t="shared" si="165"/>
        <v>0</v>
      </c>
      <c r="GW196">
        <v>1</v>
      </c>
      <c r="GX196">
        <f t="shared" si="166"/>
        <v>0</v>
      </c>
      <c r="HA196">
        <v>0</v>
      </c>
      <c r="HB196">
        <v>0</v>
      </c>
      <c r="HC196">
        <f t="shared" si="167"/>
        <v>0</v>
      </c>
      <c r="HE196" t="s">
        <v>3</v>
      </c>
      <c r="HF196" t="s">
        <v>3</v>
      </c>
      <c r="HM196" t="s">
        <v>3</v>
      </c>
      <c r="HN196" t="s">
        <v>3</v>
      </c>
      <c r="HO196" t="s">
        <v>3</v>
      </c>
      <c r="HP196" t="s">
        <v>3</v>
      </c>
      <c r="HQ196" t="s">
        <v>3</v>
      </c>
      <c r="IK196">
        <v>0</v>
      </c>
    </row>
    <row r="197" spans="1:245">
      <c r="A197">
        <v>17</v>
      </c>
      <c r="B197">
        <v>1</v>
      </c>
      <c r="C197">
        <f>ROW(SmtRes!A137)</f>
        <v>137</v>
      </c>
      <c r="D197">
        <f>ROW(EtalonRes!A138)</f>
        <v>138</v>
      </c>
      <c r="E197" t="s">
        <v>224</v>
      </c>
      <c r="F197" t="s">
        <v>225</v>
      </c>
      <c r="G197" t="s">
        <v>226</v>
      </c>
      <c r="H197" t="s">
        <v>18</v>
      </c>
      <c r="I197">
        <f>ROUND(1.2/100,9)</f>
        <v>1.2E-2</v>
      </c>
      <c r="J197">
        <v>0</v>
      </c>
      <c r="K197">
        <f>ROUND(1.2/100,9)</f>
        <v>1.2E-2</v>
      </c>
      <c r="O197">
        <f t="shared" si="130"/>
        <v>734.2</v>
      </c>
      <c r="P197">
        <f t="shared" si="131"/>
        <v>19.54</v>
      </c>
      <c r="Q197">
        <f t="shared" si="132"/>
        <v>6.07</v>
      </c>
      <c r="R197">
        <f t="shared" si="133"/>
        <v>0.44</v>
      </c>
      <c r="S197">
        <f t="shared" si="134"/>
        <v>708.59</v>
      </c>
      <c r="T197">
        <f t="shared" si="135"/>
        <v>0</v>
      </c>
      <c r="U197">
        <f t="shared" si="136"/>
        <v>2.2972859999999997</v>
      </c>
      <c r="V197">
        <f t="shared" si="137"/>
        <v>9.6000000000000002E-4</v>
      </c>
      <c r="W197">
        <f t="shared" si="138"/>
        <v>0</v>
      </c>
      <c r="X197">
        <f t="shared" si="139"/>
        <v>638.13</v>
      </c>
      <c r="Y197">
        <f t="shared" si="140"/>
        <v>297.79000000000002</v>
      </c>
      <c r="AA197">
        <v>35841400</v>
      </c>
      <c r="AB197">
        <f t="shared" si="141"/>
        <v>2282.6084999999998</v>
      </c>
      <c r="AC197">
        <f t="shared" si="142"/>
        <v>478.86</v>
      </c>
      <c r="AD197">
        <f t="shared" si="143"/>
        <v>46.33</v>
      </c>
      <c r="AE197">
        <f t="shared" si="144"/>
        <v>1.08</v>
      </c>
      <c r="AF197">
        <f>ROUND(((EV197*1.15)),6)</f>
        <v>1757.4185</v>
      </c>
      <c r="AG197">
        <f t="shared" si="145"/>
        <v>0</v>
      </c>
      <c r="AH197">
        <f>((EW197*1.15))</f>
        <v>191.44049999999999</v>
      </c>
      <c r="AI197">
        <f t="shared" si="146"/>
        <v>0.08</v>
      </c>
      <c r="AJ197">
        <f t="shared" si="147"/>
        <v>0</v>
      </c>
      <c r="AK197">
        <v>2053.38</v>
      </c>
      <c r="AL197">
        <v>478.86</v>
      </c>
      <c r="AM197">
        <v>46.33</v>
      </c>
      <c r="AN197">
        <v>1.08</v>
      </c>
      <c r="AO197">
        <v>1528.19</v>
      </c>
      <c r="AP197">
        <v>0</v>
      </c>
      <c r="AQ197">
        <v>166.47</v>
      </c>
      <c r="AR197">
        <v>0.08</v>
      </c>
      <c r="AS197">
        <v>0</v>
      </c>
      <c r="AT197">
        <v>90</v>
      </c>
      <c r="AU197">
        <v>42</v>
      </c>
      <c r="AV197">
        <v>1</v>
      </c>
      <c r="AW197">
        <v>1</v>
      </c>
      <c r="AZ197">
        <v>1</v>
      </c>
      <c r="BA197">
        <v>33.6</v>
      </c>
      <c r="BB197">
        <v>10.92</v>
      </c>
      <c r="BC197">
        <v>3.4</v>
      </c>
      <c r="BD197" t="s">
        <v>3</v>
      </c>
      <c r="BE197" t="s">
        <v>3</v>
      </c>
      <c r="BF197" t="s">
        <v>3</v>
      </c>
      <c r="BG197" t="s">
        <v>3</v>
      </c>
      <c r="BH197">
        <v>0</v>
      </c>
      <c r="BI197">
        <v>1</v>
      </c>
      <c r="BJ197" t="s">
        <v>227</v>
      </c>
      <c r="BM197">
        <v>15001</v>
      </c>
      <c r="BN197">
        <v>0</v>
      </c>
      <c r="BO197" t="s">
        <v>225</v>
      </c>
      <c r="BP197">
        <v>1</v>
      </c>
      <c r="BQ197">
        <v>2</v>
      </c>
      <c r="BR197">
        <v>0</v>
      </c>
      <c r="BS197">
        <v>33.6</v>
      </c>
      <c r="BT197">
        <v>1</v>
      </c>
      <c r="BU197">
        <v>1</v>
      </c>
      <c r="BV197">
        <v>1</v>
      </c>
      <c r="BW197">
        <v>1</v>
      </c>
      <c r="BX197">
        <v>1</v>
      </c>
      <c r="BY197" t="s">
        <v>3</v>
      </c>
      <c r="BZ197">
        <v>90</v>
      </c>
      <c r="CA197">
        <v>42</v>
      </c>
      <c r="CB197" t="s">
        <v>3</v>
      </c>
      <c r="CE197">
        <v>0</v>
      </c>
      <c r="CF197">
        <v>0</v>
      </c>
      <c r="CG197">
        <v>0</v>
      </c>
      <c r="CM197">
        <v>0</v>
      </c>
      <c r="CN197" t="s">
        <v>606</v>
      </c>
      <c r="CO197">
        <v>0</v>
      </c>
      <c r="CP197">
        <f t="shared" si="148"/>
        <v>734.2</v>
      </c>
      <c r="CQ197">
        <f t="shared" si="149"/>
        <v>1628.124</v>
      </c>
      <c r="CR197">
        <f t="shared" si="150"/>
        <v>505.92359999999996</v>
      </c>
      <c r="CS197">
        <f t="shared" si="151"/>
        <v>36.288000000000004</v>
      </c>
      <c r="CT197">
        <f t="shared" si="152"/>
        <v>59049.261600000005</v>
      </c>
      <c r="CU197">
        <f t="shared" si="153"/>
        <v>0</v>
      </c>
      <c r="CV197">
        <f t="shared" si="154"/>
        <v>191.44049999999999</v>
      </c>
      <c r="CW197">
        <f t="shared" si="155"/>
        <v>0.08</v>
      </c>
      <c r="CX197">
        <f t="shared" si="156"/>
        <v>0</v>
      </c>
      <c r="CY197">
        <f t="shared" si="157"/>
        <v>638.12700000000007</v>
      </c>
      <c r="CZ197">
        <f t="shared" si="158"/>
        <v>297.79259999999999</v>
      </c>
      <c r="DC197" t="s">
        <v>3</v>
      </c>
      <c r="DD197" t="s">
        <v>3</v>
      </c>
      <c r="DE197" t="s">
        <v>3</v>
      </c>
      <c r="DF197" t="s">
        <v>3</v>
      </c>
      <c r="DG197" t="s">
        <v>114</v>
      </c>
      <c r="DH197" t="s">
        <v>3</v>
      </c>
      <c r="DI197" t="s">
        <v>114</v>
      </c>
      <c r="DJ197" t="s">
        <v>3</v>
      </c>
      <c r="DK197" t="s">
        <v>3</v>
      </c>
      <c r="DL197" t="s">
        <v>3</v>
      </c>
      <c r="DM197" t="s">
        <v>3</v>
      </c>
      <c r="DN197">
        <v>0</v>
      </c>
      <c r="DO197">
        <v>0</v>
      </c>
      <c r="DP197">
        <v>1</v>
      </c>
      <c r="DQ197">
        <v>1</v>
      </c>
      <c r="DU197">
        <v>1013</v>
      </c>
      <c r="DV197" t="s">
        <v>18</v>
      </c>
      <c r="DW197" t="s">
        <v>18</v>
      </c>
      <c r="DX197">
        <v>1</v>
      </c>
      <c r="DZ197" t="s">
        <v>3</v>
      </c>
      <c r="EA197" t="s">
        <v>3</v>
      </c>
      <c r="EB197" t="s">
        <v>3</v>
      </c>
      <c r="EC197" t="s">
        <v>3</v>
      </c>
      <c r="EE197">
        <v>36520056</v>
      </c>
      <c r="EF197">
        <v>2</v>
      </c>
      <c r="EG197" t="s">
        <v>28</v>
      </c>
      <c r="EH197">
        <v>0</v>
      </c>
      <c r="EI197" t="s">
        <v>3</v>
      </c>
      <c r="EJ197">
        <v>1</v>
      </c>
      <c r="EK197">
        <v>15001</v>
      </c>
      <c r="EL197" t="s">
        <v>140</v>
      </c>
      <c r="EM197" t="s">
        <v>141</v>
      </c>
      <c r="EO197" t="s">
        <v>117</v>
      </c>
      <c r="EQ197">
        <v>0</v>
      </c>
      <c r="ER197">
        <v>2053.38</v>
      </c>
      <c r="ES197">
        <v>478.86</v>
      </c>
      <c r="ET197">
        <v>46.33</v>
      </c>
      <c r="EU197">
        <v>1.08</v>
      </c>
      <c r="EV197">
        <v>1528.19</v>
      </c>
      <c r="EW197">
        <v>166.47</v>
      </c>
      <c r="EX197">
        <v>0.08</v>
      </c>
      <c r="EY197">
        <v>0</v>
      </c>
      <c r="FQ197">
        <v>0</v>
      </c>
      <c r="FR197">
        <f t="shared" si="159"/>
        <v>0</v>
      </c>
      <c r="FS197">
        <v>0</v>
      </c>
      <c r="FX197">
        <v>90</v>
      </c>
      <c r="FY197">
        <v>42</v>
      </c>
      <c r="GA197" t="s">
        <v>3</v>
      </c>
      <c r="GD197">
        <v>1</v>
      </c>
      <c r="GF197">
        <v>-222903101</v>
      </c>
      <c r="GG197">
        <v>2</v>
      </c>
      <c r="GH197">
        <v>2</v>
      </c>
      <c r="GI197">
        <v>2</v>
      </c>
      <c r="GJ197">
        <v>0</v>
      </c>
      <c r="GK197">
        <v>0</v>
      </c>
      <c r="GL197">
        <f t="shared" si="160"/>
        <v>0</v>
      </c>
      <c r="GM197">
        <f t="shared" si="161"/>
        <v>1670.12</v>
      </c>
      <c r="GN197">
        <f t="shared" si="162"/>
        <v>1670.12</v>
      </c>
      <c r="GO197">
        <f t="shared" si="163"/>
        <v>0</v>
      </c>
      <c r="GP197">
        <f t="shared" si="164"/>
        <v>0</v>
      </c>
      <c r="GR197">
        <v>0</v>
      </c>
      <c r="GS197">
        <v>3</v>
      </c>
      <c r="GT197">
        <v>0</v>
      </c>
      <c r="GU197" t="s">
        <v>3</v>
      </c>
      <c r="GV197">
        <f t="shared" si="165"/>
        <v>0</v>
      </c>
      <c r="GW197">
        <v>1</v>
      </c>
      <c r="GX197">
        <f t="shared" si="166"/>
        <v>0</v>
      </c>
      <c r="HA197">
        <v>0</v>
      </c>
      <c r="HB197">
        <v>0</v>
      </c>
      <c r="HC197">
        <f t="shared" si="167"/>
        <v>0</v>
      </c>
      <c r="HE197" t="s">
        <v>3</v>
      </c>
      <c r="HF197" t="s">
        <v>3</v>
      </c>
      <c r="HM197" t="s">
        <v>3</v>
      </c>
      <c r="HN197" t="s">
        <v>3</v>
      </c>
      <c r="HO197" t="s">
        <v>3</v>
      </c>
      <c r="HP197" t="s">
        <v>3</v>
      </c>
      <c r="HQ197" t="s">
        <v>3</v>
      </c>
      <c r="IK197">
        <v>0</v>
      </c>
    </row>
    <row r="198" spans="1:245">
      <c r="A198">
        <v>18</v>
      </c>
      <c r="B198">
        <v>1</v>
      </c>
      <c r="C198">
        <v>137</v>
      </c>
      <c r="E198" t="s">
        <v>228</v>
      </c>
      <c r="F198" t="s">
        <v>229</v>
      </c>
      <c r="G198" t="s">
        <v>230</v>
      </c>
      <c r="H198" t="s">
        <v>129</v>
      </c>
      <c r="I198">
        <f>I197*J198</f>
        <v>1.2</v>
      </c>
      <c r="J198">
        <v>100</v>
      </c>
      <c r="K198">
        <v>100</v>
      </c>
      <c r="O198">
        <f t="shared" si="130"/>
        <v>248.68</v>
      </c>
      <c r="P198">
        <f t="shared" si="131"/>
        <v>248.68</v>
      </c>
      <c r="Q198">
        <f t="shared" si="132"/>
        <v>0</v>
      </c>
      <c r="R198">
        <f t="shared" si="133"/>
        <v>0</v>
      </c>
      <c r="S198">
        <f t="shared" si="134"/>
        <v>0</v>
      </c>
      <c r="T198">
        <f t="shared" si="135"/>
        <v>0</v>
      </c>
      <c r="U198">
        <f t="shared" si="136"/>
        <v>0</v>
      </c>
      <c r="V198">
        <f t="shared" si="137"/>
        <v>0</v>
      </c>
      <c r="W198">
        <f t="shared" si="138"/>
        <v>0.1</v>
      </c>
      <c r="X198">
        <f t="shared" si="139"/>
        <v>0</v>
      </c>
      <c r="Y198">
        <f t="shared" si="140"/>
        <v>0</v>
      </c>
      <c r="AA198">
        <v>35841400</v>
      </c>
      <c r="AB198">
        <f t="shared" si="141"/>
        <v>66.849999999999994</v>
      </c>
      <c r="AC198">
        <f t="shared" si="142"/>
        <v>66.849999999999994</v>
      </c>
      <c r="AD198">
        <f t="shared" si="143"/>
        <v>0</v>
      </c>
      <c r="AE198">
        <f t="shared" si="144"/>
        <v>0</v>
      </c>
      <c r="AF198">
        <f>ROUND((EV198),6)</f>
        <v>0</v>
      </c>
      <c r="AG198">
        <f t="shared" si="145"/>
        <v>0</v>
      </c>
      <c r="AH198">
        <f>(EW198)</f>
        <v>0</v>
      </c>
      <c r="AI198">
        <f t="shared" si="146"/>
        <v>0</v>
      </c>
      <c r="AJ198">
        <f t="shared" si="147"/>
        <v>0.08</v>
      </c>
      <c r="AK198">
        <v>66.849999999999994</v>
      </c>
      <c r="AL198">
        <v>66.849999999999994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0.08</v>
      </c>
      <c r="AT198">
        <v>100</v>
      </c>
      <c r="AU198">
        <v>42</v>
      </c>
      <c r="AV198">
        <v>1</v>
      </c>
      <c r="AW198">
        <v>1</v>
      </c>
      <c r="AZ198">
        <v>1</v>
      </c>
      <c r="BA198">
        <v>1</v>
      </c>
      <c r="BB198">
        <v>1</v>
      </c>
      <c r="BC198">
        <v>3.1</v>
      </c>
      <c r="BD198" t="s">
        <v>3</v>
      </c>
      <c r="BE198" t="s">
        <v>3</v>
      </c>
      <c r="BF198" t="s">
        <v>3</v>
      </c>
      <c r="BG198" t="s">
        <v>3</v>
      </c>
      <c r="BH198">
        <v>3</v>
      </c>
      <c r="BI198">
        <v>1</v>
      </c>
      <c r="BJ198" t="s">
        <v>231</v>
      </c>
      <c r="BM198">
        <v>15001</v>
      </c>
      <c r="BN198">
        <v>0</v>
      </c>
      <c r="BO198" t="s">
        <v>229</v>
      </c>
      <c r="BP198">
        <v>1</v>
      </c>
      <c r="BQ198">
        <v>2</v>
      </c>
      <c r="BR198">
        <v>0</v>
      </c>
      <c r="BS198">
        <v>1</v>
      </c>
      <c r="BT198">
        <v>1</v>
      </c>
      <c r="BU198">
        <v>1</v>
      </c>
      <c r="BV198">
        <v>1</v>
      </c>
      <c r="BW198">
        <v>1</v>
      </c>
      <c r="BX198">
        <v>1</v>
      </c>
      <c r="BY198" t="s">
        <v>3</v>
      </c>
      <c r="BZ198">
        <v>100</v>
      </c>
      <c r="CA198">
        <v>42</v>
      </c>
      <c r="CB198" t="s">
        <v>3</v>
      </c>
      <c r="CE198">
        <v>0</v>
      </c>
      <c r="CF198">
        <v>0</v>
      </c>
      <c r="CG198">
        <v>0</v>
      </c>
      <c r="CM198">
        <v>0</v>
      </c>
      <c r="CN198" t="s">
        <v>3</v>
      </c>
      <c r="CO198">
        <v>0</v>
      </c>
      <c r="CP198">
        <f t="shared" si="148"/>
        <v>248.68</v>
      </c>
      <c r="CQ198">
        <f t="shared" si="149"/>
        <v>207.23499999999999</v>
      </c>
      <c r="CR198">
        <f t="shared" si="150"/>
        <v>0</v>
      </c>
      <c r="CS198">
        <f t="shared" si="151"/>
        <v>0</v>
      </c>
      <c r="CT198">
        <f t="shared" si="152"/>
        <v>0</v>
      </c>
      <c r="CU198">
        <f t="shared" si="153"/>
        <v>0</v>
      </c>
      <c r="CV198">
        <f t="shared" si="154"/>
        <v>0</v>
      </c>
      <c r="CW198">
        <f t="shared" si="155"/>
        <v>0</v>
      </c>
      <c r="CX198">
        <f t="shared" si="156"/>
        <v>0.08</v>
      </c>
      <c r="CY198">
        <f t="shared" si="157"/>
        <v>0</v>
      </c>
      <c r="CZ198">
        <f t="shared" si="158"/>
        <v>0</v>
      </c>
      <c r="DC198" t="s">
        <v>3</v>
      </c>
      <c r="DD198" t="s">
        <v>3</v>
      </c>
      <c r="DE198" t="s">
        <v>3</v>
      </c>
      <c r="DF198" t="s">
        <v>3</v>
      </c>
      <c r="DG198" t="s">
        <v>3</v>
      </c>
      <c r="DH198" t="s">
        <v>3</v>
      </c>
      <c r="DI198" t="s">
        <v>3</v>
      </c>
      <c r="DJ198" t="s">
        <v>3</v>
      </c>
      <c r="DK198" t="s">
        <v>3</v>
      </c>
      <c r="DL198" t="s">
        <v>3</v>
      </c>
      <c r="DM198" t="s">
        <v>3</v>
      </c>
      <c r="DN198">
        <v>0</v>
      </c>
      <c r="DO198">
        <v>0</v>
      </c>
      <c r="DP198">
        <v>1</v>
      </c>
      <c r="DQ198">
        <v>1</v>
      </c>
      <c r="DU198">
        <v>1005</v>
      </c>
      <c r="DV198" t="s">
        <v>129</v>
      </c>
      <c r="DW198" t="s">
        <v>129</v>
      </c>
      <c r="DX198">
        <v>1</v>
      </c>
      <c r="DZ198" t="s">
        <v>3</v>
      </c>
      <c r="EA198" t="s">
        <v>3</v>
      </c>
      <c r="EB198" t="s">
        <v>3</v>
      </c>
      <c r="EC198" t="s">
        <v>3</v>
      </c>
      <c r="EE198">
        <v>36520056</v>
      </c>
      <c r="EF198">
        <v>2</v>
      </c>
      <c r="EG198" t="s">
        <v>28</v>
      </c>
      <c r="EH198">
        <v>0</v>
      </c>
      <c r="EI198" t="s">
        <v>3</v>
      </c>
      <c r="EJ198">
        <v>1</v>
      </c>
      <c r="EK198">
        <v>15001</v>
      </c>
      <c r="EL198" t="s">
        <v>140</v>
      </c>
      <c r="EM198" t="s">
        <v>141</v>
      </c>
      <c r="EO198" t="s">
        <v>3</v>
      </c>
      <c r="EQ198">
        <v>0</v>
      </c>
      <c r="ER198">
        <v>66.849999999999994</v>
      </c>
      <c r="ES198">
        <v>66.849999999999994</v>
      </c>
      <c r="ET198">
        <v>0</v>
      </c>
      <c r="EU198">
        <v>0</v>
      </c>
      <c r="EV198">
        <v>0</v>
      </c>
      <c r="EW198">
        <v>0</v>
      </c>
      <c r="EX198">
        <v>0</v>
      </c>
      <c r="FQ198">
        <v>0</v>
      </c>
      <c r="FR198">
        <f t="shared" si="159"/>
        <v>0</v>
      </c>
      <c r="FS198">
        <v>0</v>
      </c>
      <c r="FX198">
        <v>100</v>
      </c>
      <c r="FY198">
        <v>42</v>
      </c>
      <c r="GA198" t="s">
        <v>3</v>
      </c>
      <c r="GD198">
        <v>1</v>
      </c>
      <c r="GF198">
        <v>509812052</v>
      </c>
      <c r="GG198">
        <v>2</v>
      </c>
      <c r="GH198">
        <v>1</v>
      </c>
      <c r="GI198">
        <v>2</v>
      </c>
      <c r="GJ198">
        <v>0</v>
      </c>
      <c r="GK198">
        <v>0</v>
      </c>
      <c r="GL198">
        <f t="shared" si="160"/>
        <v>0</v>
      </c>
      <c r="GM198">
        <f t="shared" si="161"/>
        <v>248.68</v>
      </c>
      <c r="GN198">
        <f t="shared" si="162"/>
        <v>248.68</v>
      </c>
      <c r="GO198">
        <f t="shared" si="163"/>
        <v>0</v>
      </c>
      <c r="GP198">
        <f t="shared" si="164"/>
        <v>0</v>
      </c>
      <c r="GR198">
        <v>0</v>
      </c>
      <c r="GS198">
        <v>3</v>
      </c>
      <c r="GT198">
        <v>0</v>
      </c>
      <c r="GU198" t="s">
        <v>3</v>
      </c>
      <c r="GV198">
        <f t="shared" si="165"/>
        <v>0</v>
      </c>
      <c r="GW198">
        <v>1</v>
      </c>
      <c r="GX198">
        <f t="shared" si="166"/>
        <v>0</v>
      </c>
      <c r="HA198">
        <v>0</v>
      </c>
      <c r="HB198">
        <v>0</v>
      </c>
      <c r="HC198">
        <f t="shared" si="167"/>
        <v>0</v>
      </c>
      <c r="HE198" t="s">
        <v>3</v>
      </c>
      <c r="HF198" t="s">
        <v>3</v>
      </c>
      <c r="HM198" t="s">
        <v>3</v>
      </c>
      <c r="HN198" t="s">
        <v>3</v>
      </c>
      <c r="HO198" t="s">
        <v>3</v>
      </c>
      <c r="HP198" t="s">
        <v>3</v>
      </c>
      <c r="HQ198" t="s">
        <v>3</v>
      </c>
      <c r="IK198">
        <v>0</v>
      </c>
    </row>
    <row r="199" spans="1:245">
      <c r="A199">
        <v>17</v>
      </c>
      <c r="B199">
        <v>1</v>
      </c>
      <c r="C199">
        <f>ROW(SmtRes!A144)</f>
        <v>144</v>
      </c>
      <c r="D199">
        <f>ROW(EtalonRes!A145)</f>
        <v>145</v>
      </c>
      <c r="E199" t="s">
        <v>31</v>
      </c>
      <c r="F199" t="s">
        <v>232</v>
      </c>
      <c r="G199" t="s">
        <v>233</v>
      </c>
      <c r="H199" t="s">
        <v>234</v>
      </c>
      <c r="I199">
        <f>ROUND(1.5/100,9)</f>
        <v>1.4999999999999999E-2</v>
      </c>
      <c r="J199">
        <v>0</v>
      </c>
      <c r="K199">
        <f>ROUND(1.5/100,9)</f>
        <v>1.4999999999999999E-2</v>
      </c>
      <c r="O199">
        <f t="shared" si="130"/>
        <v>396.02</v>
      </c>
      <c r="P199">
        <f t="shared" si="131"/>
        <v>288.29000000000002</v>
      </c>
      <c r="Q199">
        <f t="shared" si="132"/>
        <v>2.97</v>
      </c>
      <c r="R199">
        <f t="shared" si="133"/>
        <v>0.34</v>
      </c>
      <c r="S199">
        <f t="shared" si="134"/>
        <v>104.76</v>
      </c>
      <c r="T199">
        <f t="shared" si="135"/>
        <v>0</v>
      </c>
      <c r="U199">
        <f t="shared" si="136"/>
        <v>0.36552750000000001</v>
      </c>
      <c r="V199">
        <f t="shared" si="137"/>
        <v>7.5000000000000002E-4</v>
      </c>
      <c r="W199">
        <f t="shared" si="138"/>
        <v>0</v>
      </c>
      <c r="X199">
        <f t="shared" si="139"/>
        <v>101.95</v>
      </c>
      <c r="Y199">
        <f t="shared" si="140"/>
        <v>49.4</v>
      </c>
      <c r="AA199">
        <v>35841400</v>
      </c>
      <c r="AB199">
        <f t="shared" si="141"/>
        <v>4229.8649999999998</v>
      </c>
      <c r="AC199">
        <f t="shared" si="142"/>
        <v>4004.09</v>
      </c>
      <c r="AD199">
        <f>ROUND(((((ET199*1.25))-((EU199*1.25)))+AE199),6)</f>
        <v>17.912500000000001</v>
      </c>
      <c r="AE199">
        <f>ROUND(((EU199*1.25)),6)</f>
        <v>0.67500000000000004</v>
      </c>
      <c r="AF199">
        <f>ROUND(((EV199*1.15)),6)</f>
        <v>207.86250000000001</v>
      </c>
      <c r="AG199">
        <f t="shared" si="145"/>
        <v>0</v>
      </c>
      <c r="AH199">
        <f>((EW199*1.15))</f>
        <v>24.368500000000001</v>
      </c>
      <c r="AI199">
        <f>((EX199*1.25))</f>
        <v>0.05</v>
      </c>
      <c r="AJ199">
        <f t="shared" si="147"/>
        <v>0</v>
      </c>
      <c r="AK199">
        <v>4199.17</v>
      </c>
      <c r="AL199">
        <v>4004.09</v>
      </c>
      <c r="AM199">
        <v>14.33</v>
      </c>
      <c r="AN199">
        <v>0.54</v>
      </c>
      <c r="AO199">
        <v>180.75</v>
      </c>
      <c r="AP199">
        <v>0</v>
      </c>
      <c r="AQ199">
        <v>21.19</v>
      </c>
      <c r="AR199">
        <v>0.04</v>
      </c>
      <c r="AS199">
        <v>0</v>
      </c>
      <c r="AT199">
        <v>97</v>
      </c>
      <c r="AU199">
        <v>47</v>
      </c>
      <c r="AV199">
        <v>1</v>
      </c>
      <c r="AW199">
        <v>1</v>
      </c>
      <c r="AZ199">
        <v>1</v>
      </c>
      <c r="BA199">
        <v>33.6</v>
      </c>
      <c r="BB199">
        <v>11.06</v>
      </c>
      <c r="BC199">
        <v>4.8</v>
      </c>
      <c r="BD199" t="s">
        <v>3</v>
      </c>
      <c r="BE199" t="s">
        <v>3</v>
      </c>
      <c r="BF199" t="s">
        <v>3</v>
      </c>
      <c r="BG199" t="s">
        <v>3</v>
      </c>
      <c r="BH199">
        <v>0</v>
      </c>
      <c r="BI199">
        <v>1</v>
      </c>
      <c r="BJ199" t="s">
        <v>235</v>
      </c>
      <c r="BM199">
        <v>10001</v>
      </c>
      <c r="BN199">
        <v>0</v>
      </c>
      <c r="BO199" t="s">
        <v>232</v>
      </c>
      <c r="BP199">
        <v>1</v>
      </c>
      <c r="BQ199">
        <v>2</v>
      </c>
      <c r="BR199">
        <v>0</v>
      </c>
      <c r="BS199">
        <v>33.6</v>
      </c>
      <c r="BT199">
        <v>1</v>
      </c>
      <c r="BU199">
        <v>1</v>
      </c>
      <c r="BV199">
        <v>1</v>
      </c>
      <c r="BW199">
        <v>1</v>
      </c>
      <c r="BX199">
        <v>1</v>
      </c>
      <c r="BY199" t="s">
        <v>3</v>
      </c>
      <c r="BZ199">
        <v>97</v>
      </c>
      <c r="CA199">
        <v>47</v>
      </c>
      <c r="CB199" t="s">
        <v>3</v>
      </c>
      <c r="CE199">
        <v>0</v>
      </c>
      <c r="CF199">
        <v>0</v>
      </c>
      <c r="CG199">
        <v>0</v>
      </c>
      <c r="CM199">
        <v>0</v>
      </c>
      <c r="CN199" t="s">
        <v>607</v>
      </c>
      <c r="CO199">
        <v>0</v>
      </c>
      <c r="CP199">
        <f t="shared" si="148"/>
        <v>396.02000000000004</v>
      </c>
      <c r="CQ199">
        <f t="shared" si="149"/>
        <v>19219.632000000001</v>
      </c>
      <c r="CR199">
        <f t="shared" si="150"/>
        <v>198.11225000000002</v>
      </c>
      <c r="CS199">
        <f t="shared" si="151"/>
        <v>22.680000000000003</v>
      </c>
      <c r="CT199">
        <f t="shared" si="152"/>
        <v>6984.18</v>
      </c>
      <c r="CU199">
        <f t="shared" si="153"/>
        <v>0</v>
      </c>
      <c r="CV199">
        <f t="shared" si="154"/>
        <v>24.368500000000001</v>
      </c>
      <c r="CW199">
        <f t="shared" si="155"/>
        <v>0.05</v>
      </c>
      <c r="CX199">
        <f t="shared" si="156"/>
        <v>0</v>
      </c>
      <c r="CY199">
        <f t="shared" si="157"/>
        <v>101.947</v>
      </c>
      <c r="CZ199">
        <f t="shared" si="158"/>
        <v>49.397000000000006</v>
      </c>
      <c r="DC199" t="s">
        <v>3</v>
      </c>
      <c r="DD199" t="s">
        <v>3</v>
      </c>
      <c r="DE199" t="s">
        <v>139</v>
      </c>
      <c r="DF199" t="s">
        <v>139</v>
      </c>
      <c r="DG199" t="s">
        <v>114</v>
      </c>
      <c r="DH199" t="s">
        <v>3</v>
      </c>
      <c r="DI199" t="s">
        <v>114</v>
      </c>
      <c r="DJ199" t="s">
        <v>139</v>
      </c>
      <c r="DK199" t="s">
        <v>3</v>
      </c>
      <c r="DL199" t="s">
        <v>3</v>
      </c>
      <c r="DM199" t="s">
        <v>3</v>
      </c>
      <c r="DN199">
        <v>0</v>
      </c>
      <c r="DO199">
        <v>0</v>
      </c>
      <c r="DP199">
        <v>1</v>
      </c>
      <c r="DQ199">
        <v>1</v>
      </c>
      <c r="DU199">
        <v>1013</v>
      </c>
      <c r="DV199" t="s">
        <v>234</v>
      </c>
      <c r="DW199" t="s">
        <v>234</v>
      </c>
      <c r="DX199">
        <v>1</v>
      </c>
      <c r="DZ199" t="s">
        <v>3</v>
      </c>
      <c r="EA199" t="s">
        <v>3</v>
      </c>
      <c r="EB199" t="s">
        <v>3</v>
      </c>
      <c r="EC199" t="s">
        <v>3</v>
      </c>
      <c r="EE199">
        <v>36520026</v>
      </c>
      <c r="EF199">
        <v>2</v>
      </c>
      <c r="EG199" t="s">
        <v>28</v>
      </c>
      <c r="EH199">
        <v>0</v>
      </c>
      <c r="EI199" t="s">
        <v>3</v>
      </c>
      <c r="EJ199">
        <v>1</v>
      </c>
      <c r="EK199">
        <v>10001</v>
      </c>
      <c r="EL199" t="s">
        <v>115</v>
      </c>
      <c r="EM199" t="s">
        <v>116</v>
      </c>
      <c r="EO199" t="s">
        <v>142</v>
      </c>
      <c r="EQ199">
        <v>0</v>
      </c>
      <c r="ER199">
        <v>4199.17</v>
      </c>
      <c r="ES199">
        <v>4004.09</v>
      </c>
      <c r="ET199">
        <v>14.33</v>
      </c>
      <c r="EU199">
        <v>0.54</v>
      </c>
      <c r="EV199">
        <v>180.75</v>
      </c>
      <c r="EW199">
        <v>21.19</v>
      </c>
      <c r="EX199">
        <v>0.04</v>
      </c>
      <c r="EY199">
        <v>0</v>
      </c>
      <c r="FQ199">
        <v>0</v>
      </c>
      <c r="FR199">
        <f t="shared" si="159"/>
        <v>0</v>
      </c>
      <c r="FS199">
        <v>0</v>
      </c>
      <c r="FX199">
        <v>97</v>
      </c>
      <c r="FY199">
        <v>47</v>
      </c>
      <c r="GA199" t="s">
        <v>3</v>
      </c>
      <c r="GD199">
        <v>1</v>
      </c>
      <c r="GF199">
        <v>1062948677</v>
      </c>
      <c r="GG199">
        <v>2</v>
      </c>
      <c r="GH199">
        <v>2</v>
      </c>
      <c r="GI199">
        <v>2</v>
      </c>
      <c r="GJ199">
        <v>0</v>
      </c>
      <c r="GK199">
        <v>0</v>
      </c>
      <c r="GL199">
        <f t="shared" si="160"/>
        <v>0</v>
      </c>
      <c r="GM199">
        <f t="shared" si="161"/>
        <v>547.37</v>
      </c>
      <c r="GN199">
        <f t="shared" si="162"/>
        <v>547.37</v>
      </c>
      <c r="GO199">
        <f t="shared" si="163"/>
        <v>0</v>
      </c>
      <c r="GP199">
        <f t="shared" si="164"/>
        <v>0</v>
      </c>
      <c r="GR199">
        <v>0</v>
      </c>
      <c r="GS199">
        <v>3</v>
      </c>
      <c r="GT199">
        <v>0</v>
      </c>
      <c r="GU199" t="s">
        <v>3</v>
      </c>
      <c r="GV199">
        <f t="shared" si="165"/>
        <v>0</v>
      </c>
      <c r="GW199">
        <v>1</v>
      </c>
      <c r="GX199">
        <f t="shared" si="166"/>
        <v>0</v>
      </c>
      <c r="HA199">
        <v>0</v>
      </c>
      <c r="HB199">
        <v>0</v>
      </c>
      <c r="HC199">
        <f t="shared" si="167"/>
        <v>0</v>
      </c>
      <c r="HE199" t="s">
        <v>3</v>
      </c>
      <c r="HF199" t="s">
        <v>3</v>
      </c>
      <c r="HM199" t="s">
        <v>3</v>
      </c>
      <c r="HN199" t="s">
        <v>3</v>
      </c>
      <c r="HO199" t="s">
        <v>3</v>
      </c>
      <c r="HP199" t="s">
        <v>3</v>
      </c>
      <c r="HQ199" t="s">
        <v>3</v>
      </c>
      <c r="IK199">
        <v>0</v>
      </c>
    </row>
    <row r="200" spans="1:245">
      <c r="A200">
        <v>18</v>
      </c>
      <c r="B200">
        <v>1</v>
      </c>
      <c r="C200">
        <v>143</v>
      </c>
      <c r="E200" t="s">
        <v>38</v>
      </c>
      <c r="F200" t="s">
        <v>236</v>
      </c>
      <c r="G200" t="s">
        <v>237</v>
      </c>
      <c r="H200" t="s">
        <v>238</v>
      </c>
      <c r="I200">
        <f>I199*J200</f>
        <v>1.5</v>
      </c>
      <c r="J200">
        <v>100</v>
      </c>
      <c r="K200">
        <v>100</v>
      </c>
      <c r="O200">
        <f t="shared" si="130"/>
        <v>162.35</v>
      </c>
      <c r="P200">
        <f t="shared" si="131"/>
        <v>162.35</v>
      </c>
      <c r="Q200">
        <f t="shared" si="132"/>
        <v>0</v>
      </c>
      <c r="R200">
        <f t="shared" si="133"/>
        <v>0</v>
      </c>
      <c r="S200">
        <f t="shared" si="134"/>
        <v>0</v>
      </c>
      <c r="T200">
        <f t="shared" si="135"/>
        <v>0</v>
      </c>
      <c r="U200">
        <f t="shared" si="136"/>
        <v>0</v>
      </c>
      <c r="V200">
        <f t="shared" si="137"/>
        <v>0</v>
      </c>
      <c r="W200">
        <f t="shared" si="138"/>
        <v>0.14000000000000001</v>
      </c>
      <c r="X200">
        <f t="shared" si="139"/>
        <v>0</v>
      </c>
      <c r="Y200">
        <f t="shared" si="140"/>
        <v>0</v>
      </c>
      <c r="AA200">
        <v>35841400</v>
      </c>
      <c r="AB200">
        <f t="shared" si="141"/>
        <v>131.99</v>
      </c>
      <c r="AC200">
        <f t="shared" si="142"/>
        <v>131.99</v>
      </c>
      <c r="AD200">
        <f t="shared" ref="AD200:AD208" si="168">ROUND((((ET200)-(EU200))+AE200),6)</f>
        <v>0</v>
      </c>
      <c r="AE200">
        <f>ROUND((EU200),6)</f>
        <v>0</v>
      </c>
      <c r="AF200">
        <f>ROUND((EV200),6)</f>
        <v>0</v>
      </c>
      <c r="AG200">
        <f t="shared" si="145"/>
        <v>0</v>
      </c>
      <c r="AH200">
        <f>(EW200)</f>
        <v>0</v>
      </c>
      <c r="AI200">
        <f>(EX200)</f>
        <v>0</v>
      </c>
      <c r="AJ200">
        <f t="shared" si="147"/>
        <v>0.09</v>
      </c>
      <c r="AK200">
        <v>131.99</v>
      </c>
      <c r="AL200">
        <v>131.99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0.09</v>
      </c>
      <c r="AT200">
        <v>108</v>
      </c>
      <c r="AU200">
        <v>47</v>
      </c>
      <c r="AV200">
        <v>1</v>
      </c>
      <c r="AW200">
        <v>1</v>
      </c>
      <c r="AZ200">
        <v>1</v>
      </c>
      <c r="BA200">
        <v>1</v>
      </c>
      <c r="BB200">
        <v>1</v>
      </c>
      <c r="BC200">
        <v>0.82</v>
      </c>
      <c r="BD200" t="s">
        <v>3</v>
      </c>
      <c r="BE200" t="s">
        <v>3</v>
      </c>
      <c r="BF200" t="s">
        <v>3</v>
      </c>
      <c r="BG200" t="s">
        <v>3</v>
      </c>
      <c r="BH200">
        <v>3</v>
      </c>
      <c r="BI200">
        <v>1</v>
      </c>
      <c r="BJ200" t="s">
        <v>239</v>
      </c>
      <c r="BM200">
        <v>10001</v>
      </c>
      <c r="BN200">
        <v>0</v>
      </c>
      <c r="BO200" t="s">
        <v>236</v>
      </c>
      <c r="BP200">
        <v>1</v>
      </c>
      <c r="BQ200">
        <v>2</v>
      </c>
      <c r="BR200">
        <v>0</v>
      </c>
      <c r="BS200">
        <v>1</v>
      </c>
      <c r="BT200">
        <v>1</v>
      </c>
      <c r="BU200">
        <v>1</v>
      </c>
      <c r="BV200">
        <v>1</v>
      </c>
      <c r="BW200">
        <v>1</v>
      </c>
      <c r="BX200">
        <v>1</v>
      </c>
      <c r="BY200" t="s">
        <v>3</v>
      </c>
      <c r="BZ200">
        <v>108</v>
      </c>
      <c r="CA200">
        <v>47</v>
      </c>
      <c r="CB200" t="s">
        <v>3</v>
      </c>
      <c r="CE200">
        <v>0</v>
      </c>
      <c r="CF200">
        <v>0</v>
      </c>
      <c r="CG200">
        <v>0</v>
      </c>
      <c r="CM200">
        <v>0</v>
      </c>
      <c r="CN200" t="s">
        <v>3</v>
      </c>
      <c r="CO200">
        <v>0</v>
      </c>
      <c r="CP200">
        <f t="shared" si="148"/>
        <v>162.35</v>
      </c>
      <c r="CQ200">
        <f t="shared" si="149"/>
        <v>108.23180000000001</v>
      </c>
      <c r="CR200">
        <f t="shared" si="150"/>
        <v>0</v>
      </c>
      <c r="CS200">
        <f t="shared" si="151"/>
        <v>0</v>
      </c>
      <c r="CT200">
        <f t="shared" si="152"/>
        <v>0</v>
      </c>
      <c r="CU200">
        <f t="shared" si="153"/>
        <v>0</v>
      </c>
      <c r="CV200">
        <f t="shared" si="154"/>
        <v>0</v>
      </c>
      <c r="CW200">
        <f t="shared" si="155"/>
        <v>0</v>
      </c>
      <c r="CX200">
        <f t="shared" si="156"/>
        <v>0.09</v>
      </c>
      <c r="CY200">
        <f t="shared" si="157"/>
        <v>0</v>
      </c>
      <c r="CZ200">
        <f t="shared" si="158"/>
        <v>0</v>
      </c>
      <c r="DC200" t="s">
        <v>3</v>
      </c>
      <c r="DD200" t="s">
        <v>3</v>
      </c>
      <c r="DE200" t="s">
        <v>3</v>
      </c>
      <c r="DF200" t="s">
        <v>3</v>
      </c>
      <c r="DG200" t="s">
        <v>3</v>
      </c>
      <c r="DH200" t="s">
        <v>3</v>
      </c>
      <c r="DI200" t="s">
        <v>3</v>
      </c>
      <c r="DJ200" t="s">
        <v>3</v>
      </c>
      <c r="DK200" t="s">
        <v>3</v>
      </c>
      <c r="DL200" t="s">
        <v>3</v>
      </c>
      <c r="DM200" t="s">
        <v>3</v>
      </c>
      <c r="DN200">
        <v>0</v>
      </c>
      <c r="DO200">
        <v>0</v>
      </c>
      <c r="DP200">
        <v>1</v>
      </c>
      <c r="DQ200">
        <v>1</v>
      </c>
      <c r="DU200">
        <v>1003</v>
      </c>
      <c r="DV200" t="s">
        <v>238</v>
      </c>
      <c r="DW200" t="s">
        <v>238</v>
      </c>
      <c r="DX200">
        <v>1</v>
      </c>
      <c r="DZ200" t="s">
        <v>3</v>
      </c>
      <c r="EA200" t="s">
        <v>3</v>
      </c>
      <c r="EB200" t="s">
        <v>3</v>
      </c>
      <c r="EC200" t="s">
        <v>3</v>
      </c>
      <c r="EE200">
        <v>36520026</v>
      </c>
      <c r="EF200">
        <v>2</v>
      </c>
      <c r="EG200" t="s">
        <v>28</v>
      </c>
      <c r="EH200">
        <v>0</v>
      </c>
      <c r="EI200" t="s">
        <v>3</v>
      </c>
      <c r="EJ200">
        <v>1</v>
      </c>
      <c r="EK200">
        <v>10001</v>
      </c>
      <c r="EL200" t="s">
        <v>115</v>
      </c>
      <c r="EM200" t="s">
        <v>116</v>
      </c>
      <c r="EO200" t="s">
        <v>3</v>
      </c>
      <c r="EQ200">
        <v>0</v>
      </c>
      <c r="ER200">
        <v>131.99</v>
      </c>
      <c r="ES200">
        <v>131.99</v>
      </c>
      <c r="ET200">
        <v>0</v>
      </c>
      <c r="EU200">
        <v>0</v>
      </c>
      <c r="EV200">
        <v>0</v>
      </c>
      <c r="EW200">
        <v>0</v>
      </c>
      <c r="EX200">
        <v>0</v>
      </c>
      <c r="FQ200">
        <v>0</v>
      </c>
      <c r="FR200">
        <f t="shared" si="159"/>
        <v>0</v>
      </c>
      <c r="FS200">
        <v>0</v>
      </c>
      <c r="FX200">
        <v>108</v>
      </c>
      <c r="FY200">
        <v>47</v>
      </c>
      <c r="GA200" t="s">
        <v>3</v>
      </c>
      <c r="GD200">
        <v>1</v>
      </c>
      <c r="GF200">
        <v>1128706910</v>
      </c>
      <c r="GG200">
        <v>2</v>
      </c>
      <c r="GH200">
        <v>1</v>
      </c>
      <c r="GI200">
        <v>2</v>
      </c>
      <c r="GJ200">
        <v>0</v>
      </c>
      <c r="GK200">
        <v>0</v>
      </c>
      <c r="GL200">
        <f t="shared" si="160"/>
        <v>0</v>
      </c>
      <c r="GM200">
        <f t="shared" si="161"/>
        <v>162.35</v>
      </c>
      <c r="GN200">
        <f t="shared" si="162"/>
        <v>162.35</v>
      </c>
      <c r="GO200">
        <f t="shared" si="163"/>
        <v>0</v>
      </c>
      <c r="GP200">
        <f t="shared" si="164"/>
        <v>0</v>
      </c>
      <c r="GR200">
        <v>0</v>
      </c>
      <c r="GS200">
        <v>3</v>
      </c>
      <c r="GT200">
        <v>0</v>
      </c>
      <c r="GU200" t="s">
        <v>3</v>
      </c>
      <c r="GV200">
        <f t="shared" si="165"/>
        <v>0</v>
      </c>
      <c r="GW200">
        <v>1</v>
      </c>
      <c r="GX200">
        <f t="shared" si="166"/>
        <v>0</v>
      </c>
      <c r="HA200">
        <v>0</v>
      </c>
      <c r="HB200">
        <v>0</v>
      </c>
      <c r="HC200">
        <f t="shared" si="167"/>
        <v>0</v>
      </c>
      <c r="HE200" t="s">
        <v>3</v>
      </c>
      <c r="HF200" t="s">
        <v>3</v>
      </c>
      <c r="HM200" t="s">
        <v>3</v>
      </c>
      <c r="HN200" t="s">
        <v>3</v>
      </c>
      <c r="HO200" t="s">
        <v>3</v>
      </c>
      <c r="HP200" t="s">
        <v>3</v>
      </c>
      <c r="HQ200" t="s">
        <v>3</v>
      </c>
      <c r="IK200">
        <v>0</v>
      </c>
    </row>
    <row r="201" spans="1:245">
      <c r="A201">
        <v>17</v>
      </c>
      <c r="B201">
        <v>1</v>
      </c>
      <c r="C201">
        <f>ROW(SmtRes!A157)</f>
        <v>157</v>
      </c>
      <c r="D201">
        <f>ROW(EtalonRes!A158)</f>
        <v>158</v>
      </c>
      <c r="E201" t="s">
        <v>122</v>
      </c>
      <c r="F201" t="s">
        <v>214</v>
      </c>
      <c r="G201" t="s">
        <v>215</v>
      </c>
      <c r="H201" t="s">
        <v>216</v>
      </c>
      <c r="I201">
        <f>ROUND(1.62/100,9)</f>
        <v>1.6199999999999999E-2</v>
      </c>
      <c r="J201">
        <v>0</v>
      </c>
      <c r="K201">
        <f>ROUND(1.62/100,9)</f>
        <v>1.6199999999999999E-2</v>
      </c>
      <c r="O201">
        <f t="shared" si="130"/>
        <v>6000.45</v>
      </c>
      <c r="P201">
        <f t="shared" si="131"/>
        <v>4989.2</v>
      </c>
      <c r="Q201">
        <f t="shared" si="132"/>
        <v>77.08</v>
      </c>
      <c r="R201">
        <f t="shared" si="133"/>
        <v>12.93</v>
      </c>
      <c r="S201">
        <f t="shared" si="134"/>
        <v>934.17</v>
      </c>
      <c r="T201">
        <f t="shared" si="135"/>
        <v>0</v>
      </c>
      <c r="U201">
        <f t="shared" si="136"/>
        <v>3.1810724999999995</v>
      </c>
      <c r="V201">
        <f t="shared" si="137"/>
        <v>2.8511999999999999E-2</v>
      </c>
      <c r="W201">
        <f t="shared" si="138"/>
        <v>0</v>
      </c>
      <c r="X201">
        <f t="shared" si="139"/>
        <v>918.69</v>
      </c>
      <c r="Y201">
        <f t="shared" si="140"/>
        <v>445.14</v>
      </c>
      <c r="AA201">
        <v>35841400</v>
      </c>
      <c r="AB201">
        <f t="shared" si="141"/>
        <v>176140.524</v>
      </c>
      <c r="AC201">
        <f t="shared" si="142"/>
        <v>173997.22</v>
      </c>
      <c r="AD201">
        <f t="shared" si="168"/>
        <v>427.09</v>
      </c>
      <c r="AE201">
        <f t="shared" ref="AE201:AE208" si="169">ROUND((EU201),6)</f>
        <v>23.76</v>
      </c>
      <c r="AF201">
        <f>ROUND(((EV201*1.15)),6)</f>
        <v>1716.2139999999999</v>
      </c>
      <c r="AG201">
        <f t="shared" si="145"/>
        <v>0</v>
      </c>
      <c r="AH201">
        <f>((EW201*1.15))</f>
        <v>196.36249999999998</v>
      </c>
      <c r="AI201">
        <f t="shared" ref="AI201:AI208" si="170">(EX201)</f>
        <v>1.76</v>
      </c>
      <c r="AJ201">
        <f t="shared" si="147"/>
        <v>0</v>
      </c>
      <c r="AK201">
        <v>175916.67</v>
      </c>
      <c r="AL201">
        <v>173997.22</v>
      </c>
      <c r="AM201">
        <v>427.09</v>
      </c>
      <c r="AN201">
        <v>23.76</v>
      </c>
      <c r="AO201">
        <v>1492.36</v>
      </c>
      <c r="AP201">
        <v>0</v>
      </c>
      <c r="AQ201">
        <v>170.75</v>
      </c>
      <c r="AR201">
        <v>1.76</v>
      </c>
      <c r="AS201">
        <v>0</v>
      </c>
      <c r="AT201">
        <v>97</v>
      </c>
      <c r="AU201">
        <v>47</v>
      </c>
      <c r="AV201">
        <v>1</v>
      </c>
      <c r="AW201">
        <v>1</v>
      </c>
      <c r="AZ201">
        <v>1</v>
      </c>
      <c r="BA201">
        <v>33.6</v>
      </c>
      <c r="BB201">
        <v>11.14</v>
      </c>
      <c r="BC201">
        <v>1.77</v>
      </c>
      <c r="BD201" t="s">
        <v>3</v>
      </c>
      <c r="BE201" t="s">
        <v>3</v>
      </c>
      <c r="BF201" t="s">
        <v>3</v>
      </c>
      <c r="BG201" t="s">
        <v>3</v>
      </c>
      <c r="BH201">
        <v>0</v>
      </c>
      <c r="BI201">
        <v>1</v>
      </c>
      <c r="BJ201" t="s">
        <v>217</v>
      </c>
      <c r="BM201">
        <v>10001</v>
      </c>
      <c r="BN201">
        <v>0</v>
      </c>
      <c r="BO201" t="s">
        <v>214</v>
      </c>
      <c r="BP201">
        <v>1</v>
      </c>
      <c r="BQ201">
        <v>2</v>
      </c>
      <c r="BR201">
        <v>0</v>
      </c>
      <c r="BS201">
        <v>33.6</v>
      </c>
      <c r="BT201">
        <v>1</v>
      </c>
      <c r="BU201">
        <v>1</v>
      </c>
      <c r="BV201">
        <v>1</v>
      </c>
      <c r="BW201">
        <v>1</v>
      </c>
      <c r="BX201">
        <v>1</v>
      </c>
      <c r="BY201" t="s">
        <v>3</v>
      </c>
      <c r="BZ201">
        <v>97</v>
      </c>
      <c r="CA201">
        <v>47</v>
      </c>
      <c r="CB201" t="s">
        <v>3</v>
      </c>
      <c r="CE201">
        <v>0</v>
      </c>
      <c r="CF201">
        <v>0</v>
      </c>
      <c r="CG201">
        <v>0</v>
      </c>
      <c r="CM201">
        <v>0</v>
      </c>
      <c r="CN201" t="s">
        <v>606</v>
      </c>
      <c r="CO201">
        <v>0</v>
      </c>
      <c r="CP201">
        <f t="shared" si="148"/>
        <v>6000.45</v>
      </c>
      <c r="CQ201">
        <f t="shared" si="149"/>
        <v>307975.07939999999</v>
      </c>
      <c r="CR201">
        <f t="shared" si="150"/>
        <v>4757.7825999999995</v>
      </c>
      <c r="CS201">
        <f t="shared" si="151"/>
        <v>798.33600000000013</v>
      </c>
      <c r="CT201">
        <f t="shared" si="152"/>
        <v>57664.790399999998</v>
      </c>
      <c r="CU201">
        <f t="shared" si="153"/>
        <v>0</v>
      </c>
      <c r="CV201">
        <f t="shared" si="154"/>
        <v>196.36249999999998</v>
      </c>
      <c r="CW201">
        <f t="shared" si="155"/>
        <v>1.76</v>
      </c>
      <c r="CX201">
        <f t="shared" si="156"/>
        <v>0</v>
      </c>
      <c r="CY201">
        <f t="shared" si="157"/>
        <v>918.68700000000001</v>
      </c>
      <c r="CZ201">
        <f t="shared" si="158"/>
        <v>445.13699999999994</v>
      </c>
      <c r="DC201" t="s">
        <v>3</v>
      </c>
      <c r="DD201" t="s">
        <v>3</v>
      </c>
      <c r="DE201" t="s">
        <v>3</v>
      </c>
      <c r="DF201" t="s">
        <v>3</v>
      </c>
      <c r="DG201" t="s">
        <v>114</v>
      </c>
      <c r="DH201" t="s">
        <v>3</v>
      </c>
      <c r="DI201" t="s">
        <v>114</v>
      </c>
      <c r="DJ201" t="s">
        <v>3</v>
      </c>
      <c r="DK201" t="s">
        <v>3</v>
      </c>
      <c r="DL201" t="s">
        <v>3</v>
      </c>
      <c r="DM201" t="s">
        <v>3</v>
      </c>
      <c r="DN201">
        <v>0</v>
      </c>
      <c r="DO201">
        <v>0</v>
      </c>
      <c r="DP201">
        <v>1</v>
      </c>
      <c r="DQ201">
        <v>1</v>
      </c>
      <c r="DU201">
        <v>1013</v>
      </c>
      <c r="DV201" t="s">
        <v>216</v>
      </c>
      <c r="DW201" t="s">
        <v>216</v>
      </c>
      <c r="DX201">
        <v>1</v>
      </c>
      <c r="DZ201" t="s">
        <v>3</v>
      </c>
      <c r="EA201" t="s">
        <v>3</v>
      </c>
      <c r="EB201" t="s">
        <v>3</v>
      </c>
      <c r="EC201" t="s">
        <v>3</v>
      </c>
      <c r="EE201">
        <v>36520026</v>
      </c>
      <c r="EF201">
        <v>2</v>
      </c>
      <c r="EG201" t="s">
        <v>28</v>
      </c>
      <c r="EH201">
        <v>0</v>
      </c>
      <c r="EI201" t="s">
        <v>3</v>
      </c>
      <c r="EJ201">
        <v>1</v>
      </c>
      <c r="EK201">
        <v>10001</v>
      </c>
      <c r="EL201" t="s">
        <v>115</v>
      </c>
      <c r="EM201" t="s">
        <v>116</v>
      </c>
      <c r="EO201" t="s">
        <v>117</v>
      </c>
      <c r="EQ201">
        <v>0</v>
      </c>
      <c r="ER201">
        <v>175916.67</v>
      </c>
      <c r="ES201">
        <v>173997.22</v>
      </c>
      <c r="ET201">
        <v>427.09</v>
      </c>
      <c r="EU201">
        <v>23.76</v>
      </c>
      <c r="EV201">
        <v>1492.36</v>
      </c>
      <c r="EW201">
        <v>170.75</v>
      </c>
      <c r="EX201">
        <v>1.76</v>
      </c>
      <c r="EY201">
        <v>0</v>
      </c>
      <c r="FQ201">
        <v>0</v>
      </c>
      <c r="FR201">
        <f t="shared" si="159"/>
        <v>0</v>
      </c>
      <c r="FS201">
        <v>0</v>
      </c>
      <c r="FX201">
        <v>97</v>
      </c>
      <c r="FY201">
        <v>47</v>
      </c>
      <c r="GA201" t="s">
        <v>3</v>
      </c>
      <c r="GD201">
        <v>1</v>
      </c>
      <c r="GF201">
        <v>2085951634</v>
      </c>
      <c r="GG201">
        <v>2</v>
      </c>
      <c r="GH201">
        <v>2</v>
      </c>
      <c r="GI201">
        <v>2</v>
      </c>
      <c r="GJ201">
        <v>0</v>
      </c>
      <c r="GK201">
        <v>0</v>
      </c>
      <c r="GL201">
        <f t="shared" si="160"/>
        <v>0</v>
      </c>
      <c r="GM201">
        <f t="shared" si="161"/>
        <v>7364.28</v>
      </c>
      <c r="GN201">
        <f t="shared" si="162"/>
        <v>7364.28</v>
      </c>
      <c r="GO201">
        <f t="shared" si="163"/>
        <v>0</v>
      </c>
      <c r="GP201">
        <f t="shared" si="164"/>
        <v>0</v>
      </c>
      <c r="GR201">
        <v>0</v>
      </c>
      <c r="GS201">
        <v>3</v>
      </c>
      <c r="GT201">
        <v>0</v>
      </c>
      <c r="GU201" t="s">
        <v>3</v>
      </c>
      <c r="GV201">
        <f t="shared" si="165"/>
        <v>0</v>
      </c>
      <c r="GW201">
        <v>1</v>
      </c>
      <c r="GX201">
        <f t="shared" si="166"/>
        <v>0</v>
      </c>
      <c r="HA201">
        <v>0</v>
      </c>
      <c r="HB201">
        <v>0</v>
      </c>
      <c r="HC201">
        <f t="shared" si="167"/>
        <v>0</v>
      </c>
      <c r="HE201" t="s">
        <v>3</v>
      </c>
      <c r="HF201" t="s">
        <v>3</v>
      </c>
      <c r="HM201" t="s">
        <v>3</v>
      </c>
      <c r="HN201" t="s">
        <v>3</v>
      </c>
      <c r="HO201" t="s">
        <v>3</v>
      </c>
      <c r="HP201" t="s">
        <v>3</v>
      </c>
      <c r="HQ201" t="s">
        <v>3</v>
      </c>
      <c r="IK201">
        <v>0</v>
      </c>
    </row>
    <row r="202" spans="1:245">
      <c r="A202">
        <v>17</v>
      </c>
      <c r="B202">
        <v>1</v>
      </c>
      <c r="C202">
        <f>ROW(SmtRes!A165)</f>
        <v>165</v>
      </c>
      <c r="D202">
        <f>ROW(EtalonRes!A166)</f>
        <v>166</v>
      </c>
      <c r="E202" t="s">
        <v>43</v>
      </c>
      <c r="F202" t="s">
        <v>240</v>
      </c>
      <c r="G202" t="s">
        <v>241</v>
      </c>
      <c r="H202" t="s">
        <v>242</v>
      </c>
      <c r="I202">
        <f>ROUND(1.5/100,9)</f>
        <v>1.4999999999999999E-2</v>
      </c>
      <c r="J202">
        <v>0</v>
      </c>
      <c r="K202">
        <f>ROUND(1.5/100,9)</f>
        <v>1.4999999999999999E-2</v>
      </c>
      <c r="O202">
        <f t="shared" si="130"/>
        <v>520.47</v>
      </c>
      <c r="P202">
        <f t="shared" si="131"/>
        <v>341.32</v>
      </c>
      <c r="Q202">
        <f t="shared" si="132"/>
        <v>1.1200000000000001</v>
      </c>
      <c r="R202">
        <f t="shared" si="133"/>
        <v>0.54</v>
      </c>
      <c r="S202">
        <f t="shared" si="134"/>
        <v>178.03</v>
      </c>
      <c r="T202">
        <f t="shared" si="135"/>
        <v>0</v>
      </c>
      <c r="U202">
        <f t="shared" si="136"/>
        <v>0.62114999999999998</v>
      </c>
      <c r="V202">
        <f t="shared" si="137"/>
        <v>1.1999999999999999E-3</v>
      </c>
      <c r="W202">
        <f t="shared" si="138"/>
        <v>0</v>
      </c>
      <c r="X202">
        <f t="shared" si="139"/>
        <v>160.71</v>
      </c>
      <c r="Y202">
        <f t="shared" si="140"/>
        <v>82.14</v>
      </c>
      <c r="AA202">
        <v>35841400</v>
      </c>
      <c r="AB202">
        <f t="shared" si="141"/>
        <v>2516.0700000000002</v>
      </c>
      <c r="AC202">
        <f t="shared" si="142"/>
        <v>2156.85</v>
      </c>
      <c r="AD202">
        <f t="shared" si="168"/>
        <v>5.99</v>
      </c>
      <c r="AE202">
        <f t="shared" si="169"/>
        <v>1.08</v>
      </c>
      <c r="AF202">
        <f>ROUND((EV202),6)</f>
        <v>353.23</v>
      </c>
      <c r="AG202">
        <f t="shared" si="145"/>
        <v>0</v>
      </c>
      <c r="AH202">
        <f>(EW202)</f>
        <v>41.41</v>
      </c>
      <c r="AI202">
        <f t="shared" si="170"/>
        <v>0.08</v>
      </c>
      <c r="AJ202">
        <f t="shared" si="147"/>
        <v>0</v>
      </c>
      <c r="AK202">
        <v>2516.0700000000002</v>
      </c>
      <c r="AL202">
        <v>2156.85</v>
      </c>
      <c r="AM202">
        <v>5.99</v>
      </c>
      <c r="AN202">
        <v>1.08</v>
      </c>
      <c r="AO202">
        <v>353.23</v>
      </c>
      <c r="AP202">
        <v>0</v>
      </c>
      <c r="AQ202">
        <v>41.41</v>
      </c>
      <c r="AR202">
        <v>0.08</v>
      </c>
      <c r="AS202">
        <v>0</v>
      </c>
      <c r="AT202">
        <v>90</v>
      </c>
      <c r="AU202">
        <v>46</v>
      </c>
      <c r="AV202">
        <v>1</v>
      </c>
      <c r="AW202">
        <v>1</v>
      </c>
      <c r="AZ202">
        <v>1</v>
      </c>
      <c r="BA202">
        <v>33.6</v>
      </c>
      <c r="BB202">
        <v>12.46</v>
      </c>
      <c r="BC202">
        <v>10.55</v>
      </c>
      <c r="BD202" t="s">
        <v>3</v>
      </c>
      <c r="BE202" t="s">
        <v>3</v>
      </c>
      <c r="BF202" t="s">
        <v>3</v>
      </c>
      <c r="BG202" t="s">
        <v>3</v>
      </c>
      <c r="BH202">
        <v>0</v>
      </c>
      <c r="BI202">
        <v>1</v>
      </c>
      <c r="BJ202" t="s">
        <v>243</v>
      </c>
      <c r="BM202">
        <v>58001</v>
      </c>
      <c r="BN202">
        <v>0</v>
      </c>
      <c r="BO202" t="s">
        <v>240</v>
      </c>
      <c r="BP202">
        <v>1</v>
      </c>
      <c r="BQ202">
        <v>6</v>
      </c>
      <c r="BR202">
        <v>0</v>
      </c>
      <c r="BS202">
        <v>33.6</v>
      </c>
      <c r="BT202">
        <v>1</v>
      </c>
      <c r="BU202">
        <v>1</v>
      </c>
      <c r="BV202">
        <v>1</v>
      </c>
      <c r="BW202">
        <v>1</v>
      </c>
      <c r="BX202">
        <v>1</v>
      </c>
      <c r="BY202" t="s">
        <v>3</v>
      </c>
      <c r="BZ202">
        <v>90</v>
      </c>
      <c r="CA202">
        <v>46</v>
      </c>
      <c r="CB202" t="s">
        <v>3</v>
      </c>
      <c r="CE202">
        <v>0</v>
      </c>
      <c r="CF202">
        <v>0</v>
      </c>
      <c r="CG202">
        <v>0</v>
      </c>
      <c r="CM202">
        <v>0</v>
      </c>
      <c r="CN202" t="s">
        <v>3</v>
      </c>
      <c r="CO202">
        <v>0</v>
      </c>
      <c r="CP202">
        <f t="shared" si="148"/>
        <v>520.47</v>
      </c>
      <c r="CQ202">
        <f t="shared" si="149"/>
        <v>22754.767500000002</v>
      </c>
      <c r="CR202">
        <f t="shared" si="150"/>
        <v>74.635400000000004</v>
      </c>
      <c r="CS202">
        <f t="shared" si="151"/>
        <v>36.288000000000004</v>
      </c>
      <c r="CT202">
        <f t="shared" si="152"/>
        <v>11868.528</v>
      </c>
      <c r="CU202">
        <f t="shared" si="153"/>
        <v>0</v>
      </c>
      <c r="CV202">
        <f t="shared" si="154"/>
        <v>41.41</v>
      </c>
      <c r="CW202">
        <f t="shared" si="155"/>
        <v>0.08</v>
      </c>
      <c r="CX202">
        <f t="shared" si="156"/>
        <v>0</v>
      </c>
      <c r="CY202">
        <f t="shared" si="157"/>
        <v>160.71299999999999</v>
      </c>
      <c r="CZ202">
        <f t="shared" si="158"/>
        <v>82.142199999999988</v>
      </c>
      <c r="DC202" t="s">
        <v>3</v>
      </c>
      <c r="DD202" t="s">
        <v>3</v>
      </c>
      <c r="DE202" t="s">
        <v>3</v>
      </c>
      <c r="DF202" t="s">
        <v>3</v>
      </c>
      <c r="DG202" t="s">
        <v>3</v>
      </c>
      <c r="DH202" t="s">
        <v>3</v>
      </c>
      <c r="DI202" t="s">
        <v>3</v>
      </c>
      <c r="DJ202" t="s">
        <v>3</v>
      </c>
      <c r="DK202" t="s">
        <v>3</v>
      </c>
      <c r="DL202" t="s">
        <v>3</v>
      </c>
      <c r="DM202" t="s">
        <v>3</v>
      </c>
      <c r="DN202">
        <v>0</v>
      </c>
      <c r="DO202">
        <v>0</v>
      </c>
      <c r="DP202">
        <v>1</v>
      </c>
      <c r="DQ202">
        <v>1</v>
      </c>
      <c r="DU202">
        <v>1003</v>
      </c>
      <c r="DV202" t="s">
        <v>242</v>
      </c>
      <c r="DW202" t="s">
        <v>242</v>
      </c>
      <c r="DX202">
        <v>100</v>
      </c>
      <c r="DZ202" t="s">
        <v>3</v>
      </c>
      <c r="EA202" t="s">
        <v>3</v>
      </c>
      <c r="EB202" t="s">
        <v>3</v>
      </c>
      <c r="EC202" t="s">
        <v>3</v>
      </c>
      <c r="EE202">
        <v>36520128</v>
      </c>
      <c r="EF202">
        <v>6</v>
      </c>
      <c r="EG202" t="s">
        <v>20</v>
      </c>
      <c r="EH202">
        <v>0</v>
      </c>
      <c r="EI202" t="s">
        <v>3</v>
      </c>
      <c r="EJ202">
        <v>1</v>
      </c>
      <c r="EK202">
        <v>58001</v>
      </c>
      <c r="EL202" t="s">
        <v>244</v>
      </c>
      <c r="EM202" t="s">
        <v>245</v>
      </c>
      <c r="EO202" t="s">
        <v>3</v>
      </c>
      <c r="EQ202">
        <v>0</v>
      </c>
      <c r="ER202">
        <v>2516.0700000000002</v>
      </c>
      <c r="ES202">
        <v>2156.85</v>
      </c>
      <c r="ET202">
        <v>5.99</v>
      </c>
      <c r="EU202">
        <v>1.08</v>
      </c>
      <c r="EV202">
        <v>353.23</v>
      </c>
      <c r="EW202">
        <v>41.41</v>
      </c>
      <c r="EX202">
        <v>0.08</v>
      </c>
      <c r="EY202">
        <v>0</v>
      </c>
      <c r="FQ202">
        <v>0</v>
      </c>
      <c r="FR202">
        <f t="shared" si="159"/>
        <v>0</v>
      </c>
      <c r="FS202">
        <v>0</v>
      </c>
      <c r="FX202">
        <v>90</v>
      </c>
      <c r="FY202">
        <v>46</v>
      </c>
      <c r="GA202" t="s">
        <v>3</v>
      </c>
      <c r="GD202">
        <v>1</v>
      </c>
      <c r="GF202">
        <v>-183913505</v>
      </c>
      <c r="GG202">
        <v>2</v>
      </c>
      <c r="GH202">
        <v>1</v>
      </c>
      <c r="GI202">
        <v>2</v>
      </c>
      <c r="GJ202">
        <v>0</v>
      </c>
      <c r="GK202">
        <v>0</v>
      </c>
      <c r="GL202">
        <f t="shared" si="160"/>
        <v>0</v>
      </c>
      <c r="GM202">
        <f t="shared" si="161"/>
        <v>763.32</v>
      </c>
      <c r="GN202">
        <f t="shared" si="162"/>
        <v>763.32</v>
      </c>
      <c r="GO202">
        <f t="shared" si="163"/>
        <v>0</v>
      </c>
      <c r="GP202">
        <f t="shared" si="164"/>
        <v>0</v>
      </c>
      <c r="GR202">
        <v>0</v>
      </c>
      <c r="GS202">
        <v>3</v>
      </c>
      <c r="GT202">
        <v>0</v>
      </c>
      <c r="GU202" t="s">
        <v>3</v>
      </c>
      <c r="GV202">
        <f t="shared" si="165"/>
        <v>0</v>
      </c>
      <c r="GW202">
        <v>1</v>
      </c>
      <c r="GX202">
        <f t="shared" si="166"/>
        <v>0</v>
      </c>
      <c r="HA202">
        <v>0</v>
      </c>
      <c r="HB202">
        <v>0</v>
      </c>
      <c r="HC202">
        <f t="shared" si="167"/>
        <v>0</v>
      </c>
      <c r="HE202" t="s">
        <v>3</v>
      </c>
      <c r="HF202" t="s">
        <v>3</v>
      </c>
      <c r="HM202" t="s">
        <v>3</v>
      </c>
      <c r="HN202" t="s">
        <v>3</v>
      </c>
      <c r="HO202" t="s">
        <v>3</v>
      </c>
      <c r="HP202" t="s">
        <v>3</v>
      </c>
      <c r="HQ202" t="s">
        <v>3</v>
      </c>
      <c r="IK202">
        <v>0</v>
      </c>
    </row>
    <row r="203" spans="1:245">
      <c r="A203">
        <v>18</v>
      </c>
      <c r="B203">
        <v>1</v>
      </c>
      <c r="C203">
        <v>165</v>
      </c>
      <c r="E203" t="s">
        <v>246</v>
      </c>
      <c r="F203" t="s">
        <v>39</v>
      </c>
      <c r="G203" t="s">
        <v>40</v>
      </c>
      <c r="H203" t="s">
        <v>41</v>
      </c>
      <c r="I203">
        <f>I202*J203</f>
        <v>3.3600000000000001E-3</v>
      </c>
      <c r="J203">
        <v>0.224</v>
      </c>
      <c r="K203">
        <v>0.224</v>
      </c>
      <c r="O203">
        <f t="shared" si="130"/>
        <v>0</v>
      </c>
      <c r="P203">
        <f t="shared" si="131"/>
        <v>0</v>
      </c>
      <c r="Q203">
        <f t="shared" si="132"/>
        <v>0</v>
      </c>
      <c r="R203">
        <f t="shared" si="133"/>
        <v>0</v>
      </c>
      <c r="S203">
        <f t="shared" si="134"/>
        <v>0</v>
      </c>
      <c r="T203">
        <f t="shared" si="135"/>
        <v>0</v>
      </c>
      <c r="U203">
        <f t="shared" si="136"/>
        <v>0</v>
      </c>
      <c r="V203">
        <f t="shared" si="137"/>
        <v>0</v>
      </c>
      <c r="W203">
        <f t="shared" si="138"/>
        <v>0</v>
      </c>
      <c r="X203">
        <f t="shared" si="139"/>
        <v>0</v>
      </c>
      <c r="Y203">
        <f t="shared" si="140"/>
        <v>0</v>
      </c>
      <c r="AA203">
        <v>35841400</v>
      </c>
      <c r="AB203">
        <f t="shared" si="141"/>
        <v>0</v>
      </c>
      <c r="AC203">
        <f t="shared" si="142"/>
        <v>0</v>
      </c>
      <c r="AD203">
        <f t="shared" si="168"/>
        <v>0</v>
      </c>
      <c r="AE203">
        <f t="shared" si="169"/>
        <v>0</v>
      </c>
      <c r="AF203">
        <f>ROUND((EV203),6)</f>
        <v>0</v>
      </c>
      <c r="AG203">
        <f t="shared" si="145"/>
        <v>0</v>
      </c>
      <c r="AH203">
        <f>(EW203)</f>
        <v>0</v>
      </c>
      <c r="AI203">
        <f t="shared" si="170"/>
        <v>0</v>
      </c>
      <c r="AJ203">
        <f t="shared" si="147"/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90</v>
      </c>
      <c r="AU203">
        <v>46</v>
      </c>
      <c r="AV203">
        <v>1</v>
      </c>
      <c r="AW203">
        <v>1</v>
      </c>
      <c r="AZ203">
        <v>1</v>
      </c>
      <c r="BA203">
        <v>1</v>
      </c>
      <c r="BB203">
        <v>1</v>
      </c>
      <c r="BC203">
        <v>1</v>
      </c>
      <c r="BD203" t="s">
        <v>3</v>
      </c>
      <c r="BE203" t="s">
        <v>3</v>
      </c>
      <c r="BF203" t="s">
        <v>3</v>
      </c>
      <c r="BG203" t="s">
        <v>3</v>
      </c>
      <c r="BH203">
        <v>3</v>
      </c>
      <c r="BI203">
        <v>1</v>
      </c>
      <c r="BJ203" t="s">
        <v>168</v>
      </c>
      <c r="BM203">
        <v>58001</v>
      </c>
      <c r="BN203">
        <v>0</v>
      </c>
      <c r="BO203" t="s">
        <v>3</v>
      </c>
      <c r="BP203">
        <v>0</v>
      </c>
      <c r="BQ203">
        <v>6</v>
      </c>
      <c r="BR203">
        <v>0</v>
      </c>
      <c r="BS203">
        <v>1</v>
      </c>
      <c r="BT203">
        <v>1</v>
      </c>
      <c r="BU203">
        <v>1</v>
      </c>
      <c r="BV203">
        <v>1</v>
      </c>
      <c r="BW203">
        <v>1</v>
      </c>
      <c r="BX203">
        <v>1</v>
      </c>
      <c r="BY203" t="s">
        <v>3</v>
      </c>
      <c r="BZ203">
        <v>90</v>
      </c>
      <c r="CA203">
        <v>46</v>
      </c>
      <c r="CB203" t="s">
        <v>3</v>
      </c>
      <c r="CE203">
        <v>0</v>
      </c>
      <c r="CF203">
        <v>0</v>
      </c>
      <c r="CG203">
        <v>0</v>
      </c>
      <c r="CM203">
        <v>0</v>
      </c>
      <c r="CN203" t="s">
        <v>3</v>
      </c>
      <c r="CO203">
        <v>0</v>
      </c>
      <c r="CP203">
        <f t="shared" si="148"/>
        <v>0</v>
      </c>
      <c r="CQ203">
        <f t="shared" si="149"/>
        <v>0</v>
      </c>
      <c r="CR203">
        <f t="shared" si="150"/>
        <v>0</v>
      </c>
      <c r="CS203">
        <f t="shared" si="151"/>
        <v>0</v>
      </c>
      <c r="CT203">
        <f t="shared" si="152"/>
        <v>0</v>
      </c>
      <c r="CU203">
        <f t="shared" si="153"/>
        <v>0</v>
      </c>
      <c r="CV203">
        <f t="shared" si="154"/>
        <v>0</v>
      </c>
      <c r="CW203">
        <f t="shared" si="155"/>
        <v>0</v>
      </c>
      <c r="CX203">
        <f t="shared" si="156"/>
        <v>0</v>
      </c>
      <c r="CY203">
        <f t="shared" si="157"/>
        <v>0</v>
      </c>
      <c r="CZ203">
        <f t="shared" si="158"/>
        <v>0</v>
      </c>
      <c r="DC203" t="s">
        <v>3</v>
      </c>
      <c r="DD203" t="s">
        <v>3</v>
      </c>
      <c r="DE203" t="s">
        <v>3</v>
      </c>
      <c r="DF203" t="s">
        <v>3</v>
      </c>
      <c r="DG203" t="s">
        <v>3</v>
      </c>
      <c r="DH203" t="s">
        <v>3</v>
      </c>
      <c r="DI203" t="s">
        <v>3</v>
      </c>
      <c r="DJ203" t="s">
        <v>3</v>
      </c>
      <c r="DK203" t="s">
        <v>3</v>
      </c>
      <c r="DL203" t="s">
        <v>3</v>
      </c>
      <c r="DM203" t="s">
        <v>3</v>
      </c>
      <c r="DN203">
        <v>0</v>
      </c>
      <c r="DO203">
        <v>0</v>
      </c>
      <c r="DP203">
        <v>1</v>
      </c>
      <c r="DQ203">
        <v>1</v>
      </c>
      <c r="DU203">
        <v>1009</v>
      </c>
      <c r="DV203" t="s">
        <v>41</v>
      </c>
      <c r="DW203" t="s">
        <v>41</v>
      </c>
      <c r="DX203">
        <v>1000</v>
      </c>
      <c r="DZ203" t="s">
        <v>3</v>
      </c>
      <c r="EA203" t="s">
        <v>3</v>
      </c>
      <c r="EB203" t="s">
        <v>3</v>
      </c>
      <c r="EC203" t="s">
        <v>3</v>
      </c>
      <c r="EE203">
        <v>36520128</v>
      </c>
      <c r="EF203">
        <v>6</v>
      </c>
      <c r="EG203" t="s">
        <v>20</v>
      </c>
      <c r="EH203">
        <v>0</v>
      </c>
      <c r="EI203" t="s">
        <v>3</v>
      </c>
      <c r="EJ203">
        <v>1</v>
      </c>
      <c r="EK203">
        <v>58001</v>
      </c>
      <c r="EL203" t="s">
        <v>244</v>
      </c>
      <c r="EM203" t="s">
        <v>245</v>
      </c>
      <c r="EO203" t="s">
        <v>3</v>
      </c>
      <c r="EQ203">
        <v>0</v>
      </c>
      <c r="ER203">
        <v>0</v>
      </c>
      <c r="ES203">
        <v>0</v>
      </c>
      <c r="ET203">
        <v>0</v>
      </c>
      <c r="EU203">
        <v>0</v>
      </c>
      <c r="EV203">
        <v>0</v>
      </c>
      <c r="EW203">
        <v>0</v>
      </c>
      <c r="EX203">
        <v>0</v>
      </c>
      <c r="FQ203">
        <v>0</v>
      </c>
      <c r="FR203">
        <f t="shared" si="159"/>
        <v>0</v>
      </c>
      <c r="FS203">
        <v>0</v>
      </c>
      <c r="FX203">
        <v>90</v>
      </c>
      <c r="FY203">
        <v>46</v>
      </c>
      <c r="GA203" t="s">
        <v>3</v>
      </c>
      <c r="GD203">
        <v>1</v>
      </c>
      <c r="GF203">
        <v>1876412176</v>
      </c>
      <c r="GG203">
        <v>2</v>
      </c>
      <c r="GH203">
        <v>1</v>
      </c>
      <c r="GI203">
        <v>-2</v>
      </c>
      <c r="GJ203">
        <v>0</v>
      </c>
      <c r="GK203">
        <v>0</v>
      </c>
      <c r="GL203">
        <f t="shared" si="160"/>
        <v>0</v>
      </c>
      <c r="GM203">
        <f t="shared" si="161"/>
        <v>0</v>
      </c>
      <c r="GN203">
        <f t="shared" si="162"/>
        <v>0</v>
      </c>
      <c r="GO203">
        <f t="shared" si="163"/>
        <v>0</v>
      </c>
      <c r="GP203">
        <f t="shared" si="164"/>
        <v>0</v>
      </c>
      <c r="GR203">
        <v>0</v>
      </c>
      <c r="GS203">
        <v>3</v>
      </c>
      <c r="GT203">
        <v>0</v>
      </c>
      <c r="GU203" t="s">
        <v>3</v>
      </c>
      <c r="GV203">
        <f t="shared" si="165"/>
        <v>0</v>
      </c>
      <c r="GW203">
        <v>1</v>
      </c>
      <c r="GX203">
        <f t="shared" si="166"/>
        <v>0</v>
      </c>
      <c r="HA203">
        <v>0</v>
      </c>
      <c r="HB203">
        <v>0</v>
      </c>
      <c r="HC203">
        <f t="shared" si="167"/>
        <v>0</v>
      </c>
      <c r="HE203" t="s">
        <v>3</v>
      </c>
      <c r="HF203" t="s">
        <v>3</v>
      </c>
      <c r="HM203" t="s">
        <v>3</v>
      </c>
      <c r="HN203" t="s">
        <v>3</v>
      </c>
      <c r="HO203" t="s">
        <v>3</v>
      </c>
      <c r="HP203" t="s">
        <v>3</v>
      </c>
      <c r="HQ203" t="s">
        <v>3</v>
      </c>
      <c r="IK203">
        <v>0</v>
      </c>
    </row>
    <row r="204" spans="1:245">
      <c r="A204">
        <v>17</v>
      </c>
      <c r="B204">
        <v>1</v>
      </c>
      <c r="C204">
        <f>ROW(SmtRes!A172)</f>
        <v>172</v>
      </c>
      <c r="D204">
        <f>ROW(EtalonRes!A173)</f>
        <v>173</v>
      </c>
      <c r="E204" t="s">
        <v>134</v>
      </c>
      <c r="F204" t="s">
        <v>232</v>
      </c>
      <c r="G204" t="s">
        <v>233</v>
      </c>
      <c r="H204" t="s">
        <v>234</v>
      </c>
      <c r="I204">
        <f>ROUND(1.8/100,9)</f>
        <v>1.7999999999999999E-2</v>
      </c>
      <c r="J204">
        <v>0</v>
      </c>
      <c r="K204">
        <f>ROUND(1.8/100,9)</f>
        <v>1.7999999999999999E-2</v>
      </c>
      <c r="O204">
        <f t="shared" si="130"/>
        <v>474.52</v>
      </c>
      <c r="P204">
        <f t="shared" si="131"/>
        <v>345.95</v>
      </c>
      <c r="Q204">
        <f t="shared" si="132"/>
        <v>2.85</v>
      </c>
      <c r="R204">
        <f t="shared" si="133"/>
        <v>0.33</v>
      </c>
      <c r="S204">
        <f t="shared" si="134"/>
        <v>125.72</v>
      </c>
      <c r="T204">
        <f t="shared" si="135"/>
        <v>0</v>
      </c>
      <c r="U204">
        <f t="shared" si="136"/>
        <v>0.438633</v>
      </c>
      <c r="V204">
        <f t="shared" si="137"/>
        <v>7.1999999999999994E-4</v>
      </c>
      <c r="W204">
        <f t="shared" si="138"/>
        <v>0</v>
      </c>
      <c r="X204">
        <f t="shared" si="139"/>
        <v>122.27</v>
      </c>
      <c r="Y204">
        <f t="shared" si="140"/>
        <v>59.24</v>
      </c>
      <c r="AA204">
        <v>35841400</v>
      </c>
      <c r="AB204">
        <f t="shared" si="141"/>
        <v>4226.2825000000003</v>
      </c>
      <c r="AC204">
        <f t="shared" si="142"/>
        <v>4004.09</v>
      </c>
      <c r="AD204">
        <f t="shared" si="168"/>
        <v>14.33</v>
      </c>
      <c r="AE204">
        <f t="shared" si="169"/>
        <v>0.54</v>
      </c>
      <c r="AF204">
        <f>ROUND(((EV204*1.15)),6)</f>
        <v>207.86250000000001</v>
      </c>
      <c r="AG204">
        <f t="shared" si="145"/>
        <v>0</v>
      </c>
      <c r="AH204">
        <f>((EW204*1.15))</f>
        <v>24.368500000000001</v>
      </c>
      <c r="AI204">
        <f t="shared" si="170"/>
        <v>0.04</v>
      </c>
      <c r="AJ204">
        <f t="shared" si="147"/>
        <v>0</v>
      </c>
      <c r="AK204">
        <v>4199.17</v>
      </c>
      <c r="AL204">
        <v>4004.09</v>
      </c>
      <c r="AM204">
        <v>14.33</v>
      </c>
      <c r="AN204">
        <v>0.54</v>
      </c>
      <c r="AO204">
        <v>180.75</v>
      </c>
      <c r="AP204">
        <v>0</v>
      </c>
      <c r="AQ204">
        <v>21.19</v>
      </c>
      <c r="AR204">
        <v>0.04</v>
      </c>
      <c r="AS204">
        <v>0</v>
      </c>
      <c r="AT204">
        <v>97</v>
      </c>
      <c r="AU204">
        <v>47</v>
      </c>
      <c r="AV204">
        <v>1</v>
      </c>
      <c r="AW204">
        <v>1</v>
      </c>
      <c r="AZ204">
        <v>1</v>
      </c>
      <c r="BA204">
        <v>33.6</v>
      </c>
      <c r="BB204">
        <v>11.06</v>
      </c>
      <c r="BC204">
        <v>4.8</v>
      </c>
      <c r="BD204" t="s">
        <v>3</v>
      </c>
      <c r="BE204" t="s">
        <v>3</v>
      </c>
      <c r="BF204" t="s">
        <v>3</v>
      </c>
      <c r="BG204" t="s">
        <v>3</v>
      </c>
      <c r="BH204">
        <v>0</v>
      </c>
      <c r="BI204">
        <v>1</v>
      </c>
      <c r="BJ204" t="s">
        <v>235</v>
      </c>
      <c r="BM204">
        <v>10001</v>
      </c>
      <c r="BN204">
        <v>0</v>
      </c>
      <c r="BO204" t="s">
        <v>232</v>
      </c>
      <c r="BP204">
        <v>1</v>
      </c>
      <c r="BQ204">
        <v>2</v>
      </c>
      <c r="BR204">
        <v>0</v>
      </c>
      <c r="BS204">
        <v>33.6</v>
      </c>
      <c r="BT204">
        <v>1</v>
      </c>
      <c r="BU204">
        <v>1</v>
      </c>
      <c r="BV204">
        <v>1</v>
      </c>
      <c r="BW204">
        <v>1</v>
      </c>
      <c r="BX204">
        <v>1</v>
      </c>
      <c r="BY204" t="s">
        <v>3</v>
      </c>
      <c r="BZ204">
        <v>97</v>
      </c>
      <c r="CA204">
        <v>47</v>
      </c>
      <c r="CB204" t="s">
        <v>3</v>
      </c>
      <c r="CE204">
        <v>0</v>
      </c>
      <c r="CF204">
        <v>0</v>
      </c>
      <c r="CG204">
        <v>0</v>
      </c>
      <c r="CM204">
        <v>0</v>
      </c>
      <c r="CN204" t="s">
        <v>606</v>
      </c>
      <c r="CO204">
        <v>0</v>
      </c>
      <c r="CP204">
        <f t="shared" si="148"/>
        <v>474.52</v>
      </c>
      <c r="CQ204">
        <f t="shared" si="149"/>
        <v>19219.632000000001</v>
      </c>
      <c r="CR204">
        <f t="shared" si="150"/>
        <v>158.4898</v>
      </c>
      <c r="CS204">
        <f t="shared" si="151"/>
        <v>18.144000000000002</v>
      </c>
      <c r="CT204">
        <f t="shared" si="152"/>
        <v>6984.18</v>
      </c>
      <c r="CU204">
        <f t="shared" si="153"/>
        <v>0</v>
      </c>
      <c r="CV204">
        <f t="shared" si="154"/>
        <v>24.368500000000001</v>
      </c>
      <c r="CW204">
        <f t="shared" si="155"/>
        <v>0.04</v>
      </c>
      <c r="CX204">
        <f t="shared" si="156"/>
        <v>0</v>
      </c>
      <c r="CY204">
        <f t="shared" si="157"/>
        <v>122.2685</v>
      </c>
      <c r="CZ204">
        <f t="shared" si="158"/>
        <v>59.243499999999997</v>
      </c>
      <c r="DC204" t="s">
        <v>3</v>
      </c>
      <c r="DD204" t="s">
        <v>3</v>
      </c>
      <c r="DE204" t="s">
        <v>3</v>
      </c>
      <c r="DF204" t="s">
        <v>3</v>
      </c>
      <c r="DG204" t="s">
        <v>114</v>
      </c>
      <c r="DH204" t="s">
        <v>3</v>
      </c>
      <c r="DI204" t="s">
        <v>114</v>
      </c>
      <c r="DJ204" t="s">
        <v>3</v>
      </c>
      <c r="DK204" t="s">
        <v>3</v>
      </c>
      <c r="DL204" t="s">
        <v>3</v>
      </c>
      <c r="DM204" t="s">
        <v>3</v>
      </c>
      <c r="DN204">
        <v>0</v>
      </c>
      <c r="DO204">
        <v>0</v>
      </c>
      <c r="DP204">
        <v>1</v>
      </c>
      <c r="DQ204">
        <v>1</v>
      </c>
      <c r="DU204">
        <v>1013</v>
      </c>
      <c r="DV204" t="s">
        <v>234</v>
      </c>
      <c r="DW204" t="s">
        <v>234</v>
      </c>
      <c r="DX204">
        <v>1</v>
      </c>
      <c r="DZ204" t="s">
        <v>3</v>
      </c>
      <c r="EA204" t="s">
        <v>3</v>
      </c>
      <c r="EB204" t="s">
        <v>3</v>
      </c>
      <c r="EC204" t="s">
        <v>3</v>
      </c>
      <c r="EE204">
        <v>36520026</v>
      </c>
      <c r="EF204">
        <v>2</v>
      </c>
      <c r="EG204" t="s">
        <v>28</v>
      </c>
      <c r="EH204">
        <v>0</v>
      </c>
      <c r="EI204" t="s">
        <v>3</v>
      </c>
      <c r="EJ204">
        <v>1</v>
      </c>
      <c r="EK204">
        <v>10001</v>
      </c>
      <c r="EL204" t="s">
        <v>115</v>
      </c>
      <c r="EM204" t="s">
        <v>116</v>
      </c>
      <c r="EO204" t="s">
        <v>117</v>
      </c>
      <c r="EQ204">
        <v>0</v>
      </c>
      <c r="ER204">
        <v>4199.17</v>
      </c>
      <c r="ES204">
        <v>4004.09</v>
      </c>
      <c r="ET204">
        <v>14.33</v>
      </c>
      <c r="EU204">
        <v>0.54</v>
      </c>
      <c r="EV204">
        <v>180.75</v>
      </c>
      <c r="EW204">
        <v>21.19</v>
      </c>
      <c r="EX204">
        <v>0.04</v>
      </c>
      <c r="EY204">
        <v>0</v>
      </c>
      <c r="FQ204">
        <v>0</v>
      </c>
      <c r="FR204">
        <f t="shared" si="159"/>
        <v>0</v>
      </c>
      <c r="FS204">
        <v>0</v>
      </c>
      <c r="FX204">
        <v>97</v>
      </c>
      <c r="FY204">
        <v>47</v>
      </c>
      <c r="GA204" t="s">
        <v>3</v>
      </c>
      <c r="GD204">
        <v>1</v>
      </c>
      <c r="GF204">
        <v>1853680876</v>
      </c>
      <c r="GG204">
        <v>2</v>
      </c>
      <c r="GH204">
        <v>2</v>
      </c>
      <c r="GI204">
        <v>2</v>
      </c>
      <c r="GJ204">
        <v>0</v>
      </c>
      <c r="GK204">
        <v>0</v>
      </c>
      <c r="GL204">
        <f t="shared" si="160"/>
        <v>0</v>
      </c>
      <c r="GM204">
        <f t="shared" si="161"/>
        <v>656.03</v>
      </c>
      <c r="GN204">
        <f t="shared" si="162"/>
        <v>656.03</v>
      </c>
      <c r="GO204">
        <f t="shared" si="163"/>
        <v>0</v>
      </c>
      <c r="GP204">
        <f t="shared" si="164"/>
        <v>0</v>
      </c>
      <c r="GR204">
        <v>0</v>
      </c>
      <c r="GS204">
        <v>3</v>
      </c>
      <c r="GT204">
        <v>0</v>
      </c>
      <c r="GU204" t="s">
        <v>3</v>
      </c>
      <c r="GV204">
        <f t="shared" si="165"/>
        <v>0</v>
      </c>
      <c r="GW204">
        <v>1</v>
      </c>
      <c r="GX204">
        <f t="shared" si="166"/>
        <v>0</v>
      </c>
      <c r="HA204">
        <v>0</v>
      </c>
      <c r="HB204">
        <v>0</v>
      </c>
      <c r="HC204">
        <f t="shared" si="167"/>
        <v>0</v>
      </c>
      <c r="HE204" t="s">
        <v>3</v>
      </c>
      <c r="HF204" t="s">
        <v>3</v>
      </c>
      <c r="HM204" t="s">
        <v>3</v>
      </c>
      <c r="HN204" t="s">
        <v>3</v>
      </c>
      <c r="HO204" t="s">
        <v>3</v>
      </c>
      <c r="HP204" t="s">
        <v>3</v>
      </c>
      <c r="HQ204" t="s">
        <v>3</v>
      </c>
      <c r="IK204">
        <v>0</v>
      </c>
    </row>
    <row r="205" spans="1:245">
      <c r="A205">
        <v>18</v>
      </c>
      <c r="B205">
        <v>1</v>
      </c>
      <c r="C205">
        <v>171</v>
      </c>
      <c r="E205" t="s">
        <v>247</v>
      </c>
      <c r="F205" t="s">
        <v>236</v>
      </c>
      <c r="G205" t="s">
        <v>237</v>
      </c>
      <c r="H205" t="s">
        <v>238</v>
      </c>
      <c r="I205">
        <f>I204*J205</f>
        <v>1.7999999999999996</v>
      </c>
      <c r="J205">
        <v>99.999999999999986</v>
      </c>
      <c r="K205">
        <v>100</v>
      </c>
      <c r="O205">
        <f t="shared" si="130"/>
        <v>194.82</v>
      </c>
      <c r="P205">
        <f t="shared" si="131"/>
        <v>194.82</v>
      </c>
      <c r="Q205">
        <f t="shared" si="132"/>
        <v>0</v>
      </c>
      <c r="R205">
        <f t="shared" si="133"/>
        <v>0</v>
      </c>
      <c r="S205">
        <f t="shared" si="134"/>
        <v>0</v>
      </c>
      <c r="T205">
        <f t="shared" si="135"/>
        <v>0</v>
      </c>
      <c r="U205">
        <f t="shared" si="136"/>
        <v>0</v>
      </c>
      <c r="V205">
        <f t="shared" si="137"/>
        <v>0</v>
      </c>
      <c r="W205">
        <f t="shared" si="138"/>
        <v>0.16</v>
      </c>
      <c r="X205">
        <f t="shared" si="139"/>
        <v>0</v>
      </c>
      <c r="Y205">
        <f t="shared" si="140"/>
        <v>0</v>
      </c>
      <c r="AA205">
        <v>35841400</v>
      </c>
      <c r="AB205">
        <f t="shared" si="141"/>
        <v>131.99</v>
      </c>
      <c r="AC205">
        <f t="shared" si="142"/>
        <v>131.99</v>
      </c>
      <c r="AD205">
        <f t="shared" si="168"/>
        <v>0</v>
      </c>
      <c r="AE205">
        <f t="shared" si="169"/>
        <v>0</v>
      </c>
      <c r="AF205">
        <f>ROUND((EV205),6)</f>
        <v>0</v>
      </c>
      <c r="AG205">
        <f t="shared" si="145"/>
        <v>0</v>
      </c>
      <c r="AH205">
        <f>(EW205)</f>
        <v>0</v>
      </c>
      <c r="AI205">
        <f t="shared" si="170"/>
        <v>0</v>
      </c>
      <c r="AJ205">
        <f t="shared" si="147"/>
        <v>0.09</v>
      </c>
      <c r="AK205">
        <v>131.99</v>
      </c>
      <c r="AL205">
        <v>131.99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0.09</v>
      </c>
      <c r="AT205">
        <v>108</v>
      </c>
      <c r="AU205">
        <v>47</v>
      </c>
      <c r="AV205">
        <v>1</v>
      </c>
      <c r="AW205">
        <v>1</v>
      </c>
      <c r="AZ205">
        <v>1</v>
      </c>
      <c r="BA205">
        <v>1</v>
      </c>
      <c r="BB205">
        <v>1</v>
      </c>
      <c r="BC205">
        <v>0.82</v>
      </c>
      <c r="BD205" t="s">
        <v>3</v>
      </c>
      <c r="BE205" t="s">
        <v>3</v>
      </c>
      <c r="BF205" t="s">
        <v>3</v>
      </c>
      <c r="BG205" t="s">
        <v>3</v>
      </c>
      <c r="BH205">
        <v>3</v>
      </c>
      <c r="BI205">
        <v>1</v>
      </c>
      <c r="BJ205" t="s">
        <v>239</v>
      </c>
      <c r="BM205">
        <v>10001</v>
      </c>
      <c r="BN205">
        <v>0</v>
      </c>
      <c r="BO205" t="s">
        <v>236</v>
      </c>
      <c r="BP205">
        <v>1</v>
      </c>
      <c r="BQ205">
        <v>2</v>
      </c>
      <c r="BR205">
        <v>0</v>
      </c>
      <c r="BS205">
        <v>1</v>
      </c>
      <c r="BT205">
        <v>1</v>
      </c>
      <c r="BU205">
        <v>1</v>
      </c>
      <c r="BV205">
        <v>1</v>
      </c>
      <c r="BW205">
        <v>1</v>
      </c>
      <c r="BX205">
        <v>1</v>
      </c>
      <c r="BY205" t="s">
        <v>3</v>
      </c>
      <c r="BZ205">
        <v>108</v>
      </c>
      <c r="CA205">
        <v>47</v>
      </c>
      <c r="CB205" t="s">
        <v>3</v>
      </c>
      <c r="CE205">
        <v>0</v>
      </c>
      <c r="CF205">
        <v>0</v>
      </c>
      <c r="CG205">
        <v>0</v>
      </c>
      <c r="CM205">
        <v>0</v>
      </c>
      <c r="CN205" t="s">
        <v>3</v>
      </c>
      <c r="CO205">
        <v>0</v>
      </c>
      <c r="CP205">
        <f t="shared" si="148"/>
        <v>194.82</v>
      </c>
      <c r="CQ205">
        <f t="shared" si="149"/>
        <v>108.23180000000001</v>
      </c>
      <c r="CR205">
        <f t="shared" si="150"/>
        <v>0</v>
      </c>
      <c r="CS205">
        <f t="shared" si="151"/>
        <v>0</v>
      </c>
      <c r="CT205">
        <f t="shared" si="152"/>
        <v>0</v>
      </c>
      <c r="CU205">
        <f t="shared" si="153"/>
        <v>0</v>
      </c>
      <c r="CV205">
        <f t="shared" si="154"/>
        <v>0</v>
      </c>
      <c r="CW205">
        <f t="shared" si="155"/>
        <v>0</v>
      </c>
      <c r="CX205">
        <f t="shared" si="156"/>
        <v>0.09</v>
      </c>
      <c r="CY205">
        <f t="shared" si="157"/>
        <v>0</v>
      </c>
      <c r="CZ205">
        <f t="shared" si="158"/>
        <v>0</v>
      </c>
      <c r="DC205" t="s">
        <v>3</v>
      </c>
      <c r="DD205" t="s">
        <v>3</v>
      </c>
      <c r="DE205" t="s">
        <v>3</v>
      </c>
      <c r="DF205" t="s">
        <v>3</v>
      </c>
      <c r="DG205" t="s">
        <v>3</v>
      </c>
      <c r="DH205" t="s">
        <v>3</v>
      </c>
      <c r="DI205" t="s">
        <v>3</v>
      </c>
      <c r="DJ205" t="s">
        <v>3</v>
      </c>
      <c r="DK205" t="s">
        <v>3</v>
      </c>
      <c r="DL205" t="s">
        <v>3</v>
      </c>
      <c r="DM205" t="s">
        <v>3</v>
      </c>
      <c r="DN205">
        <v>0</v>
      </c>
      <c r="DO205">
        <v>0</v>
      </c>
      <c r="DP205">
        <v>1</v>
      </c>
      <c r="DQ205">
        <v>1</v>
      </c>
      <c r="DU205">
        <v>1003</v>
      </c>
      <c r="DV205" t="s">
        <v>238</v>
      </c>
      <c r="DW205" t="s">
        <v>238</v>
      </c>
      <c r="DX205">
        <v>1</v>
      </c>
      <c r="DZ205" t="s">
        <v>3</v>
      </c>
      <c r="EA205" t="s">
        <v>3</v>
      </c>
      <c r="EB205" t="s">
        <v>3</v>
      </c>
      <c r="EC205" t="s">
        <v>3</v>
      </c>
      <c r="EE205">
        <v>36520026</v>
      </c>
      <c r="EF205">
        <v>2</v>
      </c>
      <c r="EG205" t="s">
        <v>28</v>
      </c>
      <c r="EH205">
        <v>0</v>
      </c>
      <c r="EI205" t="s">
        <v>3</v>
      </c>
      <c r="EJ205">
        <v>1</v>
      </c>
      <c r="EK205">
        <v>10001</v>
      </c>
      <c r="EL205" t="s">
        <v>115</v>
      </c>
      <c r="EM205" t="s">
        <v>116</v>
      </c>
      <c r="EO205" t="s">
        <v>3</v>
      </c>
      <c r="EQ205">
        <v>0</v>
      </c>
      <c r="ER205">
        <v>131.99</v>
      </c>
      <c r="ES205">
        <v>131.99</v>
      </c>
      <c r="ET205">
        <v>0</v>
      </c>
      <c r="EU205">
        <v>0</v>
      </c>
      <c r="EV205">
        <v>0</v>
      </c>
      <c r="EW205">
        <v>0</v>
      </c>
      <c r="EX205">
        <v>0</v>
      </c>
      <c r="FQ205">
        <v>0</v>
      </c>
      <c r="FR205">
        <f t="shared" si="159"/>
        <v>0</v>
      </c>
      <c r="FS205">
        <v>0</v>
      </c>
      <c r="FX205">
        <v>108</v>
      </c>
      <c r="FY205">
        <v>47</v>
      </c>
      <c r="GA205" t="s">
        <v>3</v>
      </c>
      <c r="GD205">
        <v>1</v>
      </c>
      <c r="GF205">
        <v>1128706910</v>
      </c>
      <c r="GG205">
        <v>2</v>
      </c>
      <c r="GH205">
        <v>1</v>
      </c>
      <c r="GI205">
        <v>2</v>
      </c>
      <c r="GJ205">
        <v>0</v>
      </c>
      <c r="GK205">
        <v>0</v>
      </c>
      <c r="GL205">
        <f t="shared" si="160"/>
        <v>0</v>
      </c>
      <c r="GM205">
        <f t="shared" si="161"/>
        <v>194.82</v>
      </c>
      <c r="GN205">
        <f t="shared" si="162"/>
        <v>194.82</v>
      </c>
      <c r="GO205">
        <f t="shared" si="163"/>
        <v>0</v>
      </c>
      <c r="GP205">
        <f t="shared" si="164"/>
        <v>0</v>
      </c>
      <c r="GR205">
        <v>0</v>
      </c>
      <c r="GS205">
        <v>3</v>
      </c>
      <c r="GT205">
        <v>0</v>
      </c>
      <c r="GU205" t="s">
        <v>3</v>
      </c>
      <c r="GV205">
        <f t="shared" si="165"/>
        <v>0</v>
      </c>
      <c r="GW205">
        <v>1</v>
      </c>
      <c r="GX205">
        <f t="shared" si="166"/>
        <v>0</v>
      </c>
      <c r="HA205">
        <v>0</v>
      </c>
      <c r="HB205">
        <v>0</v>
      </c>
      <c r="HC205">
        <f t="shared" si="167"/>
        <v>0</v>
      </c>
      <c r="HE205" t="s">
        <v>3</v>
      </c>
      <c r="HF205" t="s">
        <v>3</v>
      </c>
      <c r="HM205" t="s">
        <v>3</v>
      </c>
      <c r="HN205" t="s">
        <v>3</v>
      </c>
      <c r="HO205" t="s">
        <v>3</v>
      </c>
      <c r="HP205" t="s">
        <v>3</v>
      </c>
      <c r="HQ205" t="s">
        <v>3</v>
      </c>
      <c r="IK205">
        <v>0</v>
      </c>
    </row>
    <row r="206" spans="1:245">
      <c r="A206">
        <v>17</v>
      </c>
      <c r="B206">
        <v>1</v>
      </c>
      <c r="C206">
        <f>ROW(SmtRes!A181)</f>
        <v>181</v>
      </c>
      <c r="D206">
        <f>ROW(EtalonRes!A182)</f>
        <v>182</v>
      </c>
      <c r="E206" t="s">
        <v>143</v>
      </c>
      <c r="F206" t="s">
        <v>225</v>
      </c>
      <c r="G206" t="s">
        <v>226</v>
      </c>
      <c r="H206" t="s">
        <v>18</v>
      </c>
      <c r="I206">
        <f>ROUND(1.2/100,9)</f>
        <v>1.2E-2</v>
      </c>
      <c r="J206">
        <v>0</v>
      </c>
      <c r="K206">
        <f>ROUND(1.2/100,9)</f>
        <v>1.2E-2</v>
      </c>
      <c r="O206">
        <f t="shared" si="130"/>
        <v>734.2</v>
      </c>
      <c r="P206">
        <f t="shared" si="131"/>
        <v>19.54</v>
      </c>
      <c r="Q206">
        <f t="shared" si="132"/>
        <v>6.07</v>
      </c>
      <c r="R206">
        <f t="shared" si="133"/>
        <v>0.44</v>
      </c>
      <c r="S206">
        <f t="shared" si="134"/>
        <v>708.59</v>
      </c>
      <c r="T206">
        <f t="shared" si="135"/>
        <v>0</v>
      </c>
      <c r="U206">
        <f t="shared" si="136"/>
        <v>2.2972859999999997</v>
      </c>
      <c r="V206">
        <f t="shared" si="137"/>
        <v>9.6000000000000002E-4</v>
      </c>
      <c r="W206">
        <f t="shared" si="138"/>
        <v>0</v>
      </c>
      <c r="X206">
        <f t="shared" si="139"/>
        <v>638.13</v>
      </c>
      <c r="Y206">
        <f t="shared" si="140"/>
        <v>297.79000000000002</v>
      </c>
      <c r="AA206">
        <v>35841400</v>
      </c>
      <c r="AB206">
        <f t="shared" si="141"/>
        <v>2282.6084999999998</v>
      </c>
      <c r="AC206">
        <f t="shared" si="142"/>
        <v>478.86</v>
      </c>
      <c r="AD206">
        <f t="shared" si="168"/>
        <v>46.33</v>
      </c>
      <c r="AE206">
        <f t="shared" si="169"/>
        <v>1.08</v>
      </c>
      <c r="AF206">
        <f>ROUND(((EV206*1.15)),6)</f>
        <v>1757.4185</v>
      </c>
      <c r="AG206">
        <f t="shared" si="145"/>
        <v>0</v>
      </c>
      <c r="AH206">
        <f>((EW206*1.15))</f>
        <v>191.44049999999999</v>
      </c>
      <c r="AI206">
        <f t="shared" si="170"/>
        <v>0.08</v>
      </c>
      <c r="AJ206">
        <f t="shared" si="147"/>
        <v>0</v>
      </c>
      <c r="AK206">
        <v>2053.38</v>
      </c>
      <c r="AL206">
        <v>478.86</v>
      </c>
      <c r="AM206">
        <v>46.33</v>
      </c>
      <c r="AN206">
        <v>1.08</v>
      </c>
      <c r="AO206">
        <v>1528.19</v>
      </c>
      <c r="AP206">
        <v>0</v>
      </c>
      <c r="AQ206">
        <v>166.47</v>
      </c>
      <c r="AR206">
        <v>0.08</v>
      </c>
      <c r="AS206">
        <v>0</v>
      </c>
      <c r="AT206">
        <v>90</v>
      </c>
      <c r="AU206">
        <v>42</v>
      </c>
      <c r="AV206">
        <v>1</v>
      </c>
      <c r="AW206">
        <v>1</v>
      </c>
      <c r="AZ206">
        <v>1</v>
      </c>
      <c r="BA206">
        <v>33.6</v>
      </c>
      <c r="BB206">
        <v>10.92</v>
      </c>
      <c r="BC206">
        <v>3.4</v>
      </c>
      <c r="BD206" t="s">
        <v>3</v>
      </c>
      <c r="BE206" t="s">
        <v>3</v>
      </c>
      <c r="BF206" t="s">
        <v>3</v>
      </c>
      <c r="BG206" t="s">
        <v>3</v>
      </c>
      <c r="BH206">
        <v>0</v>
      </c>
      <c r="BI206">
        <v>1</v>
      </c>
      <c r="BJ206" t="s">
        <v>227</v>
      </c>
      <c r="BM206">
        <v>15001</v>
      </c>
      <c r="BN206">
        <v>0</v>
      </c>
      <c r="BO206" t="s">
        <v>225</v>
      </c>
      <c r="BP206">
        <v>1</v>
      </c>
      <c r="BQ206">
        <v>2</v>
      </c>
      <c r="BR206">
        <v>0</v>
      </c>
      <c r="BS206">
        <v>33.6</v>
      </c>
      <c r="BT206">
        <v>1</v>
      </c>
      <c r="BU206">
        <v>1</v>
      </c>
      <c r="BV206">
        <v>1</v>
      </c>
      <c r="BW206">
        <v>1</v>
      </c>
      <c r="BX206">
        <v>1</v>
      </c>
      <c r="BY206" t="s">
        <v>3</v>
      </c>
      <c r="BZ206">
        <v>90</v>
      </c>
      <c r="CA206">
        <v>42</v>
      </c>
      <c r="CB206" t="s">
        <v>3</v>
      </c>
      <c r="CE206">
        <v>0</v>
      </c>
      <c r="CF206">
        <v>0</v>
      </c>
      <c r="CG206">
        <v>0</v>
      </c>
      <c r="CM206">
        <v>0</v>
      </c>
      <c r="CN206" t="s">
        <v>606</v>
      </c>
      <c r="CO206">
        <v>0</v>
      </c>
      <c r="CP206">
        <f t="shared" si="148"/>
        <v>734.2</v>
      </c>
      <c r="CQ206">
        <f t="shared" si="149"/>
        <v>1628.124</v>
      </c>
      <c r="CR206">
        <f t="shared" si="150"/>
        <v>505.92359999999996</v>
      </c>
      <c r="CS206">
        <f t="shared" si="151"/>
        <v>36.288000000000004</v>
      </c>
      <c r="CT206">
        <f t="shared" si="152"/>
        <v>59049.261600000005</v>
      </c>
      <c r="CU206">
        <f t="shared" si="153"/>
        <v>0</v>
      </c>
      <c r="CV206">
        <f t="shared" si="154"/>
        <v>191.44049999999999</v>
      </c>
      <c r="CW206">
        <f t="shared" si="155"/>
        <v>0.08</v>
      </c>
      <c r="CX206">
        <f t="shared" si="156"/>
        <v>0</v>
      </c>
      <c r="CY206">
        <f t="shared" si="157"/>
        <v>638.12700000000007</v>
      </c>
      <c r="CZ206">
        <f t="shared" si="158"/>
        <v>297.79259999999999</v>
      </c>
      <c r="DC206" t="s">
        <v>3</v>
      </c>
      <c r="DD206" t="s">
        <v>3</v>
      </c>
      <c r="DE206" t="s">
        <v>3</v>
      </c>
      <c r="DF206" t="s">
        <v>3</v>
      </c>
      <c r="DG206" t="s">
        <v>114</v>
      </c>
      <c r="DH206" t="s">
        <v>3</v>
      </c>
      <c r="DI206" t="s">
        <v>114</v>
      </c>
      <c r="DJ206" t="s">
        <v>3</v>
      </c>
      <c r="DK206" t="s">
        <v>3</v>
      </c>
      <c r="DL206" t="s">
        <v>3</v>
      </c>
      <c r="DM206" t="s">
        <v>3</v>
      </c>
      <c r="DN206">
        <v>0</v>
      </c>
      <c r="DO206">
        <v>0</v>
      </c>
      <c r="DP206">
        <v>1</v>
      </c>
      <c r="DQ206">
        <v>1</v>
      </c>
      <c r="DU206">
        <v>1013</v>
      </c>
      <c r="DV206" t="s">
        <v>18</v>
      </c>
      <c r="DW206" t="s">
        <v>18</v>
      </c>
      <c r="DX206">
        <v>1</v>
      </c>
      <c r="DZ206" t="s">
        <v>3</v>
      </c>
      <c r="EA206" t="s">
        <v>3</v>
      </c>
      <c r="EB206" t="s">
        <v>3</v>
      </c>
      <c r="EC206" t="s">
        <v>3</v>
      </c>
      <c r="EE206">
        <v>36520056</v>
      </c>
      <c r="EF206">
        <v>2</v>
      </c>
      <c r="EG206" t="s">
        <v>28</v>
      </c>
      <c r="EH206">
        <v>0</v>
      </c>
      <c r="EI206" t="s">
        <v>3</v>
      </c>
      <c r="EJ206">
        <v>1</v>
      </c>
      <c r="EK206">
        <v>15001</v>
      </c>
      <c r="EL206" t="s">
        <v>140</v>
      </c>
      <c r="EM206" t="s">
        <v>141</v>
      </c>
      <c r="EO206" t="s">
        <v>117</v>
      </c>
      <c r="EQ206">
        <v>0</v>
      </c>
      <c r="ER206">
        <v>2053.38</v>
      </c>
      <c r="ES206">
        <v>478.86</v>
      </c>
      <c r="ET206">
        <v>46.33</v>
      </c>
      <c r="EU206">
        <v>1.08</v>
      </c>
      <c r="EV206">
        <v>1528.19</v>
      </c>
      <c r="EW206">
        <v>166.47</v>
      </c>
      <c r="EX206">
        <v>0.08</v>
      </c>
      <c r="EY206">
        <v>0</v>
      </c>
      <c r="FQ206">
        <v>0</v>
      </c>
      <c r="FR206">
        <f t="shared" si="159"/>
        <v>0</v>
      </c>
      <c r="FS206">
        <v>0</v>
      </c>
      <c r="FX206">
        <v>90</v>
      </c>
      <c r="FY206">
        <v>42</v>
      </c>
      <c r="GA206" t="s">
        <v>3</v>
      </c>
      <c r="GD206">
        <v>1</v>
      </c>
      <c r="GF206">
        <v>-222903101</v>
      </c>
      <c r="GG206">
        <v>2</v>
      </c>
      <c r="GH206">
        <v>2</v>
      </c>
      <c r="GI206">
        <v>2</v>
      </c>
      <c r="GJ206">
        <v>0</v>
      </c>
      <c r="GK206">
        <v>0</v>
      </c>
      <c r="GL206">
        <f t="shared" si="160"/>
        <v>0</v>
      </c>
      <c r="GM206">
        <f t="shared" si="161"/>
        <v>1670.12</v>
      </c>
      <c r="GN206">
        <f t="shared" si="162"/>
        <v>1670.12</v>
      </c>
      <c r="GO206">
        <f t="shared" si="163"/>
        <v>0</v>
      </c>
      <c r="GP206">
        <f t="shared" si="164"/>
        <v>0</v>
      </c>
      <c r="GR206">
        <v>0</v>
      </c>
      <c r="GS206">
        <v>3</v>
      </c>
      <c r="GT206">
        <v>0</v>
      </c>
      <c r="GU206" t="s">
        <v>3</v>
      </c>
      <c r="GV206">
        <f t="shared" si="165"/>
        <v>0</v>
      </c>
      <c r="GW206">
        <v>1</v>
      </c>
      <c r="GX206">
        <f t="shared" si="166"/>
        <v>0</v>
      </c>
      <c r="HA206">
        <v>0</v>
      </c>
      <c r="HB206">
        <v>0</v>
      </c>
      <c r="HC206">
        <f t="shared" si="167"/>
        <v>0</v>
      </c>
      <c r="HE206" t="s">
        <v>3</v>
      </c>
      <c r="HF206" t="s">
        <v>3</v>
      </c>
      <c r="HM206" t="s">
        <v>3</v>
      </c>
      <c r="HN206" t="s">
        <v>3</v>
      </c>
      <c r="HO206" t="s">
        <v>3</v>
      </c>
      <c r="HP206" t="s">
        <v>3</v>
      </c>
      <c r="HQ206" t="s">
        <v>3</v>
      </c>
      <c r="IK206">
        <v>0</v>
      </c>
    </row>
    <row r="207" spans="1:245">
      <c r="A207">
        <v>18</v>
      </c>
      <c r="B207">
        <v>1</v>
      </c>
      <c r="C207">
        <v>181</v>
      </c>
      <c r="E207" t="s">
        <v>148</v>
      </c>
      <c r="F207" t="s">
        <v>248</v>
      </c>
      <c r="G207" t="s">
        <v>249</v>
      </c>
      <c r="H207" t="s">
        <v>129</v>
      </c>
      <c r="I207">
        <f>I206*J207</f>
        <v>1.26</v>
      </c>
      <c r="J207">
        <v>105</v>
      </c>
      <c r="K207">
        <v>105</v>
      </c>
      <c r="O207">
        <f t="shared" si="130"/>
        <v>285.67</v>
      </c>
      <c r="P207">
        <f t="shared" si="131"/>
        <v>285.67</v>
      </c>
      <c r="Q207">
        <f t="shared" si="132"/>
        <v>0</v>
      </c>
      <c r="R207">
        <f t="shared" si="133"/>
        <v>0</v>
      </c>
      <c r="S207">
        <f t="shared" si="134"/>
        <v>0</v>
      </c>
      <c r="T207">
        <f t="shared" si="135"/>
        <v>0</v>
      </c>
      <c r="U207">
        <f t="shared" si="136"/>
        <v>0</v>
      </c>
      <c r="V207">
        <f t="shared" si="137"/>
        <v>0</v>
      </c>
      <c r="W207">
        <f t="shared" si="138"/>
        <v>0.13</v>
      </c>
      <c r="X207">
        <f t="shared" si="139"/>
        <v>0</v>
      </c>
      <c r="Y207">
        <f t="shared" si="140"/>
        <v>0</v>
      </c>
      <c r="AA207">
        <v>35841400</v>
      </c>
      <c r="AB207">
        <f t="shared" si="141"/>
        <v>377.87</v>
      </c>
      <c r="AC207">
        <f t="shared" si="142"/>
        <v>377.87</v>
      </c>
      <c r="AD207">
        <f t="shared" si="168"/>
        <v>0</v>
      </c>
      <c r="AE207">
        <f t="shared" si="169"/>
        <v>0</v>
      </c>
      <c r="AF207">
        <f>ROUND((EV207),6)</f>
        <v>0</v>
      </c>
      <c r="AG207">
        <f t="shared" si="145"/>
        <v>0</v>
      </c>
      <c r="AH207">
        <f>(EW207)</f>
        <v>0</v>
      </c>
      <c r="AI207">
        <f t="shared" si="170"/>
        <v>0</v>
      </c>
      <c r="AJ207">
        <f t="shared" si="147"/>
        <v>0.1</v>
      </c>
      <c r="AK207">
        <v>377.87</v>
      </c>
      <c r="AL207">
        <v>377.87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0.1</v>
      </c>
      <c r="AT207">
        <v>100</v>
      </c>
      <c r="AU207">
        <v>42</v>
      </c>
      <c r="AV207">
        <v>1</v>
      </c>
      <c r="AW207">
        <v>1</v>
      </c>
      <c r="AZ207">
        <v>1</v>
      </c>
      <c r="BA207">
        <v>1</v>
      </c>
      <c r="BB207">
        <v>1</v>
      </c>
      <c r="BC207">
        <v>0.6</v>
      </c>
      <c r="BD207" t="s">
        <v>3</v>
      </c>
      <c r="BE207" t="s">
        <v>3</v>
      </c>
      <c r="BF207" t="s">
        <v>3</v>
      </c>
      <c r="BG207" t="s">
        <v>3</v>
      </c>
      <c r="BH207">
        <v>3</v>
      </c>
      <c r="BI207">
        <v>1</v>
      </c>
      <c r="BJ207" t="s">
        <v>250</v>
      </c>
      <c r="BM207">
        <v>15001</v>
      </c>
      <c r="BN207">
        <v>0</v>
      </c>
      <c r="BO207" t="s">
        <v>248</v>
      </c>
      <c r="BP207">
        <v>1</v>
      </c>
      <c r="BQ207">
        <v>2</v>
      </c>
      <c r="BR207">
        <v>0</v>
      </c>
      <c r="BS207">
        <v>1</v>
      </c>
      <c r="BT207">
        <v>1</v>
      </c>
      <c r="BU207">
        <v>1</v>
      </c>
      <c r="BV207">
        <v>1</v>
      </c>
      <c r="BW207">
        <v>1</v>
      </c>
      <c r="BX207">
        <v>1</v>
      </c>
      <c r="BY207" t="s">
        <v>3</v>
      </c>
      <c r="BZ207">
        <v>100</v>
      </c>
      <c r="CA207">
        <v>42</v>
      </c>
      <c r="CB207" t="s">
        <v>3</v>
      </c>
      <c r="CE207">
        <v>0</v>
      </c>
      <c r="CF207">
        <v>0</v>
      </c>
      <c r="CG207">
        <v>0</v>
      </c>
      <c r="CM207">
        <v>0</v>
      </c>
      <c r="CN207" t="s">
        <v>3</v>
      </c>
      <c r="CO207">
        <v>0</v>
      </c>
      <c r="CP207">
        <f t="shared" si="148"/>
        <v>285.67</v>
      </c>
      <c r="CQ207">
        <f t="shared" si="149"/>
        <v>226.72200000000001</v>
      </c>
      <c r="CR207">
        <f t="shared" si="150"/>
        <v>0</v>
      </c>
      <c r="CS207">
        <f t="shared" si="151"/>
        <v>0</v>
      </c>
      <c r="CT207">
        <f t="shared" si="152"/>
        <v>0</v>
      </c>
      <c r="CU207">
        <f t="shared" si="153"/>
        <v>0</v>
      </c>
      <c r="CV207">
        <f t="shared" si="154"/>
        <v>0</v>
      </c>
      <c r="CW207">
        <f t="shared" si="155"/>
        <v>0</v>
      </c>
      <c r="CX207">
        <f t="shared" si="156"/>
        <v>0.1</v>
      </c>
      <c r="CY207">
        <f t="shared" si="157"/>
        <v>0</v>
      </c>
      <c r="CZ207">
        <f t="shared" si="158"/>
        <v>0</v>
      </c>
      <c r="DC207" t="s">
        <v>3</v>
      </c>
      <c r="DD207" t="s">
        <v>3</v>
      </c>
      <c r="DE207" t="s">
        <v>3</v>
      </c>
      <c r="DF207" t="s">
        <v>3</v>
      </c>
      <c r="DG207" t="s">
        <v>3</v>
      </c>
      <c r="DH207" t="s">
        <v>3</v>
      </c>
      <c r="DI207" t="s">
        <v>3</v>
      </c>
      <c r="DJ207" t="s">
        <v>3</v>
      </c>
      <c r="DK207" t="s">
        <v>3</v>
      </c>
      <c r="DL207" t="s">
        <v>3</v>
      </c>
      <c r="DM207" t="s">
        <v>3</v>
      </c>
      <c r="DN207">
        <v>0</v>
      </c>
      <c r="DO207">
        <v>0</v>
      </c>
      <c r="DP207">
        <v>1</v>
      </c>
      <c r="DQ207">
        <v>1</v>
      </c>
      <c r="DU207">
        <v>1005</v>
      </c>
      <c r="DV207" t="s">
        <v>129</v>
      </c>
      <c r="DW207" t="s">
        <v>129</v>
      </c>
      <c r="DX207">
        <v>1</v>
      </c>
      <c r="DZ207" t="s">
        <v>3</v>
      </c>
      <c r="EA207" t="s">
        <v>3</v>
      </c>
      <c r="EB207" t="s">
        <v>3</v>
      </c>
      <c r="EC207" t="s">
        <v>3</v>
      </c>
      <c r="EE207">
        <v>36520056</v>
      </c>
      <c r="EF207">
        <v>2</v>
      </c>
      <c r="EG207" t="s">
        <v>28</v>
      </c>
      <c r="EH207">
        <v>0</v>
      </c>
      <c r="EI207" t="s">
        <v>3</v>
      </c>
      <c r="EJ207">
        <v>1</v>
      </c>
      <c r="EK207">
        <v>15001</v>
      </c>
      <c r="EL207" t="s">
        <v>140</v>
      </c>
      <c r="EM207" t="s">
        <v>141</v>
      </c>
      <c r="EO207" t="s">
        <v>3</v>
      </c>
      <c r="EQ207">
        <v>0</v>
      </c>
      <c r="ER207">
        <v>377.87</v>
      </c>
      <c r="ES207">
        <v>377.87</v>
      </c>
      <c r="ET207">
        <v>0</v>
      </c>
      <c r="EU207">
        <v>0</v>
      </c>
      <c r="EV207">
        <v>0</v>
      </c>
      <c r="EW207">
        <v>0</v>
      </c>
      <c r="EX207">
        <v>0</v>
      </c>
      <c r="FQ207">
        <v>0</v>
      </c>
      <c r="FR207">
        <f t="shared" si="159"/>
        <v>0</v>
      </c>
      <c r="FS207">
        <v>0</v>
      </c>
      <c r="FX207">
        <v>100</v>
      </c>
      <c r="FY207">
        <v>42</v>
      </c>
      <c r="GA207" t="s">
        <v>3</v>
      </c>
      <c r="GD207">
        <v>1</v>
      </c>
      <c r="GF207">
        <v>80520630</v>
      </c>
      <c r="GG207">
        <v>2</v>
      </c>
      <c r="GH207">
        <v>1</v>
      </c>
      <c r="GI207">
        <v>2</v>
      </c>
      <c r="GJ207">
        <v>0</v>
      </c>
      <c r="GK207">
        <v>0</v>
      </c>
      <c r="GL207">
        <f t="shared" si="160"/>
        <v>0</v>
      </c>
      <c r="GM207">
        <f t="shared" si="161"/>
        <v>285.67</v>
      </c>
      <c r="GN207">
        <f t="shared" si="162"/>
        <v>285.67</v>
      </c>
      <c r="GO207">
        <f t="shared" si="163"/>
        <v>0</v>
      </c>
      <c r="GP207">
        <f t="shared" si="164"/>
        <v>0</v>
      </c>
      <c r="GR207">
        <v>0</v>
      </c>
      <c r="GS207">
        <v>3</v>
      </c>
      <c r="GT207">
        <v>0</v>
      </c>
      <c r="GU207" t="s">
        <v>3</v>
      </c>
      <c r="GV207">
        <f t="shared" si="165"/>
        <v>0</v>
      </c>
      <c r="GW207">
        <v>1</v>
      </c>
      <c r="GX207">
        <f t="shared" si="166"/>
        <v>0</v>
      </c>
      <c r="HA207">
        <v>0</v>
      </c>
      <c r="HB207">
        <v>0</v>
      </c>
      <c r="HC207">
        <f t="shared" si="167"/>
        <v>0</v>
      </c>
      <c r="HE207" t="s">
        <v>3</v>
      </c>
      <c r="HF207" t="s">
        <v>3</v>
      </c>
      <c r="HM207" t="s">
        <v>3</v>
      </c>
      <c r="HN207" t="s">
        <v>3</v>
      </c>
      <c r="HO207" t="s">
        <v>3</v>
      </c>
      <c r="HP207" t="s">
        <v>3</v>
      </c>
      <c r="HQ207" t="s">
        <v>3</v>
      </c>
      <c r="IK207">
        <v>0</v>
      </c>
    </row>
    <row r="208" spans="1:245">
      <c r="A208">
        <v>18</v>
      </c>
      <c r="B208">
        <v>1</v>
      </c>
      <c r="C208">
        <v>179</v>
      </c>
      <c r="E208" t="s">
        <v>251</v>
      </c>
      <c r="F208" t="s">
        <v>252</v>
      </c>
      <c r="G208" t="s">
        <v>253</v>
      </c>
      <c r="H208" t="s">
        <v>151</v>
      </c>
      <c r="I208">
        <f>I206*J208</f>
        <v>1.07E-4</v>
      </c>
      <c r="J208">
        <v>8.9166666666666665E-3</v>
      </c>
      <c r="K208">
        <v>8.9169999999999996E-3</v>
      </c>
      <c r="O208">
        <f t="shared" si="130"/>
        <v>0.01</v>
      </c>
      <c r="P208">
        <f t="shared" si="131"/>
        <v>0.01</v>
      </c>
      <c r="Q208">
        <f t="shared" si="132"/>
        <v>0</v>
      </c>
      <c r="R208">
        <f t="shared" si="133"/>
        <v>0</v>
      </c>
      <c r="S208">
        <f t="shared" si="134"/>
        <v>0</v>
      </c>
      <c r="T208">
        <f t="shared" si="135"/>
        <v>0</v>
      </c>
      <c r="U208">
        <f t="shared" si="136"/>
        <v>0</v>
      </c>
      <c r="V208">
        <f t="shared" si="137"/>
        <v>0</v>
      </c>
      <c r="W208">
        <f t="shared" si="138"/>
        <v>0</v>
      </c>
      <c r="X208">
        <f t="shared" si="139"/>
        <v>0</v>
      </c>
      <c r="Y208">
        <f t="shared" si="140"/>
        <v>0</v>
      </c>
      <c r="AA208">
        <v>35841400</v>
      </c>
      <c r="AB208">
        <f t="shared" si="141"/>
        <v>22.91</v>
      </c>
      <c r="AC208">
        <f t="shared" si="142"/>
        <v>22.91</v>
      </c>
      <c r="AD208">
        <f t="shared" si="168"/>
        <v>0</v>
      </c>
      <c r="AE208">
        <f t="shared" si="169"/>
        <v>0</v>
      </c>
      <c r="AF208">
        <f>ROUND((EV208),6)</f>
        <v>0</v>
      </c>
      <c r="AG208">
        <f t="shared" si="145"/>
        <v>0</v>
      </c>
      <c r="AH208">
        <f>(EW208)</f>
        <v>0</v>
      </c>
      <c r="AI208">
        <f t="shared" si="170"/>
        <v>0</v>
      </c>
      <c r="AJ208">
        <f t="shared" si="147"/>
        <v>0.06</v>
      </c>
      <c r="AK208">
        <v>22.91</v>
      </c>
      <c r="AL208">
        <v>22.91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0.06</v>
      </c>
      <c r="AT208">
        <v>100</v>
      </c>
      <c r="AU208">
        <v>42</v>
      </c>
      <c r="AV208">
        <v>1</v>
      </c>
      <c r="AW208">
        <v>1</v>
      </c>
      <c r="AZ208">
        <v>1</v>
      </c>
      <c r="BA208">
        <v>1</v>
      </c>
      <c r="BB208">
        <v>1</v>
      </c>
      <c r="BC208">
        <v>5.85</v>
      </c>
      <c r="BD208" t="s">
        <v>3</v>
      </c>
      <c r="BE208" t="s">
        <v>3</v>
      </c>
      <c r="BF208" t="s">
        <v>3</v>
      </c>
      <c r="BG208" t="s">
        <v>3</v>
      </c>
      <c r="BH208">
        <v>3</v>
      </c>
      <c r="BI208">
        <v>1</v>
      </c>
      <c r="BJ208" t="s">
        <v>254</v>
      </c>
      <c r="BM208">
        <v>15001</v>
      </c>
      <c r="BN208">
        <v>0</v>
      </c>
      <c r="BO208" t="s">
        <v>252</v>
      </c>
      <c r="BP208">
        <v>1</v>
      </c>
      <c r="BQ208">
        <v>2</v>
      </c>
      <c r="BR208">
        <v>0</v>
      </c>
      <c r="BS208">
        <v>1</v>
      </c>
      <c r="BT208">
        <v>1</v>
      </c>
      <c r="BU208">
        <v>1</v>
      </c>
      <c r="BV208">
        <v>1</v>
      </c>
      <c r="BW208">
        <v>1</v>
      </c>
      <c r="BX208">
        <v>1</v>
      </c>
      <c r="BY208" t="s">
        <v>3</v>
      </c>
      <c r="BZ208">
        <v>100</v>
      </c>
      <c r="CA208">
        <v>42</v>
      </c>
      <c r="CB208" t="s">
        <v>3</v>
      </c>
      <c r="CE208">
        <v>0</v>
      </c>
      <c r="CF208">
        <v>0</v>
      </c>
      <c r="CG208">
        <v>0</v>
      </c>
      <c r="CM208">
        <v>0</v>
      </c>
      <c r="CN208" t="s">
        <v>3</v>
      </c>
      <c r="CO208">
        <v>0</v>
      </c>
      <c r="CP208">
        <f t="shared" si="148"/>
        <v>0.01</v>
      </c>
      <c r="CQ208">
        <f t="shared" si="149"/>
        <v>134.02349999999998</v>
      </c>
      <c r="CR208">
        <f t="shared" si="150"/>
        <v>0</v>
      </c>
      <c r="CS208">
        <f t="shared" si="151"/>
        <v>0</v>
      </c>
      <c r="CT208">
        <f t="shared" si="152"/>
        <v>0</v>
      </c>
      <c r="CU208">
        <f t="shared" si="153"/>
        <v>0</v>
      </c>
      <c r="CV208">
        <f t="shared" si="154"/>
        <v>0</v>
      </c>
      <c r="CW208">
        <f t="shared" si="155"/>
        <v>0</v>
      </c>
      <c r="CX208">
        <f t="shared" si="156"/>
        <v>0.06</v>
      </c>
      <c r="CY208">
        <f t="shared" si="157"/>
        <v>0</v>
      </c>
      <c r="CZ208">
        <f t="shared" si="158"/>
        <v>0</v>
      </c>
      <c r="DC208" t="s">
        <v>3</v>
      </c>
      <c r="DD208" t="s">
        <v>3</v>
      </c>
      <c r="DE208" t="s">
        <v>3</v>
      </c>
      <c r="DF208" t="s">
        <v>3</v>
      </c>
      <c r="DG208" t="s">
        <v>3</v>
      </c>
      <c r="DH208" t="s">
        <v>3</v>
      </c>
      <c r="DI208" t="s">
        <v>3</v>
      </c>
      <c r="DJ208" t="s">
        <v>3</v>
      </c>
      <c r="DK208" t="s">
        <v>3</v>
      </c>
      <c r="DL208" t="s">
        <v>3</v>
      </c>
      <c r="DM208" t="s">
        <v>3</v>
      </c>
      <c r="DN208">
        <v>0</v>
      </c>
      <c r="DO208">
        <v>0</v>
      </c>
      <c r="DP208">
        <v>1</v>
      </c>
      <c r="DQ208">
        <v>1</v>
      </c>
      <c r="DU208">
        <v>1009</v>
      </c>
      <c r="DV208" t="s">
        <v>151</v>
      </c>
      <c r="DW208" t="s">
        <v>151</v>
      </c>
      <c r="DX208">
        <v>1</v>
      </c>
      <c r="DZ208" t="s">
        <v>3</v>
      </c>
      <c r="EA208" t="s">
        <v>3</v>
      </c>
      <c r="EB208" t="s">
        <v>3</v>
      </c>
      <c r="EC208" t="s">
        <v>3</v>
      </c>
      <c r="EE208">
        <v>36520056</v>
      </c>
      <c r="EF208">
        <v>2</v>
      </c>
      <c r="EG208" t="s">
        <v>28</v>
      </c>
      <c r="EH208">
        <v>0</v>
      </c>
      <c r="EI208" t="s">
        <v>3</v>
      </c>
      <c r="EJ208">
        <v>1</v>
      </c>
      <c r="EK208">
        <v>15001</v>
      </c>
      <c r="EL208" t="s">
        <v>140</v>
      </c>
      <c r="EM208" t="s">
        <v>141</v>
      </c>
      <c r="EO208" t="s">
        <v>3</v>
      </c>
      <c r="EQ208">
        <v>0</v>
      </c>
      <c r="ER208">
        <v>22.91</v>
      </c>
      <c r="ES208">
        <v>22.91</v>
      </c>
      <c r="ET208">
        <v>0</v>
      </c>
      <c r="EU208">
        <v>0</v>
      </c>
      <c r="EV208">
        <v>0</v>
      </c>
      <c r="EW208">
        <v>0</v>
      </c>
      <c r="EX208">
        <v>0</v>
      </c>
      <c r="FQ208">
        <v>0</v>
      </c>
      <c r="FR208">
        <f t="shared" si="159"/>
        <v>0</v>
      </c>
      <c r="FS208">
        <v>0</v>
      </c>
      <c r="FX208">
        <v>100</v>
      </c>
      <c r="FY208">
        <v>42</v>
      </c>
      <c r="GA208" t="s">
        <v>3</v>
      </c>
      <c r="GD208">
        <v>1</v>
      </c>
      <c r="GF208">
        <v>-1800780702</v>
      </c>
      <c r="GG208">
        <v>2</v>
      </c>
      <c r="GH208">
        <v>1</v>
      </c>
      <c r="GI208">
        <v>2</v>
      </c>
      <c r="GJ208">
        <v>0</v>
      </c>
      <c r="GK208">
        <v>0</v>
      </c>
      <c r="GL208">
        <f t="shared" si="160"/>
        <v>0</v>
      </c>
      <c r="GM208">
        <f t="shared" si="161"/>
        <v>0.01</v>
      </c>
      <c r="GN208">
        <f t="shared" si="162"/>
        <v>0.01</v>
      </c>
      <c r="GO208">
        <f t="shared" si="163"/>
        <v>0</v>
      </c>
      <c r="GP208">
        <f t="shared" si="164"/>
        <v>0</v>
      </c>
      <c r="GR208">
        <v>0</v>
      </c>
      <c r="GS208">
        <v>3</v>
      </c>
      <c r="GT208">
        <v>0</v>
      </c>
      <c r="GU208" t="s">
        <v>3</v>
      </c>
      <c r="GV208">
        <f t="shared" si="165"/>
        <v>0</v>
      </c>
      <c r="GW208">
        <v>1</v>
      </c>
      <c r="GX208">
        <f t="shared" si="166"/>
        <v>0</v>
      </c>
      <c r="HA208">
        <v>0</v>
      </c>
      <c r="HB208">
        <v>0</v>
      </c>
      <c r="HC208">
        <f t="shared" si="167"/>
        <v>0</v>
      </c>
      <c r="HE208" t="s">
        <v>3</v>
      </c>
      <c r="HF208" t="s">
        <v>3</v>
      </c>
      <c r="HM208" t="s">
        <v>3</v>
      </c>
      <c r="HN208" t="s">
        <v>3</v>
      </c>
      <c r="HO208" t="s">
        <v>3</v>
      </c>
      <c r="HP208" t="s">
        <v>3</v>
      </c>
      <c r="HQ208" t="s">
        <v>3</v>
      </c>
      <c r="IK208">
        <v>0</v>
      </c>
    </row>
    <row r="210" spans="1:206">
      <c r="A210" s="2">
        <v>51</v>
      </c>
      <c r="B210" s="2">
        <f>B189</f>
        <v>1</v>
      </c>
      <c r="C210" s="2">
        <f>A189</f>
        <v>4</v>
      </c>
      <c r="D210" s="2">
        <f>ROW(A189)</f>
        <v>189</v>
      </c>
      <c r="E210" s="2"/>
      <c r="F210" s="2" t="str">
        <f>IF(F189&lt;&gt;"",F189,"")</f>
        <v>Новый раздел</v>
      </c>
      <c r="G210" s="2" t="str">
        <f>IF(G189&lt;&gt;"",G189,"")</f>
        <v>Оконный блок</v>
      </c>
      <c r="H210" s="2">
        <v>0</v>
      </c>
      <c r="I210" s="2"/>
      <c r="J210" s="2"/>
      <c r="K210" s="2"/>
      <c r="L210" s="2"/>
      <c r="M210" s="2"/>
      <c r="N210" s="2"/>
      <c r="O210" s="2">
        <f t="shared" ref="O210:T210" si="171">ROUND(AB210,2)</f>
        <v>38599.56</v>
      </c>
      <c r="P210" s="2">
        <f t="shared" si="171"/>
        <v>25837.88</v>
      </c>
      <c r="Q210" s="2">
        <f t="shared" si="171"/>
        <v>2325.9</v>
      </c>
      <c r="R210" s="2">
        <f t="shared" si="171"/>
        <v>1344.46</v>
      </c>
      <c r="S210" s="2">
        <f t="shared" si="171"/>
        <v>10435.780000000001</v>
      </c>
      <c r="T210" s="2">
        <f t="shared" si="171"/>
        <v>0</v>
      </c>
      <c r="U210" s="2">
        <f>AH210</f>
        <v>34.770054999999999</v>
      </c>
      <c r="V210" s="2">
        <f>AI210</f>
        <v>3.9545020000000002</v>
      </c>
      <c r="W210" s="2">
        <f>ROUND(AJ210,2)</f>
        <v>0.53</v>
      </c>
      <c r="X210" s="2">
        <f>ROUND(AK210,2)</f>
        <v>11785.24</v>
      </c>
      <c r="Y210" s="2">
        <f>ROUND(AL210,2)</f>
        <v>6404.35</v>
      </c>
      <c r="Z210" s="2"/>
      <c r="AA210" s="2"/>
      <c r="AB210" s="2">
        <f>ROUND(SUMIF(AA193:AA208,"=35841400",O193:O208),2)</f>
        <v>38599.56</v>
      </c>
      <c r="AC210" s="2">
        <f>ROUND(SUMIF(AA193:AA208,"=35841400",P193:P208),2)</f>
        <v>25837.88</v>
      </c>
      <c r="AD210" s="2">
        <f>ROUND(SUMIF(AA193:AA208,"=35841400",Q193:Q208),2)</f>
        <v>2325.9</v>
      </c>
      <c r="AE210" s="2">
        <f>ROUND(SUMIF(AA193:AA208,"=35841400",R193:R208),2)</f>
        <v>1344.46</v>
      </c>
      <c r="AF210" s="2">
        <f>ROUND(SUMIF(AA193:AA208,"=35841400",S193:S208),2)</f>
        <v>10435.780000000001</v>
      </c>
      <c r="AG210" s="2">
        <f>ROUND(SUMIF(AA193:AA208,"=35841400",T193:T208),2)</f>
        <v>0</v>
      </c>
      <c r="AH210" s="2">
        <f>SUMIF(AA193:AA208,"=35841400",U193:U208)</f>
        <v>34.770054999999999</v>
      </c>
      <c r="AI210" s="2">
        <f>SUMIF(AA193:AA208,"=35841400",V193:V208)</f>
        <v>3.9545020000000002</v>
      </c>
      <c r="AJ210" s="2">
        <f>ROUND(SUMIF(AA193:AA208,"=35841400",W193:W208),2)</f>
        <v>0.53</v>
      </c>
      <c r="AK210" s="2">
        <f>ROUND(SUMIF(AA193:AA208,"=35841400",X193:X208),2)</f>
        <v>11785.24</v>
      </c>
      <c r="AL210" s="2">
        <f>ROUND(SUMIF(AA193:AA208,"=35841400",Y193:Y208),2)</f>
        <v>6404.35</v>
      </c>
      <c r="AM210" s="2"/>
      <c r="AN210" s="2"/>
      <c r="AO210" s="2">
        <f t="shared" ref="AO210:BD210" si="172">ROUND(BX210,2)</f>
        <v>0</v>
      </c>
      <c r="AP210" s="2">
        <f t="shared" si="172"/>
        <v>0</v>
      </c>
      <c r="AQ210" s="2">
        <f t="shared" si="172"/>
        <v>0</v>
      </c>
      <c r="AR210" s="2">
        <f t="shared" si="172"/>
        <v>56789.15</v>
      </c>
      <c r="AS210" s="2">
        <f t="shared" si="172"/>
        <v>56789.15</v>
      </c>
      <c r="AT210" s="2">
        <f t="shared" si="172"/>
        <v>0</v>
      </c>
      <c r="AU210" s="2">
        <f t="shared" si="172"/>
        <v>0</v>
      </c>
      <c r="AV210" s="2">
        <f t="shared" si="172"/>
        <v>25837.88</v>
      </c>
      <c r="AW210" s="2">
        <f t="shared" si="172"/>
        <v>25837.88</v>
      </c>
      <c r="AX210" s="2">
        <f t="shared" si="172"/>
        <v>0</v>
      </c>
      <c r="AY210" s="2">
        <f t="shared" si="172"/>
        <v>25837.88</v>
      </c>
      <c r="AZ210" s="2">
        <f t="shared" si="172"/>
        <v>0</v>
      </c>
      <c r="BA210" s="2">
        <f t="shared" si="172"/>
        <v>0</v>
      </c>
      <c r="BB210" s="2">
        <f t="shared" si="172"/>
        <v>0</v>
      </c>
      <c r="BC210" s="2">
        <f t="shared" si="172"/>
        <v>0</v>
      </c>
      <c r="BD210" s="2">
        <f t="shared" si="172"/>
        <v>0</v>
      </c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>
        <f>ROUND(SUMIF(AA193:AA208,"=35841400",FQ193:FQ208),2)</f>
        <v>0</v>
      </c>
      <c r="BY210" s="2">
        <f>ROUND(SUMIF(AA193:AA208,"=35841400",FR193:FR208),2)</f>
        <v>0</v>
      </c>
      <c r="BZ210" s="2">
        <f>ROUND(SUMIF(AA193:AA208,"=35841400",GL193:GL208),2)</f>
        <v>0</v>
      </c>
      <c r="CA210" s="2">
        <f>ROUND(SUMIF(AA193:AA208,"=35841400",GM193:GM208),2)</f>
        <v>56789.15</v>
      </c>
      <c r="CB210" s="2">
        <f>ROUND(SUMIF(AA193:AA208,"=35841400",GN193:GN208),2)</f>
        <v>56789.15</v>
      </c>
      <c r="CC210" s="2">
        <f>ROUND(SUMIF(AA193:AA208,"=35841400",GO193:GO208),2)</f>
        <v>0</v>
      </c>
      <c r="CD210" s="2">
        <f>ROUND(SUMIF(AA193:AA208,"=35841400",GP193:GP208),2)</f>
        <v>0</v>
      </c>
      <c r="CE210" s="2">
        <f>AC210-BX210</f>
        <v>25837.88</v>
      </c>
      <c r="CF210" s="2">
        <f>AC210-BY210</f>
        <v>25837.88</v>
      </c>
      <c r="CG210" s="2">
        <f>BX210-BZ210</f>
        <v>0</v>
      </c>
      <c r="CH210" s="2">
        <f>AC210-BX210-BY210+BZ210</f>
        <v>25837.88</v>
      </c>
      <c r="CI210" s="2">
        <f>BY210-BZ210</f>
        <v>0</v>
      </c>
      <c r="CJ210" s="2">
        <f>ROUND(SUMIF(AA193:AA208,"=35841400",GX193:GX208),2)</f>
        <v>0</v>
      </c>
      <c r="CK210" s="2">
        <f>ROUND(SUMIF(AA193:AA208,"=35841400",GY193:GY208),2)</f>
        <v>0</v>
      </c>
      <c r="CL210" s="2">
        <f>ROUND(SUMIF(AA193:AA208,"=35841400",GZ193:GZ208),2)</f>
        <v>0</v>
      </c>
      <c r="CM210" s="2">
        <f>ROUND(SUMIF(AA193:AA208,"=35841400",HD193:HD208),2)</f>
        <v>0</v>
      </c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  <c r="FD210" s="3"/>
      <c r="FE210" s="3"/>
      <c r="FF210" s="3"/>
      <c r="FG210" s="3"/>
      <c r="FH210" s="3"/>
      <c r="FI210" s="3"/>
      <c r="FJ210" s="3"/>
      <c r="FK210" s="3"/>
      <c r="FL210" s="3"/>
      <c r="FM210" s="3"/>
      <c r="FN210" s="3"/>
      <c r="FO210" s="3"/>
      <c r="FP210" s="3"/>
      <c r="FQ210" s="3"/>
      <c r="FR210" s="3"/>
      <c r="FS210" s="3"/>
      <c r="FT210" s="3"/>
      <c r="FU210" s="3"/>
      <c r="FV210" s="3"/>
      <c r="FW210" s="3"/>
      <c r="FX210" s="3"/>
      <c r="FY210" s="3"/>
      <c r="FZ210" s="3"/>
      <c r="GA210" s="3"/>
      <c r="GB210" s="3"/>
      <c r="GC210" s="3"/>
      <c r="GD210" s="3"/>
      <c r="GE210" s="3"/>
      <c r="GF210" s="3"/>
      <c r="GG210" s="3"/>
      <c r="GH210" s="3"/>
      <c r="GI210" s="3"/>
      <c r="GJ210" s="3"/>
      <c r="GK210" s="3"/>
      <c r="GL210" s="3"/>
      <c r="GM210" s="3"/>
      <c r="GN210" s="3"/>
      <c r="GO210" s="3"/>
      <c r="GP210" s="3"/>
      <c r="GQ210" s="3"/>
      <c r="GR210" s="3"/>
      <c r="GS210" s="3"/>
      <c r="GT210" s="3"/>
      <c r="GU210" s="3"/>
      <c r="GV210" s="3"/>
      <c r="GW210" s="3"/>
      <c r="GX210" s="3">
        <v>0</v>
      </c>
    </row>
    <row r="212" spans="1:206">
      <c r="A212" s="4">
        <v>50</v>
      </c>
      <c r="B212" s="4">
        <v>0</v>
      </c>
      <c r="C212" s="4">
        <v>0</v>
      </c>
      <c r="D212" s="4">
        <v>1</v>
      </c>
      <c r="E212" s="4">
        <v>201</v>
      </c>
      <c r="F212" s="4">
        <f>ROUND(Source!O210,O212)</f>
        <v>38599.56</v>
      </c>
      <c r="G212" s="4" t="s">
        <v>54</v>
      </c>
      <c r="H212" s="4" t="s">
        <v>55</v>
      </c>
      <c r="I212" s="4"/>
      <c r="J212" s="4"/>
      <c r="K212" s="4">
        <v>201</v>
      </c>
      <c r="L212" s="4">
        <v>1</v>
      </c>
      <c r="M212" s="4">
        <v>3</v>
      </c>
      <c r="N212" s="4" t="s">
        <v>3</v>
      </c>
      <c r="O212" s="4">
        <v>2</v>
      </c>
      <c r="P212" s="4"/>
      <c r="Q212" s="4"/>
      <c r="R212" s="4"/>
      <c r="S212" s="4"/>
      <c r="T212" s="4"/>
      <c r="U212" s="4"/>
      <c r="V212" s="4"/>
      <c r="W212" s="4">
        <v>38599.56</v>
      </c>
      <c r="X212" s="4">
        <v>1</v>
      </c>
      <c r="Y212" s="4">
        <v>38599.56</v>
      </c>
      <c r="Z212" s="4"/>
      <c r="AA212" s="4"/>
      <c r="AB212" s="4"/>
    </row>
    <row r="213" spans="1:206">
      <c r="A213" s="4">
        <v>50</v>
      </c>
      <c r="B213" s="4">
        <v>0</v>
      </c>
      <c r="C213" s="4">
        <v>0</v>
      </c>
      <c r="D213" s="4">
        <v>1</v>
      </c>
      <c r="E213" s="4">
        <v>202</v>
      </c>
      <c r="F213" s="4">
        <f>ROUND(Source!P210,O213)</f>
        <v>25837.88</v>
      </c>
      <c r="G213" s="4" t="s">
        <v>56</v>
      </c>
      <c r="H213" s="4" t="s">
        <v>57</v>
      </c>
      <c r="I213" s="4"/>
      <c r="J213" s="4"/>
      <c r="K213" s="4">
        <v>202</v>
      </c>
      <c r="L213" s="4">
        <v>2</v>
      </c>
      <c r="M213" s="4">
        <v>3</v>
      </c>
      <c r="N213" s="4" t="s">
        <v>3</v>
      </c>
      <c r="O213" s="4">
        <v>2</v>
      </c>
      <c r="P213" s="4"/>
      <c r="Q213" s="4"/>
      <c r="R213" s="4"/>
      <c r="S213" s="4"/>
      <c r="T213" s="4"/>
      <c r="U213" s="4"/>
      <c r="V213" s="4"/>
      <c r="W213" s="4">
        <v>25837.88</v>
      </c>
      <c r="X213" s="4">
        <v>1</v>
      </c>
      <c r="Y213" s="4">
        <v>25837.88</v>
      </c>
      <c r="Z213" s="4"/>
      <c r="AA213" s="4"/>
      <c r="AB213" s="4"/>
    </row>
    <row r="214" spans="1:206">
      <c r="A214" s="4">
        <v>50</v>
      </c>
      <c r="B214" s="4">
        <v>0</v>
      </c>
      <c r="C214" s="4">
        <v>0</v>
      </c>
      <c r="D214" s="4">
        <v>1</v>
      </c>
      <c r="E214" s="4">
        <v>222</v>
      </c>
      <c r="F214" s="4">
        <f>ROUND(Source!AO210,O214)</f>
        <v>0</v>
      </c>
      <c r="G214" s="4" t="s">
        <v>58</v>
      </c>
      <c r="H214" s="4" t="s">
        <v>59</v>
      </c>
      <c r="I214" s="4"/>
      <c r="J214" s="4"/>
      <c r="K214" s="4">
        <v>222</v>
      </c>
      <c r="L214" s="4">
        <v>3</v>
      </c>
      <c r="M214" s="4">
        <v>3</v>
      </c>
      <c r="N214" s="4" t="s">
        <v>3</v>
      </c>
      <c r="O214" s="4">
        <v>2</v>
      </c>
      <c r="P214" s="4"/>
      <c r="Q214" s="4"/>
      <c r="R214" s="4"/>
      <c r="S214" s="4"/>
      <c r="T214" s="4"/>
      <c r="U214" s="4"/>
      <c r="V214" s="4"/>
      <c r="W214" s="4">
        <v>0</v>
      </c>
      <c r="X214" s="4">
        <v>1</v>
      </c>
      <c r="Y214" s="4">
        <v>0</v>
      </c>
      <c r="Z214" s="4"/>
      <c r="AA214" s="4"/>
      <c r="AB214" s="4"/>
    </row>
    <row r="215" spans="1:206">
      <c r="A215" s="4">
        <v>50</v>
      </c>
      <c r="B215" s="4">
        <v>0</v>
      </c>
      <c r="C215" s="4">
        <v>0</v>
      </c>
      <c r="D215" s="4">
        <v>1</v>
      </c>
      <c r="E215" s="4">
        <v>225</v>
      </c>
      <c r="F215" s="4">
        <f>ROUND(Source!AV210,O215)</f>
        <v>25837.88</v>
      </c>
      <c r="G215" s="4" t="s">
        <v>60</v>
      </c>
      <c r="H215" s="4" t="s">
        <v>61</v>
      </c>
      <c r="I215" s="4"/>
      <c r="J215" s="4"/>
      <c r="K215" s="4">
        <v>225</v>
      </c>
      <c r="L215" s="4">
        <v>4</v>
      </c>
      <c r="M215" s="4">
        <v>3</v>
      </c>
      <c r="N215" s="4" t="s">
        <v>3</v>
      </c>
      <c r="O215" s="4">
        <v>2</v>
      </c>
      <c r="P215" s="4"/>
      <c r="Q215" s="4"/>
      <c r="R215" s="4"/>
      <c r="S215" s="4"/>
      <c r="T215" s="4"/>
      <c r="U215" s="4"/>
      <c r="V215" s="4"/>
      <c r="W215" s="4">
        <v>25837.88</v>
      </c>
      <c r="X215" s="4">
        <v>1</v>
      </c>
      <c r="Y215" s="4">
        <v>25837.88</v>
      </c>
      <c r="Z215" s="4"/>
      <c r="AA215" s="4"/>
      <c r="AB215" s="4"/>
    </row>
    <row r="216" spans="1:206">
      <c r="A216" s="4">
        <v>50</v>
      </c>
      <c r="B216" s="4">
        <v>0</v>
      </c>
      <c r="C216" s="4">
        <v>0</v>
      </c>
      <c r="D216" s="4">
        <v>1</v>
      </c>
      <c r="E216" s="4">
        <v>226</v>
      </c>
      <c r="F216" s="4">
        <f>ROUND(Source!AW210,O216)</f>
        <v>25837.88</v>
      </c>
      <c r="G216" s="4" t="s">
        <v>62</v>
      </c>
      <c r="H216" s="4" t="s">
        <v>63</v>
      </c>
      <c r="I216" s="4"/>
      <c r="J216" s="4"/>
      <c r="K216" s="4">
        <v>226</v>
      </c>
      <c r="L216" s="4">
        <v>5</v>
      </c>
      <c r="M216" s="4">
        <v>3</v>
      </c>
      <c r="N216" s="4" t="s">
        <v>3</v>
      </c>
      <c r="O216" s="4">
        <v>2</v>
      </c>
      <c r="P216" s="4"/>
      <c r="Q216" s="4"/>
      <c r="R216" s="4"/>
      <c r="S216" s="4"/>
      <c r="T216" s="4"/>
      <c r="U216" s="4"/>
      <c r="V216" s="4"/>
      <c r="W216" s="4">
        <v>25837.88</v>
      </c>
      <c r="X216" s="4">
        <v>1</v>
      </c>
      <c r="Y216" s="4">
        <v>25837.88</v>
      </c>
      <c r="Z216" s="4"/>
      <c r="AA216" s="4"/>
      <c r="AB216" s="4"/>
    </row>
    <row r="217" spans="1:206">
      <c r="A217" s="4">
        <v>50</v>
      </c>
      <c r="B217" s="4">
        <v>0</v>
      </c>
      <c r="C217" s="4">
        <v>0</v>
      </c>
      <c r="D217" s="4">
        <v>1</v>
      </c>
      <c r="E217" s="4">
        <v>227</v>
      </c>
      <c r="F217" s="4">
        <f>ROUND(Source!AX210,O217)</f>
        <v>0</v>
      </c>
      <c r="G217" s="4" t="s">
        <v>64</v>
      </c>
      <c r="H217" s="4" t="s">
        <v>65</v>
      </c>
      <c r="I217" s="4"/>
      <c r="J217" s="4"/>
      <c r="K217" s="4">
        <v>227</v>
      </c>
      <c r="L217" s="4">
        <v>6</v>
      </c>
      <c r="M217" s="4">
        <v>3</v>
      </c>
      <c r="N217" s="4" t="s">
        <v>3</v>
      </c>
      <c r="O217" s="4">
        <v>2</v>
      </c>
      <c r="P217" s="4"/>
      <c r="Q217" s="4"/>
      <c r="R217" s="4"/>
      <c r="S217" s="4"/>
      <c r="T217" s="4"/>
      <c r="U217" s="4"/>
      <c r="V217" s="4"/>
      <c r="W217" s="4">
        <v>0</v>
      </c>
      <c r="X217" s="4">
        <v>1</v>
      </c>
      <c r="Y217" s="4">
        <v>0</v>
      </c>
      <c r="Z217" s="4"/>
      <c r="AA217" s="4"/>
      <c r="AB217" s="4"/>
    </row>
    <row r="218" spans="1:206">
      <c r="A218" s="4">
        <v>50</v>
      </c>
      <c r="B218" s="4">
        <v>0</v>
      </c>
      <c r="C218" s="4">
        <v>0</v>
      </c>
      <c r="D218" s="4">
        <v>1</v>
      </c>
      <c r="E218" s="4">
        <v>228</v>
      </c>
      <c r="F218" s="4">
        <f>ROUND(Source!AY210,O218)</f>
        <v>25837.88</v>
      </c>
      <c r="G218" s="4" t="s">
        <v>66</v>
      </c>
      <c r="H218" s="4" t="s">
        <v>67</v>
      </c>
      <c r="I218" s="4"/>
      <c r="J218" s="4"/>
      <c r="K218" s="4">
        <v>228</v>
      </c>
      <c r="L218" s="4">
        <v>7</v>
      </c>
      <c r="M218" s="4">
        <v>3</v>
      </c>
      <c r="N218" s="4" t="s">
        <v>3</v>
      </c>
      <c r="O218" s="4">
        <v>2</v>
      </c>
      <c r="P218" s="4"/>
      <c r="Q218" s="4"/>
      <c r="R218" s="4"/>
      <c r="S218" s="4"/>
      <c r="T218" s="4"/>
      <c r="U218" s="4"/>
      <c r="V218" s="4"/>
      <c r="W218" s="4">
        <v>25837.88</v>
      </c>
      <c r="X218" s="4">
        <v>1</v>
      </c>
      <c r="Y218" s="4">
        <v>25837.88</v>
      </c>
      <c r="Z218" s="4"/>
      <c r="AA218" s="4"/>
      <c r="AB218" s="4"/>
    </row>
    <row r="219" spans="1:206">
      <c r="A219" s="4">
        <v>50</v>
      </c>
      <c r="B219" s="4">
        <v>0</v>
      </c>
      <c r="C219" s="4">
        <v>0</v>
      </c>
      <c r="D219" s="4">
        <v>1</v>
      </c>
      <c r="E219" s="4">
        <v>216</v>
      </c>
      <c r="F219" s="4">
        <f>ROUND(Source!AP210,O219)</f>
        <v>0</v>
      </c>
      <c r="G219" s="4" t="s">
        <v>68</v>
      </c>
      <c r="H219" s="4" t="s">
        <v>69</v>
      </c>
      <c r="I219" s="4"/>
      <c r="J219" s="4"/>
      <c r="K219" s="4">
        <v>216</v>
      </c>
      <c r="L219" s="4">
        <v>8</v>
      </c>
      <c r="M219" s="4">
        <v>3</v>
      </c>
      <c r="N219" s="4" t="s">
        <v>3</v>
      </c>
      <c r="O219" s="4">
        <v>2</v>
      </c>
      <c r="P219" s="4"/>
      <c r="Q219" s="4"/>
      <c r="R219" s="4"/>
      <c r="S219" s="4"/>
      <c r="T219" s="4"/>
      <c r="U219" s="4"/>
      <c r="V219" s="4"/>
      <c r="W219" s="4">
        <v>0</v>
      </c>
      <c r="X219" s="4">
        <v>1</v>
      </c>
      <c r="Y219" s="4">
        <v>0</v>
      </c>
      <c r="Z219" s="4"/>
      <c r="AA219" s="4"/>
      <c r="AB219" s="4"/>
    </row>
    <row r="220" spans="1:206">
      <c r="A220" s="4">
        <v>50</v>
      </c>
      <c r="B220" s="4">
        <v>0</v>
      </c>
      <c r="C220" s="4">
        <v>0</v>
      </c>
      <c r="D220" s="4">
        <v>1</v>
      </c>
      <c r="E220" s="4">
        <v>223</v>
      </c>
      <c r="F220" s="4">
        <f>ROUND(Source!AQ210,O220)</f>
        <v>0</v>
      </c>
      <c r="G220" s="4" t="s">
        <v>70</v>
      </c>
      <c r="H220" s="4" t="s">
        <v>71</v>
      </c>
      <c r="I220" s="4"/>
      <c r="J220" s="4"/>
      <c r="K220" s="4">
        <v>223</v>
      </c>
      <c r="L220" s="4">
        <v>9</v>
      </c>
      <c r="M220" s="4">
        <v>3</v>
      </c>
      <c r="N220" s="4" t="s">
        <v>3</v>
      </c>
      <c r="O220" s="4">
        <v>2</v>
      </c>
      <c r="P220" s="4"/>
      <c r="Q220" s="4"/>
      <c r="R220" s="4"/>
      <c r="S220" s="4"/>
      <c r="T220" s="4"/>
      <c r="U220" s="4"/>
      <c r="V220" s="4"/>
      <c r="W220" s="4">
        <v>0</v>
      </c>
      <c r="X220" s="4">
        <v>1</v>
      </c>
      <c r="Y220" s="4">
        <v>0</v>
      </c>
      <c r="Z220" s="4"/>
      <c r="AA220" s="4"/>
      <c r="AB220" s="4"/>
    </row>
    <row r="221" spans="1:206">
      <c r="A221" s="4">
        <v>50</v>
      </c>
      <c r="B221" s="4">
        <v>0</v>
      </c>
      <c r="C221" s="4">
        <v>0</v>
      </c>
      <c r="D221" s="4">
        <v>1</v>
      </c>
      <c r="E221" s="4">
        <v>229</v>
      </c>
      <c r="F221" s="4">
        <f>ROUND(Source!AZ210,O221)</f>
        <v>0</v>
      </c>
      <c r="G221" s="4" t="s">
        <v>72</v>
      </c>
      <c r="H221" s="4" t="s">
        <v>73</v>
      </c>
      <c r="I221" s="4"/>
      <c r="J221" s="4"/>
      <c r="K221" s="4">
        <v>229</v>
      </c>
      <c r="L221" s="4">
        <v>10</v>
      </c>
      <c r="M221" s="4">
        <v>3</v>
      </c>
      <c r="N221" s="4" t="s">
        <v>3</v>
      </c>
      <c r="O221" s="4">
        <v>2</v>
      </c>
      <c r="P221" s="4"/>
      <c r="Q221" s="4"/>
      <c r="R221" s="4"/>
      <c r="S221" s="4"/>
      <c r="T221" s="4"/>
      <c r="U221" s="4"/>
      <c r="V221" s="4"/>
      <c r="W221" s="4">
        <v>0</v>
      </c>
      <c r="X221" s="4">
        <v>1</v>
      </c>
      <c r="Y221" s="4">
        <v>0</v>
      </c>
      <c r="Z221" s="4"/>
      <c r="AA221" s="4"/>
      <c r="AB221" s="4"/>
    </row>
    <row r="222" spans="1:206">
      <c r="A222" s="4">
        <v>50</v>
      </c>
      <c r="B222" s="4">
        <v>0</v>
      </c>
      <c r="C222" s="4">
        <v>0</v>
      </c>
      <c r="D222" s="4">
        <v>1</v>
      </c>
      <c r="E222" s="4">
        <v>203</v>
      </c>
      <c r="F222" s="4">
        <f>ROUND(Source!Q210,O222)</f>
        <v>2325.9</v>
      </c>
      <c r="G222" s="4" t="s">
        <v>74</v>
      </c>
      <c r="H222" s="4" t="s">
        <v>75</v>
      </c>
      <c r="I222" s="4"/>
      <c r="J222" s="4"/>
      <c r="K222" s="4">
        <v>203</v>
      </c>
      <c r="L222" s="4">
        <v>11</v>
      </c>
      <c r="M222" s="4">
        <v>3</v>
      </c>
      <c r="N222" s="4" t="s">
        <v>3</v>
      </c>
      <c r="O222" s="4">
        <v>2</v>
      </c>
      <c r="P222" s="4"/>
      <c r="Q222" s="4"/>
      <c r="R222" s="4"/>
      <c r="S222" s="4"/>
      <c r="T222" s="4"/>
      <c r="U222" s="4"/>
      <c r="V222" s="4"/>
      <c r="W222" s="4">
        <v>2325.9</v>
      </c>
      <c r="X222" s="4">
        <v>1</v>
      </c>
      <c r="Y222" s="4">
        <v>2325.9</v>
      </c>
      <c r="Z222" s="4"/>
      <c r="AA222" s="4"/>
      <c r="AB222" s="4"/>
    </row>
    <row r="223" spans="1:206">
      <c r="A223" s="4">
        <v>50</v>
      </c>
      <c r="B223" s="4">
        <v>0</v>
      </c>
      <c r="C223" s="4">
        <v>0</v>
      </c>
      <c r="D223" s="4">
        <v>1</v>
      </c>
      <c r="E223" s="4">
        <v>231</v>
      </c>
      <c r="F223" s="4">
        <f>ROUND(Source!BB210,O223)</f>
        <v>0</v>
      </c>
      <c r="G223" s="4" t="s">
        <v>76</v>
      </c>
      <c r="H223" s="4" t="s">
        <v>77</v>
      </c>
      <c r="I223" s="4"/>
      <c r="J223" s="4"/>
      <c r="K223" s="4">
        <v>231</v>
      </c>
      <c r="L223" s="4">
        <v>12</v>
      </c>
      <c r="M223" s="4">
        <v>3</v>
      </c>
      <c r="N223" s="4" t="s">
        <v>3</v>
      </c>
      <c r="O223" s="4">
        <v>2</v>
      </c>
      <c r="P223" s="4"/>
      <c r="Q223" s="4"/>
      <c r="R223" s="4"/>
      <c r="S223" s="4"/>
      <c r="T223" s="4"/>
      <c r="U223" s="4"/>
      <c r="V223" s="4"/>
      <c r="W223" s="4">
        <v>0</v>
      </c>
      <c r="X223" s="4">
        <v>1</v>
      </c>
      <c r="Y223" s="4">
        <v>0</v>
      </c>
      <c r="Z223" s="4"/>
      <c r="AA223" s="4"/>
      <c r="AB223" s="4"/>
    </row>
    <row r="224" spans="1:206">
      <c r="A224" s="4">
        <v>50</v>
      </c>
      <c r="B224" s="4">
        <v>0</v>
      </c>
      <c r="C224" s="4">
        <v>0</v>
      </c>
      <c r="D224" s="4">
        <v>1</v>
      </c>
      <c r="E224" s="4">
        <v>204</v>
      </c>
      <c r="F224" s="4">
        <f>ROUND(Source!R210,O224)</f>
        <v>1344.46</v>
      </c>
      <c r="G224" s="4" t="s">
        <v>78</v>
      </c>
      <c r="H224" s="4" t="s">
        <v>79</v>
      </c>
      <c r="I224" s="4"/>
      <c r="J224" s="4"/>
      <c r="K224" s="4">
        <v>204</v>
      </c>
      <c r="L224" s="4">
        <v>13</v>
      </c>
      <c r="M224" s="4">
        <v>3</v>
      </c>
      <c r="N224" s="4" t="s">
        <v>3</v>
      </c>
      <c r="O224" s="4">
        <v>2</v>
      </c>
      <c r="P224" s="4"/>
      <c r="Q224" s="4"/>
      <c r="R224" s="4"/>
      <c r="S224" s="4"/>
      <c r="T224" s="4"/>
      <c r="U224" s="4"/>
      <c r="V224" s="4"/>
      <c r="W224" s="4">
        <v>1344.46</v>
      </c>
      <c r="X224" s="4">
        <v>1</v>
      </c>
      <c r="Y224" s="4">
        <v>1344.46</v>
      </c>
      <c r="Z224" s="4"/>
      <c r="AA224" s="4"/>
      <c r="AB224" s="4"/>
    </row>
    <row r="225" spans="1:88">
      <c r="A225" s="4">
        <v>50</v>
      </c>
      <c r="B225" s="4">
        <v>0</v>
      </c>
      <c r="C225" s="4">
        <v>0</v>
      </c>
      <c r="D225" s="4">
        <v>1</v>
      </c>
      <c r="E225" s="4">
        <v>205</v>
      </c>
      <c r="F225" s="4">
        <f>ROUND(Source!S210,O225)</f>
        <v>10435.780000000001</v>
      </c>
      <c r="G225" s="4" t="s">
        <v>80</v>
      </c>
      <c r="H225" s="4" t="s">
        <v>81</v>
      </c>
      <c r="I225" s="4"/>
      <c r="J225" s="4"/>
      <c r="K225" s="4">
        <v>205</v>
      </c>
      <c r="L225" s="4">
        <v>14</v>
      </c>
      <c r="M225" s="4">
        <v>3</v>
      </c>
      <c r="N225" s="4" t="s">
        <v>3</v>
      </c>
      <c r="O225" s="4">
        <v>2</v>
      </c>
      <c r="P225" s="4"/>
      <c r="Q225" s="4"/>
      <c r="R225" s="4"/>
      <c r="S225" s="4"/>
      <c r="T225" s="4"/>
      <c r="U225" s="4"/>
      <c r="V225" s="4"/>
      <c r="W225" s="4">
        <v>10435.780000000001</v>
      </c>
      <c r="X225" s="4">
        <v>1</v>
      </c>
      <c r="Y225" s="4">
        <v>10435.780000000001</v>
      </c>
      <c r="Z225" s="4"/>
      <c r="AA225" s="4"/>
      <c r="AB225" s="4"/>
    </row>
    <row r="226" spans="1:88">
      <c r="A226" s="4">
        <v>50</v>
      </c>
      <c r="B226" s="4">
        <v>0</v>
      </c>
      <c r="C226" s="4">
        <v>0</v>
      </c>
      <c r="D226" s="4">
        <v>1</v>
      </c>
      <c r="E226" s="4">
        <v>232</v>
      </c>
      <c r="F226" s="4">
        <f>ROUND(Source!BC210,O226)</f>
        <v>0</v>
      </c>
      <c r="G226" s="4" t="s">
        <v>82</v>
      </c>
      <c r="H226" s="4" t="s">
        <v>83</v>
      </c>
      <c r="I226" s="4"/>
      <c r="J226" s="4"/>
      <c r="K226" s="4">
        <v>232</v>
      </c>
      <c r="L226" s="4">
        <v>15</v>
      </c>
      <c r="M226" s="4">
        <v>3</v>
      </c>
      <c r="N226" s="4" t="s">
        <v>3</v>
      </c>
      <c r="O226" s="4">
        <v>2</v>
      </c>
      <c r="P226" s="4"/>
      <c r="Q226" s="4"/>
      <c r="R226" s="4"/>
      <c r="S226" s="4"/>
      <c r="T226" s="4"/>
      <c r="U226" s="4"/>
      <c r="V226" s="4"/>
      <c r="W226" s="4">
        <v>0</v>
      </c>
      <c r="X226" s="4">
        <v>1</v>
      </c>
      <c r="Y226" s="4">
        <v>0</v>
      </c>
      <c r="Z226" s="4"/>
      <c r="AA226" s="4"/>
      <c r="AB226" s="4"/>
    </row>
    <row r="227" spans="1:88">
      <c r="A227" s="4">
        <v>50</v>
      </c>
      <c r="B227" s="4">
        <v>0</v>
      </c>
      <c r="C227" s="4">
        <v>0</v>
      </c>
      <c r="D227" s="4">
        <v>1</v>
      </c>
      <c r="E227" s="4">
        <v>214</v>
      </c>
      <c r="F227" s="4">
        <f>ROUND(Source!AS210,O227)</f>
        <v>56789.15</v>
      </c>
      <c r="G227" s="4" t="s">
        <v>84</v>
      </c>
      <c r="H227" s="4" t="s">
        <v>85</v>
      </c>
      <c r="I227" s="4"/>
      <c r="J227" s="4"/>
      <c r="K227" s="4">
        <v>214</v>
      </c>
      <c r="L227" s="4">
        <v>16</v>
      </c>
      <c r="M227" s="4">
        <v>3</v>
      </c>
      <c r="N227" s="4" t="s">
        <v>3</v>
      </c>
      <c r="O227" s="4">
        <v>2</v>
      </c>
      <c r="P227" s="4"/>
      <c r="Q227" s="4"/>
      <c r="R227" s="4"/>
      <c r="S227" s="4"/>
      <c r="T227" s="4"/>
      <c r="U227" s="4"/>
      <c r="V227" s="4"/>
      <c r="W227" s="4">
        <v>56789.15</v>
      </c>
      <c r="X227" s="4">
        <v>1</v>
      </c>
      <c r="Y227" s="4">
        <v>56789.15</v>
      </c>
      <c r="Z227" s="4"/>
      <c r="AA227" s="4"/>
      <c r="AB227" s="4"/>
    </row>
    <row r="228" spans="1:88">
      <c r="A228" s="4">
        <v>50</v>
      </c>
      <c r="B228" s="4">
        <v>0</v>
      </c>
      <c r="C228" s="4">
        <v>0</v>
      </c>
      <c r="D228" s="4">
        <v>1</v>
      </c>
      <c r="E228" s="4">
        <v>215</v>
      </c>
      <c r="F228" s="4">
        <f>ROUND(Source!AT210,O228)</f>
        <v>0</v>
      </c>
      <c r="G228" s="4" t="s">
        <v>86</v>
      </c>
      <c r="H228" s="4" t="s">
        <v>87</v>
      </c>
      <c r="I228" s="4"/>
      <c r="J228" s="4"/>
      <c r="K228" s="4">
        <v>215</v>
      </c>
      <c r="L228" s="4">
        <v>17</v>
      </c>
      <c r="M228" s="4">
        <v>3</v>
      </c>
      <c r="N228" s="4" t="s">
        <v>3</v>
      </c>
      <c r="O228" s="4">
        <v>2</v>
      </c>
      <c r="P228" s="4"/>
      <c r="Q228" s="4"/>
      <c r="R228" s="4"/>
      <c r="S228" s="4"/>
      <c r="T228" s="4"/>
      <c r="U228" s="4"/>
      <c r="V228" s="4"/>
      <c r="W228" s="4">
        <v>0</v>
      </c>
      <c r="X228" s="4">
        <v>1</v>
      </c>
      <c r="Y228" s="4">
        <v>0</v>
      </c>
      <c r="Z228" s="4"/>
      <c r="AA228" s="4"/>
      <c r="AB228" s="4"/>
    </row>
    <row r="229" spans="1:88">
      <c r="A229" s="4">
        <v>50</v>
      </c>
      <c r="B229" s="4">
        <v>0</v>
      </c>
      <c r="C229" s="4">
        <v>0</v>
      </c>
      <c r="D229" s="4">
        <v>1</v>
      </c>
      <c r="E229" s="4">
        <v>217</v>
      </c>
      <c r="F229" s="4">
        <f>ROUND(Source!AU210,O229)</f>
        <v>0</v>
      </c>
      <c r="G229" s="4" t="s">
        <v>88</v>
      </c>
      <c r="H229" s="4" t="s">
        <v>89</v>
      </c>
      <c r="I229" s="4"/>
      <c r="J229" s="4"/>
      <c r="K229" s="4">
        <v>217</v>
      </c>
      <c r="L229" s="4">
        <v>18</v>
      </c>
      <c r="M229" s="4">
        <v>3</v>
      </c>
      <c r="N229" s="4" t="s">
        <v>3</v>
      </c>
      <c r="O229" s="4">
        <v>2</v>
      </c>
      <c r="P229" s="4"/>
      <c r="Q229" s="4"/>
      <c r="R229" s="4"/>
      <c r="S229" s="4"/>
      <c r="T229" s="4"/>
      <c r="U229" s="4"/>
      <c r="V229" s="4"/>
      <c r="W229" s="4">
        <v>0</v>
      </c>
      <c r="X229" s="4">
        <v>1</v>
      </c>
      <c r="Y229" s="4">
        <v>0</v>
      </c>
      <c r="Z229" s="4"/>
      <c r="AA229" s="4"/>
      <c r="AB229" s="4"/>
    </row>
    <row r="230" spans="1:88">
      <c r="A230" s="4">
        <v>50</v>
      </c>
      <c r="B230" s="4">
        <v>0</v>
      </c>
      <c r="C230" s="4">
        <v>0</v>
      </c>
      <c r="D230" s="4">
        <v>1</v>
      </c>
      <c r="E230" s="4">
        <v>230</v>
      </c>
      <c r="F230" s="4">
        <f>ROUND(Source!BA210,O230)</f>
        <v>0</v>
      </c>
      <c r="G230" s="4" t="s">
        <v>90</v>
      </c>
      <c r="H230" s="4" t="s">
        <v>91</v>
      </c>
      <c r="I230" s="4"/>
      <c r="J230" s="4"/>
      <c r="K230" s="4">
        <v>230</v>
      </c>
      <c r="L230" s="4">
        <v>19</v>
      </c>
      <c r="M230" s="4">
        <v>3</v>
      </c>
      <c r="N230" s="4" t="s">
        <v>3</v>
      </c>
      <c r="O230" s="4">
        <v>2</v>
      </c>
      <c r="P230" s="4"/>
      <c r="Q230" s="4"/>
      <c r="R230" s="4"/>
      <c r="S230" s="4"/>
      <c r="T230" s="4"/>
      <c r="U230" s="4"/>
      <c r="V230" s="4"/>
      <c r="W230" s="4">
        <v>0</v>
      </c>
      <c r="X230" s="4">
        <v>1</v>
      </c>
      <c r="Y230" s="4">
        <v>0</v>
      </c>
      <c r="Z230" s="4"/>
      <c r="AA230" s="4"/>
      <c r="AB230" s="4"/>
    </row>
    <row r="231" spans="1:88">
      <c r="A231" s="4">
        <v>50</v>
      </c>
      <c r="B231" s="4">
        <v>0</v>
      </c>
      <c r="C231" s="4">
        <v>0</v>
      </c>
      <c r="D231" s="4">
        <v>1</v>
      </c>
      <c r="E231" s="4">
        <v>206</v>
      </c>
      <c r="F231" s="4">
        <f>ROUND(Source!T210,O231)</f>
        <v>0</v>
      </c>
      <c r="G231" s="4" t="s">
        <v>92</v>
      </c>
      <c r="H231" s="4" t="s">
        <v>93</v>
      </c>
      <c r="I231" s="4"/>
      <c r="J231" s="4"/>
      <c r="K231" s="4">
        <v>206</v>
      </c>
      <c r="L231" s="4">
        <v>20</v>
      </c>
      <c r="M231" s="4">
        <v>3</v>
      </c>
      <c r="N231" s="4" t="s">
        <v>3</v>
      </c>
      <c r="O231" s="4">
        <v>2</v>
      </c>
      <c r="P231" s="4"/>
      <c r="Q231" s="4"/>
      <c r="R231" s="4"/>
      <c r="S231" s="4"/>
      <c r="T231" s="4"/>
      <c r="U231" s="4"/>
      <c r="V231" s="4"/>
      <c r="W231" s="4">
        <v>0</v>
      </c>
      <c r="X231" s="4">
        <v>1</v>
      </c>
      <c r="Y231" s="4">
        <v>0</v>
      </c>
      <c r="Z231" s="4"/>
      <c r="AA231" s="4"/>
      <c r="AB231" s="4"/>
    </row>
    <row r="232" spans="1:88">
      <c r="A232" s="4">
        <v>50</v>
      </c>
      <c r="B232" s="4">
        <v>0</v>
      </c>
      <c r="C232" s="4">
        <v>0</v>
      </c>
      <c r="D232" s="4">
        <v>1</v>
      </c>
      <c r="E232" s="4">
        <v>207</v>
      </c>
      <c r="F232" s="4">
        <f>Source!U210</f>
        <v>34.770054999999999</v>
      </c>
      <c r="G232" s="4" t="s">
        <v>94</v>
      </c>
      <c r="H232" s="4" t="s">
        <v>95</v>
      </c>
      <c r="I232" s="4"/>
      <c r="J232" s="4"/>
      <c r="K232" s="4">
        <v>207</v>
      </c>
      <c r="L232" s="4">
        <v>21</v>
      </c>
      <c r="M232" s="4">
        <v>3</v>
      </c>
      <c r="N232" s="4" t="s">
        <v>3</v>
      </c>
      <c r="O232" s="4">
        <v>-1</v>
      </c>
      <c r="P232" s="4"/>
      <c r="Q232" s="4"/>
      <c r="R232" s="4"/>
      <c r="S232" s="4"/>
      <c r="T232" s="4"/>
      <c r="U232" s="4"/>
      <c r="V232" s="4"/>
      <c r="W232" s="4">
        <v>34.770054999999999</v>
      </c>
      <c r="X232" s="4">
        <v>1</v>
      </c>
      <c r="Y232" s="4">
        <v>34.770054999999999</v>
      </c>
      <c r="Z232" s="4"/>
      <c r="AA232" s="4"/>
      <c r="AB232" s="4"/>
    </row>
    <row r="233" spans="1:88">
      <c r="A233" s="4">
        <v>50</v>
      </c>
      <c r="B233" s="4">
        <v>0</v>
      </c>
      <c r="C233" s="4">
        <v>0</v>
      </c>
      <c r="D233" s="4">
        <v>1</v>
      </c>
      <c r="E233" s="4">
        <v>208</v>
      </c>
      <c r="F233" s="4">
        <f>Source!V210</f>
        <v>3.9545020000000002</v>
      </c>
      <c r="G233" s="4" t="s">
        <v>96</v>
      </c>
      <c r="H233" s="4" t="s">
        <v>97</v>
      </c>
      <c r="I233" s="4"/>
      <c r="J233" s="4"/>
      <c r="K233" s="4">
        <v>208</v>
      </c>
      <c r="L233" s="4">
        <v>22</v>
      </c>
      <c r="M233" s="4">
        <v>3</v>
      </c>
      <c r="N233" s="4" t="s">
        <v>3</v>
      </c>
      <c r="O233" s="4">
        <v>-1</v>
      </c>
      <c r="P233" s="4"/>
      <c r="Q233" s="4"/>
      <c r="R233" s="4"/>
      <c r="S233" s="4"/>
      <c r="T233" s="4"/>
      <c r="U233" s="4"/>
      <c r="V233" s="4"/>
      <c r="W233" s="4">
        <v>3.9545020000000002</v>
      </c>
      <c r="X233" s="4">
        <v>1</v>
      </c>
      <c r="Y233" s="4">
        <v>3.9545020000000002</v>
      </c>
      <c r="Z233" s="4"/>
      <c r="AA233" s="4"/>
      <c r="AB233" s="4"/>
    </row>
    <row r="234" spans="1:88">
      <c r="A234" s="4">
        <v>50</v>
      </c>
      <c r="B234" s="4">
        <v>0</v>
      </c>
      <c r="C234" s="4">
        <v>0</v>
      </c>
      <c r="D234" s="4">
        <v>1</v>
      </c>
      <c r="E234" s="4">
        <v>209</v>
      </c>
      <c r="F234" s="4">
        <f>ROUND(Source!W210,O234)</f>
        <v>0.53</v>
      </c>
      <c r="G234" s="4" t="s">
        <v>98</v>
      </c>
      <c r="H234" s="4" t="s">
        <v>99</v>
      </c>
      <c r="I234" s="4"/>
      <c r="J234" s="4"/>
      <c r="K234" s="4">
        <v>209</v>
      </c>
      <c r="L234" s="4">
        <v>23</v>
      </c>
      <c r="M234" s="4">
        <v>3</v>
      </c>
      <c r="N234" s="4" t="s">
        <v>3</v>
      </c>
      <c r="O234" s="4">
        <v>2</v>
      </c>
      <c r="P234" s="4"/>
      <c r="Q234" s="4"/>
      <c r="R234" s="4"/>
      <c r="S234" s="4"/>
      <c r="T234" s="4"/>
      <c r="U234" s="4"/>
      <c r="V234" s="4"/>
      <c r="W234" s="4">
        <v>0.53</v>
      </c>
      <c r="X234" s="4">
        <v>1</v>
      </c>
      <c r="Y234" s="4">
        <v>0.53</v>
      </c>
      <c r="Z234" s="4"/>
      <c r="AA234" s="4"/>
      <c r="AB234" s="4"/>
    </row>
    <row r="235" spans="1:88">
      <c r="A235" s="4">
        <v>50</v>
      </c>
      <c r="B235" s="4">
        <v>0</v>
      </c>
      <c r="C235" s="4">
        <v>0</v>
      </c>
      <c r="D235" s="4">
        <v>1</v>
      </c>
      <c r="E235" s="4">
        <v>233</v>
      </c>
      <c r="F235" s="4">
        <f>ROUND(Source!BD210,O235)</f>
        <v>0</v>
      </c>
      <c r="G235" s="4" t="s">
        <v>100</v>
      </c>
      <c r="H235" s="4" t="s">
        <v>101</v>
      </c>
      <c r="I235" s="4"/>
      <c r="J235" s="4"/>
      <c r="K235" s="4">
        <v>233</v>
      </c>
      <c r="L235" s="4">
        <v>24</v>
      </c>
      <c r="M235" s="4">
        <v>3</v>
      </c>
      <c r="N235" s="4" t="s">
        <v>3</v>
      </c>
      <c r="O235" s="4">
        <v>2</v>
      </c>
      <c r="P235" s="4"/>
      <c r="Q235" s="4"/>
      <c r="R235" s="4"/>
      <c r="S235" s="4"/>
      <c r="T235" s="4"/>
      <c r="U235" s="4"/>
      <c r="V235" s="4"/>
      <c r="W235" s="4">
        <v>0</v>
      </c>
      <c r="X235" s="4">
        <v>1</v>
      </c>
      <c r="Y235" s="4">
        <v>0</v>
      </c>
      <c r="Z235" s="4"/>
      <c r="AA235" s="4"/>
      <c r="AB235" s="4"/>
    </row>
    <row r="236" spans="1:88">
      <c r="A236" s="4">
        <v>50</v>
      </c>
      <c r="B236" s="4">
        <v>0</v>
      </c>
      <c r="C236" s="4">
        <v>0</v>
      </c>
      <c r="D236" s="4">
        <v>1</v>
      </c>
      <c r="E236" s="4">
        <v>210</v>
      </c>
      <c r="F236" s="4">
        <f>ROUND(Source!X210,O236)</f>
        <v>11785.24</v>
      </c>
      <c r="G236" s="4" t="s">
        <v>102</v>
      </c>
      <c r="H236" s="4" t="s">
        <v>103</v>
      </c>
      <c r="I236" s="4"/>
      <c r="J236" s="4"/>
      <c r="K236" s="4">
        <v>210</v>
      </c>
      <c r="L236" s="4">
        <v>25</v>
      </c>
      <c r="M236" s="4">
        <v>3</v>
      </c>
      <c r="N236" s="4" t="s">
        <v>3</v>
      </c>
      <c r="O236" s="4">
        <v>2</v>
      </c>
      <c r="P236" s="4"/>
      <c r="Q236" s="4"/>
      <c r="R236" s="4"/>
      <c r="S236" s="4"/>
      <c r="T236" s="4"/>
      <c r="U236" s="4"/>
      <c r="V236" s="4"/>
      <c r="W236" s="4">
        <v>11785.24</v>
      </c>
      <c r="X236" s="4">
        <v>1</v>
      </c>
      <c r="Y236" s="4">
        <v>11785.24</v>
      </c>
      <c r="Z236" s="4"/>
      <c r="AA236" s="4"/>
      <c r="AB236" s="4"/>
    </row>
    <row r="237" spans="1:88">
      <c r="A237" s="4">
        <v>50</v>
      </c>
      <c r="B237" s="4">
        <v>0</v>
      </c>
      <c r="C237" s="4">
        <v>0</v>
      </c>
      <c r="D237" s="4">
        <v>1</v>
      </c>
      <c r="E237" s="4">
        <v>211</v>
      </c>
      <c r="F237" s="4">
        <f>ROUND(Source!Y210,O237)</f>
        <v>6404.35</v>
      </c>
      <c r="G237" s="4" t="s">
        <v>104</v>
      </c>
      <c r="H237" s="4" t="s">
        <v>105</v>
      </c>
      <c r="I237" s="4"/>
      <c r="J237" s="4"/>
      <c r="K237" s="4">
        <v>211</v>
      </c>
      <c r="L237" s="4">
        <v>26</v>
      </c>
      <c r="M237" s="4">
        <v>3</v>
      </c>
      <c r="N237" s="4" t="s">
        <v>3</v>
      </c>
      <c r="O237" s="4">
        <v>2</v>
      </c>
      <c r="P237" s="4"/>
      <c r="Q237" s="4"/>
      <c r="R237" s="4"/>
      <c r="S237" s="4"/>
      <c r="T237" s="4"/>
      <c r="U237" s="4"/>
      <c r="V237" s="4"/>
      <c r="W237" s="4">
        <v>6404.35</v>
      </c>
      <c r="X237" s="4">
        <v>1</v>
      </c>
      <c r="Y237" s="4">
        <v>6404.35</v>
      </c>
      <c r="Z237" s="4"/>
      <c r="AA237" s="4"/>
      <c r="AB237" s="4"/>
    </row>
    <row r="238" spans="1:88">
      <c r="A238" s="4">
        <v>50</v>
      </c>
      <c r="B238" s="4">
        <v>0</v>
      </c>
      <c r="C238" s="4">
        <v>0</v>
      </c>
      <c r="D238" s="4">
        <v>1</v>
      </c>
      <c r="E238" s="4">
        <v>224</v>
      </c>
      <c r="F238" s="4">
        <f>ROUND(Source!AR210,O238)</f>
        <v>56789.15</v>
      </c>
      <c r="G238" s="4" t="s">
        <v>106</v>
      </c>
      <c r="H238" s="4" t="s">
        <v>107</v>
      </c>
      <c r="I238" s="4"/>
      <c r="J238" s="4"/>
      <c r="K238" s="4">
        <v>224</v>
      </c>
      <c r="L238" s="4">
        <v>27</v>
      </c>
      <c r="M238" s="4">
        <v>3</v>
      </c>
      <c r="N238" s="4" t="s">
        <v>3</v>
      </c>
      <c r="O238" s="4">
        <v>2</v>
      </c>
      <c r="P238" s="4"/>
      <c r="Q238" s="4"/>
      <c r="R238" s="4"/>
      <c r="S238" s="4"/>
      <c r="T238" s="4"/>
      <c r="U238" s="4"/>
      <c r="V238" s="4"/>
      <c r="W238" s="4">
        <v>56789.15</v>
      </c>
      <c r="X238" s="4">
        <v>1</v>
      </c>
      <c r="Y238" s="4">
        <v>56789.15</v>
      </c>
      <c r="Z238" s="4"/>
      <c r="AA238" s="4"/>
      <c r="AB238" s="4"/>
    </row>
    <row r="240" spans="1:88">
      <c r="A240" s="1">
        <v>4</v>
      </c>
      <c r="B240" s="1">
        <v>1</v>
      </c>
      <c r="C240" s="1"/>
      <c r="D240" s="1">
        <f>ROW(A254)</f>
        <v>254</v>
      </c>
      <c r="E240" s="1"/>
      <c r="F240" s="1" t="s">
        <v>13</v>
      </c>
      <c r="G240" s="1" t="s">
        <v>255</v>
      </c>
      <c r="H240" s="1" t="s">
        <v>3</v>
      </c>
      <c r="I240" s="1">
        <v>0</v>
      </c>
      <c r="J240" s="1"/>
      <c r="K240" s="1">
        <v>0</v>
      </c>
      <c r="L240" s="1"/>
      <c r="M240" s="1" t="s">
        <v>3</v>
      </c>
      <c r="N240" s="1"/>
      <c r="O240" s="1"/>
      <c r="P240" s="1"/>
      <c r="Q240" s="1"/>
      <c r="R240" s="1"/>
      <c r="S240" s="1">
        <v>0</v>
      </c>
      <c r="T240" s="1"/>
      <c r="U240" s="1" t="s">
        <v>3</v>
      </c>
      <c r="V240" s="1">
        <v>0</v>
      </c>
      <c r="W240" s="1"/>
      <c r="X240" s="1"/>
      <c r="Y240" s="1"/>
      <c r="Z240" s="1"/>
      <c r="AA240" s="1"/>
      <c r="AB240" s="1" t="s">
        <v>3</v>
      </c>
      <c r="AC240" s="1" t="s">
        <v>3</v>
      </c>
      <c r="AD240" s="1" t="s">
        <v>3</v>
      </c>
      <c r="AE240" s="1" t="s">
        <v>3</v>
      </c>
      <c r="AF240" s="1" t="s">
        <v>3</v>
      </c>
      <c r="AG240" s="1" t="s">
        <v>3</v>
      </c>
      <c r="AH240" s="1"/>
      <c r="AI240" s="1"/>
      <c r="AJ240" s="1"/>
      <c r="AK240" s="1"/>
      <c r="AL240" s="1"/>
      <c r="AM240" s="1"/>
      <c r="AN240" s="1"/>
      <c r="AO240" s="1"/>
      <c r="AP240" s="1" t="s">
        <v>3</v>
      </c>
      <c r="AQ240" s="1" t="s">
        <v>3</v>
      </c>
      <c r="AR240" s="1" t="s">
        <v>3</v>
      </c>
      <c r="AS240" s="1"/>
      <c r="AT240" s="1"/>
      <c r="AU240" s="1"/>
      <c r="AV240" s="1"/>
      <c r="AW240" s="1"/>
      <c r="AX240" s="1"/>
      <c r="AY240" s="1"/>
      <c r="AZ240" s="1" t="s">
        <v>3</v>
      </c>
      <c r="BA240" s="1"/>
      <c r="BB240" s="1" t="s">
        <v>3</v>
      </c>
      <c r="BC240" s="1" t="s">
        <v>3</v>
      </c>
      <c r="BD240" s="1" t="s">
        <v>3</v>
      </c>
      <c r="BE240" s="1" t="s">
        <v>3</v>
      </c>
      <c r="BF240" s="1" t="s">
        <v>3</v>
      </c>
      <c r="BG240" s="1" t="s">
        <v>3</v>
      </c>
      <c r="BH240" s="1" t="s">
        <v>3</v>
      </c>
      <c r="BI240" s="1" t="s">
        <v>3</v>
      </c>
      <c r="BJ240" s="1" t="s">
        <v>3</v>
      </c>
      <c r="BK240" s="1" t="s">
        <v>3</v>
      </c>
      <c r="BL240" s="1" t="s">
        <v>3</v>
      </c>
      <c r="BM240" s="1" t="s">
        <v>3</v>
      </c>
      <c r="BN240" s="1" t="s">
        <v>3</v>
      </c>
      <c r="BO240" s="1" t="s">
        <v>3</v>
      </c>
      <c r="BP240" s="1" t="s">
        <v>3</v>
      </c>
      <c r="BQ240" s="1"/>
      <c r="BR240" s="1"/>
      <c r="BS240" s="1"/>
      <c r="BT240" s="1"/>
      <c r="BU240" s="1"/>
      <c r="BV240" s="1"/>
      <c r="BW240" s="1"/>
      <c r="BX240" s="1">
        <v>0</v>
      </c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>
        <v>0</v>
      </c>
    </row>
    <row r="242" spans="1:245">
      <c r="A242" s="2">
        <v>52</v>
      </c>
      <c r="B242" s="2">
        <f t="shared" ref="B242:G242" si="173">B254</f>
        <v>1</v>
      </c>
      <c r="C242" s="2">
        <f t="shared" si="173"/>
        <v>4</v>
      </c>
      <c r="D242" s="2">
        <f t="shared" si="173"/>
        <v>240</v>
      </c>
      <c r="E242" s="2">
        <f t="shared" si="173"/>
        <v>0</v>
      </c>
      <c r="F242" s="2" t="str">
        <f t="shared" si="173"/>
        <v>Новый раздел</v>
      </c>
      <c r="G242" s="2" t="str">
        <f t="shared" si="173"/>
        <v>электромонтажные работы</v>
      </c>
      <c r="H242" s="2"/>
      <c r="I242" s="2"/>
      <c r="J242" s="2"/>
      <c r="K242" s="2"/>
      <c r="L242" s="2"/>
      <c r="M242" s="2"/>
      <c r="N242" s="2"/>
      <c r="O242" s="2">
        <f t="shared" ref="O242:AT242" si="174">O254</f>
        <v>6971.71</v>
      </c>
      <c r="P242" s="2">
        <f t="shared" si="174"/>
        <v>3594.37</v>
      </c>
      <c r="Q242" s="2">
        <f t="shared" si="174"/>
        <v>1903.52</v>
      </c>
      <c r="R242" s="2">
        <f t="shared" si="174"/>
        <v>5.39</v>
      </c>
      <c r="S242" s="2">
        <f t="shared" si="174"/>
        <v>1473.82</v>
      </c>
      <c r="T242" s="2">
        <f t="shared" si="174"/>
        <v>0</v>
      </c>
      <c r="U242" s="2">
        <f t="shared" si="174"/>
        <v>4.5699899999999998</v>
      </c>
      <c r="V242" s="2">
        <f t="shared" si="174"/>
        <v>1.1509999999999999E-2</v>
      </c>
      <c r="W242" s="2">
        <f t="shared" si="174"/>
        <v>0.53</v>
      </c>
      <c r="X242" s="2">
        <f t="shared" si="174"/>
        <v>1434.83</v>
      </c>
      <c r="Y242" s="2">
        <f t="shared" si="174"/>
        <v>754.4</v>
      </c>
      <c r="Z242" s="2">
        <f t="shared" si="174"/>
        <v>0</v>
      </c>
      <c r="AA242" s="2">
        <f t="shared" si="174"/>
        <v>0</v>
      </c>
      <c r="AB242" s="2">
        <f t="shared" si="174"/>
        <v>6971.71</v>
      </c>
      <c r="AC242" s="2">
        <f t="shared" si="174"/>
        <v>3594.37</v>
      </c>
      <c r="AD242" s="2">
        <f t="shared" si="174"/>
        <v>1903.52</v>
      </c>
      <c r="AE242" s="2">
        <f t="shared" si="174"/>
        <v>5.39</v>
      </c>
      <c r="AF242" s="2">
        <f t="shared" si="174"/>
        <v>1473.82</v>
      </c>
      <c r="AG242" s="2">
        <f t="shared" si="174"/>
        <v>0</v>
      </c>
      <c r="AH242" s="2">
        <f t="shared" si="174"/>
        <v>4.5699899999999998</v>
      </c>
      <c r="AI242" s="2">
        <f t="shared" si="174"/>
        <v>1.1509999999999999E-2</v>
      </c>
      <c r="AJ242" s="2">
        <f t="shared" si="174"/>
        <v>0.53</v>
      </c>
      <c r="AK242" s="2">
        <f t="shared" si="174"/>
        <v>1434.83</v>
      </c>
      <c r="AL242" s="2">
        <f t="shared" si="174"/>
        <v>754.4</v>
      </c>
      <c r="AM242" s="2">
        <f t="shared" si="174"/>
        <v>0</v>
      </c>
      <c r="AN242" s="2">
        <f t="shared" si="174"/>
        <v>0</v>
      </c>
      <c r="AO242" s="2">
        <f t="shared" si="174"/>
        <v>0</v>
      </c>
      <c r="AP242" s="2">
        <f t="shared" si="174"/>
        <v>0</v>
      </c>
      <c r="AQ242" s="2">
        <f t="shared" si="174"/>
        <v>0</v>
      </c>
      <c r="AR242" s="2">
        <f t="shared" si="174"/>
        <v>9160.94</v>
      </c>
      <c r="AS242" s="2">
        <f t="shared" si="174"/>
        <v>1878.66</v>
      </c>
      <c r="AT242" s="2">
        <f t="shared" si="174"/>
        <v>7282.28</v>
      </c>
      <c r="AU242" s="2">
        <f t="shared" ref="AU242:BZ242" si="175">AU254</f>
        <v>0</v>
      </c>
      <c r="AV242" s="2">
        <f t="shared" si="175"/>
        <v>3594.37</v>
      </c>
      <c r="AW242" s="2">
        <f t="shared" si="175"/>
        <v>3594.37</v>
      </c>
      <c r="AX242" s="2">
        <f t="shared" si="175"/>
        <v>0</v>
      </c>
      <c r="AY242" s="2">
        <f t="shared" si="175"/>
        <v>3594.37</v>
      </c>
      <c r="AZ242" s="2">
        <f t="shared" si="175"/>
        <v>0</v>
      </c>
      <c r="BA242" s="2">
        <f t="shared" si="175"/>
        <v>0</v>
      </c>
      <c r="BB242" s="2">
        <f t="shared" si="175"/>
        <v>0</v>
      </c>
      <c r="BC242" s="2">
        <f t="shared" si="175"/>
        <v>0</v>
      </c>
      <c r="BD242" s="2">
        <f t="shared" si="175"/>
        <v>1878.66</v>
      </c>
      <c r="BE242" s="2">
        <f t="shared" si="175"/>
        <v>0</v>
      </c>
      <c r="BF242" s="2">
        <f t="shared" si="175"/>
        <v>0</v>
      </c>
      <c r="BG242" s="2">
        <f t="shared" si="175"/>
        <v>0</v>
      </c>
      <c r="BH242" s="2">
        <f t="shared" si="175"/>
        <v>0</v>
      </c>
      <c r="BI242" s="2">
        <f t="shared" si="175"/>
        <v>0</v>
      </c>
      <c r="BJ242" s="2">
        <f t="shared" si="175"/>
        <v>0</v>
      </c>
      <c r="BK242" s="2">
        <f t="shared" si="175"/>
        <v>0</v>
      </c>
      <c r="BL242" s="2">
        <f t="shared" si="175"/>
        <v>0</v>
      </c>
      <c r="BM242" s="2">
        <f t="shared" si="175"/>
        <v>0</v>
      </c>
      <c r="BN242" s="2">
        <f t="shared" si="175"/>
        <v>0</v>
      </c>
      <c r="BO242" s="2">
        <f t="shared" si="175"/>
        <v>0</v>
      </c>
      <c r="BP242" s="2">
        <f t="shared" si="175"/>
        <v>0</v>
      </c>
      <c r="BQ242" s="2">
        <f t="shared" si="175"/>
        <v>0</v>
      </c>
      <c r="BR242" s="2">
        <f t="shared" si="175"/>
        <v>0</v>
      </c>
      <c r="BS242" s="2">
        <f t="shared" si="175"/>
        <v>0</v>
      </c>
      <c r="BT242" s="2">
        <f t="shared" si="175"/>
        <v>0</v>
      </c>
      <c r="BU242" s="2">
        <f t="shared" si="175"/>
        <v>0</v>
      </c>
      <c r="BV242" s="2">
        <f t="shared" si="175"/>
        <v>0</v>
      </c>
      <c r="BW242" s="2">
        <f t="shared" si="175"/>
        <v>0</v>
      </c>
      <c r="BX242" s="2">
        <f t="shared" si="175"/>
        <v>0</v>
      </c>
      <c r="BY242" s="2">
        <f t="shared" si="175"/>
        <v>0</v>
      </c>
      <c r="BZ242" s="2">
        <f t="shared" si="175"/>
        <v>0</v>
      </c>
      <c r="CA242" s="2">
        <f t="shared" ref="CA242:DF242" si="176">CA254</f>
        <v>9160.94</v>
      </c>
      <c r="CB242" s="2">
        <f t="shared" si="176"/>
        <v>1878.66</v>
      </c>
      <c r="CC242" s="2">
        <f t="shared" si="176"/>
        <v>7282.28</v>
      </c>
      <c r="CD242" s="2">
        <f t="shared" si="176"/>
        <v>0</v>
      </c>
      <c r="CE242" s="2">
        <f t="shared" si="176"/>
        <v>3594.37</v>
      </c>
      <c r="CF242" s="2">
        <f t="shared" si="176"/>
        <v>3594.37</v>
      </c>
      <c r="CG242" s="2">
        <f t="shared" si="176"/>
        <v>0</v>
      </c>
      <c r="CH242" s="2">
        <f t="shared" si="176"/>
        <v>3594.37</v>
      </c>
      <c r="CI242" s="2">
        <f t="shared" si="176"/>
        <v>0</v>
      </c>
      <c r="CJ242" s="2">
        <f t="shared" si="176"/>
        <v>0</v>
      </c>
      <c r="CK242" s="2">
        <f t="shared" si="176"/>
        <v>0</v>
      </c>
      <c r="CL242" s="2">
        <f t="shared" si="176"/>
        <v>0</v>
      </c>
      <c r="CM242" s="2">
        <f t="shared" si="176"/>
        <v>1878.66</v>
      </c>
      <c r="CN242" s="2">
        <f t="shared" si="176"/>
        <v>0</v>
      </c>
      <c r="CO242" s="2">
        <f t="shared" si="176"/>
        <v>0</v>
      </c>
      <c r="CP242" s="2">
        <f t="shared" si="176"/>
        <v>0</v>
      </c>
      <c r="CQ242" s="2">
        <f t="shared" si="176"/>
        <v>0</v>
      </c>
      <c r="CR242" s="2">
        <f t="shared" si="176"/>
        <v>0</v>
      </c>
      <c r="CS242" s="2">
        <f t="shared" si="176"/>
        <v>0</v>
      </c>
      <c r="CT242" s="2">
        <f t="shared" si="176"/>
        <v>0</v>
      </c>
      <c r="CU242" s="2">
        <f t="shared" si="176"/>
        <v>0</v>
      </c>
      <c r="CV242" s="2">
        <f t="shared" si="176"/>
        <v>0</v>
      </c>
      <c r="CW242" s="2">
        <f t="shared" si="176"/>
        <v>0</v>
      </c>
      <c r="CX242" s="2">
        <f t="shared" si="176"/>
        <v>0</v>
      </c>
      <c r="CY242" s="2">
        <f t="shared" si="176"/>
        <v>0</v>
      </c>
      <c r="CZ242" s="2">
        <f t="shared" si="176"/>
        <v>0</v>
      </c>
      <c r="DA242" s="2">
        <f t="shared" si="176"/>
        <v>0</v>
      </c>
      <c r="DB242" s="2">
        <f t="shared" si="176"/>
        <v>0</v>
      </c>
      <c r="DC242" s="2">
        <f t="shared" si="176"/>
        <v>0</v>
      </c>
      <c r="DD242" s="2">
        <f t="shared" si="176"/>
        <v>0</v>
      </c>
      <c r="DE242" s="2">
        <f t="shared" si="176"/>
        <v>0</v>
      </c>
      <c r="DF242" s="2">
        <f t="shared" si="176"/>
        <v>0</v>
      </c>
      <c r="DG242" s="3">
        <f t="shared" ref="DG242:EL242" si="177">DG254</f>
        <v>0</v>
      </c>
      <c r="DH242" s="3">
        <f t="shared" si="177"/>
        <v>0</v>
      </c>
      <c r="DI242" s="3">
        <f t="shared" si="177"/>
        <v>0</v>
      </c>
      <c r="DJ242" s="3">
        <f t="shared" si="177"/>
        <v>0</v>
      </c>
      <c r="DK242" s="3">
        <f t="shared" si="177"/>
        <v>0</v>
      </c>
      <c r="DL242" s="3">
        <f t="shared" si="177"/>
        <v>0</v>
      </c>
      <c r="DM242" s="3">
        <f t="shared" si="177"/>
        <v>0</v>
      </c>
      <c r="DN242" s="3">
        <f t="shared" si="177"/>
        <v>0</v>
      </c>
      <c r="DO242" s="3">
        <f t="shared" si="177"/>
        <v>0</v>
      </c>
      <c r="DP242" s="3">
        <f t="shared" si="177"/>
        <v>0</v>
      </c>
      <c r="DQ242" s="3">
        <f t="shared" si="177"/>
        <v>0</v>
      </c>
      <c r="DR242" s="3">
        <f t="shared" si="177"/>
        <v>0</v>
      </c>
      <c r="DS242" s="3">
        <f t="shared" si="177"/>
        <v>0</v>
      </c>
      <c r="DT242" s="3">
        <f t="shared" si="177"/>
        <v>0</v>
      </c>
      <c r="DU242" s="3">
        <f t="shared" si="177"/>
        <v>0</v>
      </c>
      <c r="DV242" s="3">
        <f t="shared" si="177"/>
        <v>0</v>
      </c>
      <c r="DW242" s="3">
        <f t="shared" si="177"/>
        <v>0</v>
      </c>
      <c r="DX242" s="3">
        <f t="shared" si="177"/>
        <v>0</v>
      </c>
      <c r="DY242" s="3">
        <f t="shared" si="177"/>
        <v>0</v>
      </c>
      <c r="DZ242" s="3">
        <f t="shared" si="177"/>
        <v>0</v>
      </c>
      <c r="EA242" s="3">
        <f t="shared" si="177"/>
        <v>0</v>
      </c>
      <c r="EB242" s="3">
        <f t="shared" si="177"/>
        <v>0</v>
      </c>
      <c r="EC242" s="3">
        <f t="shared" si="177"/>
        <v>0</v>
      </c>
      <c r="ED242" s="3">
        <f t="shared" si="177"/>
        <v>0</v>
      </c>
      <c r="EE242" s="3">
        <f t="shared" si="177"/>
        <v>0</v>
      </c>
      <c r="EF242" s="3">
        <f t="shared" si="177"/>
        <v>0</v>
      </c>
      <c r="EG242" s="3">
        <f t="shared" si="177"/>
        <v>0</v>
      </c>
      <c r="EH242" s="3">
        <f t="shared" si="177"/>
        <v>0</v>
      </c>
      <c r="EI242" s="3">
        <f t="shared" si="177"/>
        <v>0</v>
      </c>
      <c r="EJ242" s="3">
        <f t="shared" si="177"/>
        <v>0</v>
      </c>
      <c r="EK242" s="3">
        <f t="shared" si="177"/>
        <v>0</v>
      </c>
      <c r="EL242" s="3">
        <f t="shared" si="177"/>
        <v>0</v>
      </c>
      <c r="EM242" s="3">
        <f t="shared" ref="EM242:FR242" si="178">EM254</f>
        <v>0</v>
      </c>
      <c r="EN242" s="3">
        <f t="shared" si="178"/>
        <v>0</v>
      </c>
      <c r="EO242" s="3">
        <f t="shared" si="178"/>
        <v>0</v>
      </c>
      <c r="EP242" s="3">
        <f t="shared" si="178"/>
        <v>0</v>
      </c>
      <c r="EQ242" s="3">
        <f t="shared" si="178"/>
        <v>0</v>
      </c>
      <c r="ER242" s="3">
        <f t="shared" si="178"/>
        <v>0</v>
      </c>
      <c r="ES242" s="3">
        <f t="shared" si="178"/>
        <v>0</v>
      </c>
      <c r="ET242" s="3">
        <f t="shared" si="178"/>
        <v>0</v>
      </c>
      <c r="EU242" s="3">
        <f t="shared" si="178"/>
        <v>0</v>
      </c>
      <c r="EV242" s="3">
        <f t="shared" si="178"/>
        <v>0</v>
      </c>
      <c r="EW242" s="3">
        <f t="shared" si="178"/>
        <v>0</v>
      </c>
      <c r="EX242" s="3">
        <f t="shared" si="178"/>
        <v>0</v>
      </c>
      <c r="EY242" s="3">
        <f t="shared" si="178"/>
        <v>0</v>
      </c>
      <c r="EZ242" s="3">
        <f t="shared" si="178"/>
        <v>0</v>
      </c>
      <c r="FA242" s="3">
        <f t="shared" si="178"/>
        <v>0</v>
      </c>
      <c r="FB242" s="3">
        <f t="shared" si="178"/>
        <v>0</v>
      </c>
      <c r="FC242" s="3">
        <f t="shared" si="178"/>
        <v>0</v>
      </c>
      <c r="FD242" s="3">
        <f t="shared" si="178"/>
        <v>0</v>
      </c>
      <c r="FE242" s="3">
        <f t="shared" si="178"/>
        <v>0</v>
      </c>
      <c r="FF242" s="3">
        <f t="shared" si="178"/>
        <v>0</v>
      </c>
      <c r="FG242" s="3">
        <f t="shared" si="178"/>
        <v>0</v>
      </c>
      <c r="FH242" s="3">
        <f t="shared" si="178"/>
        <v>0</v>
      </c>
      <c r="FI242" s="3">
        <f t="shared" si="178"/>
        <v>0</v>
      </c>
      <c r="FJ242" s="3">
        <f t="shared" si="178"/>
        <v>0</v>
      </c>
      <c r="FK242" s="3">
        <f t="shared" si="178"/>
        <v>0</v>
      </c>
      <c r="FL242" s="3">
        <f t="shared" si="178"/>
        <v>0</v>
      </c>
      <c r="FM242" s="3">
        <f t="shared" si="178"/>
        <v>0</v>
      </c>
      <c r="FN242" s="3">
        <f t="shared" si="178"/>
        <v>0</v>
      </c>
      <c r="FO242" s="3">
        <f t="shared" si="178"/>
        <v>0</v>
      </c>
      <c r="FP242" s="3">
        <f t="shared" si="178"/>
        <v>0</v>
      </c>
      <c r="FQ242" s="3">
        <f t="shared" si="178"/>
        <v>0</v>
      </c>
      <c r="FR242" s="3">
        <f t="shared" si="178"/>
        <v>0</v>
      </c>
      <c r="FS242" s="3">
        <f t="shared" ref="FS242:GX242" si="179">FS254</f>
        <v>0</v>
      </c>
      <c r="FT242" s="3">
        <f t="shared" si="179"/>
        <v>0</v>
      </c>
      <c r="FU242" s="3">
        <f t="shared" si="179"/>
        <v>0</v>
      </c>
      <c r="FV242" s="3">
        <f t="shared" si="179"/>
        <v>0</v>
      </c>
      <c r="FW242" s="3">
        <f t="shared" si="179"/>
        <v>0</v>
      </c>
      <c r="FX242" s="3">
        <f t="shared" si="179"/>
        <v>0</v>
      </c>
      <c r="FY242" s="3">
        <f t="shared" si="179"/>
        <v>0</v>
      </c>
      <c r="FZ242" s="3">
        <f t="shared" si="179"/>
        <v>0</v>
      </c>
      <c r="GA242" s="3">
        <f t="shared" si="179"/>
        <v>0</v>
      </c>
      <c r="GB242" s="3">
        <f t="shared" si="179"/>
        <v>0</v>
      </c>
      <c r="GC242" s="3">
        <f t="shared" si="179"/>
        <v>0</v>
      </c>
      <c r="GD242" s="3">
        <f t="shared" si="179"/>
        <v>0</v>
      </c>
      <c r="GE242" s="3">
        <f t="shared" si="179"/>
        <v>0</v>
      </c>
      <c r="GF242" s="3">
        <f t="shared" si="179"/>
        <v>0</v>
      </c>
      <c r="GG242" s="3">
        <f t="shared" si="179"/>
        <v>0</v>
      </c>
      <c r="GH242" s="3">
        <f t="shared" si="179"/>
        <v>0</v>
      </c>
      <c r="GI242" s="3">
        <f t="shared" si="179"/>
        <v>0</v>
      </c>
      <c r="GJ242" s="3">
        <f t="shared" si="179"/>
        <v>0</v>
      </c>
      <c r="GK242" s="3">
        <f t="shared" si="179"/>
        <v>0</v>
      </c>
      <c r="GL242" s="3">
        <f t="shared" si="179"/>
        <v>0</v>
      </c>
      <c r="GM242" s="3">
        <f t="shared" si="179"/>
        <v>0</v>
      </c>
      <c r="GN242" s="3">
        <f t="shared" si="179"/>
        <v>0</v>
      </c>
      <c r="GO242" s="3">
        <f t="shared" si="179"/>
        <v>0</v>
      </c>
      <c r="GP242" s="3">
        <f t="shared" si="179"/>
        <v>0</v>
      </c>
      <c r="GQ242" s="3">
        <f t="shared" si="179"/>
        <v>0</v>
      </c>
      <c r="GR242" s="3">
        <f t="shared" si="179"/>
        <v>0</v>
      </c>
      <c r="GS242" s="3">
        <f t="shared" si="179"/>
        <v>0</v>
      </c>
      <c r="GT242" s="3">
        <f t="shared" si="179"/>
        <v>0</v>
      </c>
      <c r="GU242" s="3">
        <f t="shared" si="179"/>
        <v>0</v>
      </c>
      <c r="GV242" s="3">
        <f t="shared" si="179"/>
        <v>0</v>
      </c>
      <c r="GW242" s="3">
        <f t="shared" si="179"/>
        <v>0</v>
      </c>
      <c r="GX242" s="3">
        <f t="shared" si="179"/>
        <v>0</v>
      </c>
    </row>
    <row r="244" spans="1:245">
      <c r="A244">
        <v>17</v>
      </c>
      <c r="B244">
        <v>1</v>
      </c>
      <c r="C244">
        <f>ROW(SmtRes!A191)</f>
        <v>191</v>
      </c>
      <c r="D244">
        <f>ROW(EtalonRes!A191)</f>
        <v>191</v>
      </c>
      <c r="E244" t="s">
        <v>213</v>
      </c>
      <c r="F244" t="s">
        <v>256</v>
      </c>
      <c r="G244" t="s">
        <v>257</v>
      </c>
      <c r="H244" t="s">
        <v>46</v>
      </c>
      <c r="I244">
        <f>ROUND(1/100,9)</f>
        <v>0.01</v>
      </c>
      <c r="J244">
        <v>0</v>
      </c>
      <c r="K244">
        <f>ROUND(1/100,9)</f>
        <v>0.01</v>
      </c>
      <c r="O244">
        <f t="shared" ref="O244:O252" si="180">ROUND(CP244,2)</f>
        <v>121.29</v>
      </c>
      <c r="P244">
        <f t="shared" ref="P244:P252" si="181">ROUND(CQ244*I244,2)</f>
        <v>3.38</v>
      </c>
      <c r="Q244">
        <f t="shared" ref="Q244:Q252" si="182">ROUND(CR244*I244,2)</f>
        <v>0.82</v>
      </c>
      <c r="R244">
        <f t="shared" ref="R244:R252" si="183">ROUND(CS244*I244,2)</f>
        <v>0.14000000000000001</v>
      </c>
      <c r="S244">
        <f t="shared" ref="S244:S252" si="184">ROUND(CT244*I244,2)</f>
        <v>117.09</v>
      </c>
      <c r="T244">
        <f t="shared" ref="T244:T252" si="185">ROUND(CU244*I244,2)</f>
        <v>0</v>
      </c>
      <c r="U244">
        <f t="shared" ref="U244:U252" si="186">CV244*I244</f>
        <v>0.35130000000000006</v>
      </c>
      <c r="V244">
        <f t="shared" ref="V244:V252" si="187">CW244*I244</f>
        <v>2.9999999999999997E-4</v>
      </c>
      <c r="W244">
        <f t="shared" ref="W244:W252" si="188">ROUND(CX244*I244,2)</f>
        <v>0</v>
      </c>
      <c r="X244">
        <f t="shared" ref="X244:X252" si="189">ROUND(CY244,2)</f>
        <v>113.71</v>
      </c>
      <c r="Y244">
        <f t="shared" ref="Y244:Y252" si="190">ROUND(CZ244,2)</f>
        <v>59.79</v>
      </c>
      <c r="AA244">
        <v>35841400</v>
      </c>
      <c r="AB244">
        <f t="shared" ref="AB244:AB252" si="191">ROUND((AC244+AD244+AF244),6)</f>
        <v>465.7</v>
      </c>
      <c r="AC244">
        <f t="shared" ref="AC244:AC252" si="192">ROUND((ES244),6)</f>
        <v>103.43</v>
      </c>
      <c r="AD244">
        <f t="shared" ref="AD244:AD251" si="193">ROUND((((ET244)-(EU244))+AE244),6)</f>
        <v>13.78</v>
      </c>
      <c r="AE244">
        <f t="shared" ref="AE244:AF251" si="194">ROUND((EU244),6)</f>
        <v>0.41</v>
      </c>
      <c r="AF244">
        <f t="shared" si="194"/>
        <v>348.49</v>
      </c>
      <c r="AG244">
        <f t="shared" ref="AG244:AG252" si="195">ROUND((AP244),6)</f>
        <v>0</v>
      </c>
      <c r="AH244">
        <f t="shared" ref="AH244:AH252" si="196">(EW244)</f>
        <v>35.130000000000003</v>
      </c>
      <c r="AI244">
        <f t="shared" ref="AI244:AI252" si="197">(EX244)</f>
        <v>0.03</v>
      </c>
      <c r="AJ244">
        <f t="shared" ref="AJ244:AJ252" si="198">(AS244)</f>
        <v>0</v>
      </c>
      <c r="AK244">
        <v>465.7</v>
      </c>
      <c r="AL244">
        <v>103.43</v>
      </c>
      <c r="AM244">
        <v>13.78</v>
      </c>
      <c r="AN244">
        <v>0.41</v>
      </c>
      <c r="AO244">
        <v>348.49</v>
      </c>
      <c r="AP244">
        <v>0</v>
      </c>
      <c r="AQ244">
        <v>35.130000000000003</v>
      </c>
      <c r="AR244">
        <v>0.03</v>
      </c>
      <c r="AS244">
        <v>0</v>
      </c>
      <c r="AT244">
        <v>97</v>
      </c>
      <c r="AU244">
        <v>51</v>
      </c>
      <c r="AV244">
        <v>1</v>
      </c>
      <c r="AW244">
        <v>1</v>
      </c>
      <c r="AZ244">
        <v>1</v>
      </c>
      <c r="BA244">
        <v>33.6</v>
      </c>
      <c r="BB244">
        <v>5.96</v>
      </c>
      <c r="BC244">
        <v>3.27</v>
      </c>
      <c r="BD244" t="s">
        <v>3</v>
      </c>
      <c r="BE244" t="s">
        <v>3</v>
      </c>
      <c r="BF244" t="s">
        <v>3</v>
      </c>
      <c r="BG244" t="s">
        <v>3</v>
      </c>
      <c r="BH244">
        <v>0</v>
      </c>
      <c r="BI244">
        <v>2</v>
      </c>
      <c r="BJ244" t="s">
        <v>258</v>
      </c>
      <c r="BM244">
        <v>108001</v>
      </c>
      <c r="BN244">
        <v>0</v>
      </c>
      <c r="BO244" t="s">
        <v>256</v>
      </c>
      <c r="BP244">
        <v>1</v>
      </c>
      <c r="BQ244">
        <v>3</v>
      </c>
      <c r="BR244">
        <v>0</v>
      </c>
      <c r="BS244">
        <v>33.6</v>
      </c>
      <c r="BT244">
        <v>1</v>
      </c>
      <c r="BU244">
        <v>1</v>
      </c>
      <c r="BV244">
        <v>1</v>
      </c>
      <c r="BW244">
        <v>1</v>
      </c>
      <c r="BX244">
        <v>1</v>
      </c>
      <c r="BY244" t="s">
        <v>3</v>
      </c>
      <c r="BZ244">
        <v>97</v>
      </c>
      <c r="CA244">
        <v>51</v>
      </c>
      <c r="CB244" t="s">
        <v>3</v>
      </c>
      <c r="CE244">
        <v>0</v>
      </c>
      <c r="CF244">
        <v>0</v>
      </c>
      <c r="CG244">
        <v>0</v>
      </c>
      <c r="CM244">
        <v>0</v>
      </c>
      <c r="CN244" t="s">
        <v>3</v>
      </c>
      <c r="CO244">
        <v>0</v>
      </c>
      <c r="CP244">
        <f t="shared" ref="CP244:CP252" si="199">(P244+Q244+S244)</f>
        <v>121.29</v>
      </c>
      <c r="CQ244">
        <f t="shared" ref="CQ244:CQ252" si="200">AC244*BC244</f>
        <v>338.21610000000004</v>
      </c>
      <c r="CR244">
        <f t="shared" ref="CR244:CR252" si="201">AD244*BB244</f>
        <v>82.128799999999998</v>
      </c>
      <c r="CS244">
        <f t="shared" ref="CS244:CS252" si="202">AE244*BS244</f>
        <v>13.776</v>
      </c>
      <c r="CT244">
        <f t="shared" ref="CT244:CT252" si="203">AF244*BA244</f>
        <v>11709.264000000001</v>
      </c>
      <c r="CU244">
        <f t="shared" ref="CU244:CU252" si="204">AG244</f>
        <v>0</v>
      </c>
      <c r="CV244">
        <f t="shared" ref="CV244:CV252" si="205">AH244</f>
        <v>35.130000000000003</v>
      </c>
      <c r="CW244">
        <f t="shared" ref="CW244:CW252" si="206">AI244</f>
        <v>0.03</v>
      </c>
      <c r="CX244">
        <f t="shared" ref="CX244:CX252" si="207">AJ244</f>
        <v>0</v>
      </c>
      <c r="CY244">
        <f t="shared" ref="CY244:CY252" si="208">(((S244+R244)*AT244)/100)</f>
        <v>113.7131</v>
      </c>
      <c r="CZ244">
        <f t="shared" ref="CZ244:CZ252" si="209">(((S244+R244)*AU244)/100)</f>
        <v>59.787300000000002</v>
      </c>
      <c r="DC244" t="s">
        <v>3</v>
      </c>
      <c r="DD244" t="s">
        <v>3</v>
      </c>
      <c r="DE244" t="s">
        <v>3</v>
      </c>
      <c r="DF244" t="s">
        <v>3</v>
      </c>
      <c r="DG244" t="s">
        <v>3</v>
      </c>
      <c r="DH244" t="s">
        <v>3</v>
      </c>
      <c r="DI244" t="s">
        <v>3</v>
      </c>
      <c r="DJ244" t="s">
        <v>3</v>
      </c>
      <c r="DK244" t="s">
        <v>3</v>
      </c>
      <c r="DL244" t="s">
        <v>3</v>
      </c>
      <c r="DM244" t="s">
        <v>3</v>
      </c>
      <c r="DN244">
        <v>0</v>
      </c>
      <c r="DO244">
        <v>0</v>
      </c>
      <c r="DP244">
        <v>1</v>
      </c>
      <c r="DQ244">
        <v>1</v>
      </c>
      <c r="DU244">
        <v>1010</v>
      </c>
      <c r="DV244" t="s">
        <v>46</v>
      </c>
      <c r="DW244" t="s">
        <v>46</v>
      </c>
      <c r="DX244">
        <v>100</v>
      </c>
      <c r="DZ244" t="s">
        <v>3</v>
      </c>
      <c r="EA244" t="s">
        <v>3</v>
      </c>
      <c r="EB244" t="s">
        <v>3</v>
      </c>
      <c r="EC244" t="s">
        <v>3</v>
      </c>
      <c r="EE244">
        <v>36519883</v>
      </c>
      <c r="EF244">
        <v>3</v>
      </c>
      <c r="EG244" t="s">
        <v>259</v>
      </c>
      <c r="EH244">
        <v>0</v>
      </c>
      <c r="EI244" t="s">
        <v>3</v>
      </c>
      <c r="EJ244">
        <v>2</v>
      </c>
      <c r="EK244">
        <v>108001</v>
      </c>
      <c r="EL244" t="s">
        <v>260</v>
      </c>
      <c r="EM244" t="s">
        <v>261</v>
      </c>
      <c r="EO244" t="s">
        <v>3</v>
      </c>
      <c r="EQ244">
        <v>0</v>
      </c>
      <c r="ER244">
        <v>465.7</v>
      </c>
      <c r="ES244">
        <v>103.43</v>
      </c>
      <c r="ET244">
        <v>13.78</v>
      </c>
      <c r="EU244">
        <v>0.41</v>
      </c>
      <c r="EV244">
        <v>348.49</v>
      </c>
      <c r="EW244">
        <v>35.130000000000003</v>
      </c>
      <c r="EX244">
        <v>0.03</v>
      </c>
      <c r="EY244">
        <v>0</v>
      </c>
      <c r="FQ244">
        <v>0</v>
      </c>
      <c r="FR244">
        <f t="shared" ref="FR244:FR252" si="210">ROUND(IF(AND(BH244=3,BI244=3),P244,0),2)</f>
        <v>0</v>
      </c>
      <c r="FS244">
        <v>0</v>
      </c>
      <c r="FX244">
        <v>97</v>
      </c>
      <c r="FY244">
        <v>51</v>
      </c>
      <c r="GA244" t="s">
        <v>3</v>
      </c>
      <c r="GD244">
        <v>1</v>
      </c>
      <c r="GF244">
        <v>-2086834925</v>
      </c>
      <c r="GG244">
        <v>2</v>
      </c>
      <c r="GH244">
        <v>1</v>
      </c>
      <c r="GI244">
        <v>2</v>
      </c>
      <c r="GJ244">
        <v>0</v>
      </c>
      <c r="GK244">
        <v>0</v>
      </c>
      <c r="GL244">
        <f t="shared" ref="GL244:GL252" si="211">ROUND(IF(AND(BH244=3,BI244=3,FS244&lt;&gt;0),P244,0),2)</f>
        <v>0</v>
      </c>
      <c r="GM244">
        <f t="shared" ref="GM244:GM252" si="212">ROUND(O244+X244+Y244,2)+GX244</f>
        <v>294.79000000000002</v>
      </c>
      <c r="GN244">
        <f t="shared" ref="GN244:GN252" si="213">IF(OR(BI244=0,BI244=1),ROUND(O244+X244+Y244,2),0)</f>
        <v>0</v>
      </c>
      <c r="GO244">
        <f t="shared" ref="GO244:GO252" si="214">IF(BI244=2,ROUND(O244+X244+Y244,2),0)</f>
        <v>294.79000000000002</v>
      </c>
      <c r="GP244">
        <f t="shared" ref="GP244:GP252" si="215">IF(BI244=4,ROUND(O244+X244+Y244,2)+GX244,0)</f>
        <v>0</v>
      </c>
      <c r="GR244">
        <v>0</v>
      </c>
      <c r="GS244">
        <v>3</v>
      </c>
      <c r="GT244">
        <v>0</v>
      </c>
      <c r="GU244" t="s">
        <v>3</v>
      </c>
      <c r="GV244">
        <f t="shared" ref="GV244:GV252" si="216">ROUND((GT244),6)</f>
        <v>0</v>
      </c>
      <c r="GW244">
        <v>1</v>
      </c>
      <c r="GX244">
        <f t="shared" ref="GX244:GX252" si="217">ROUND(HC244*I244,2)</f>
        <v>0</v>
      </c>
      <c r="HA244">
        <v>0</v>
      </c>
      <c r="HB244">
        <v>0</v>
      </c>
      <c r="HC244">
        <f t="shared" ref="HC244:HC252" si="218">GV244*GW244</f>
        <v>0</v>
      </c>
      <c r="HE244" t="s">
        <v>3</v>
      </c>
      <c r="HF244" t="s">
        <v>3</v>
      </c>
      <c r="HM244" t="s">
        <v>3</v>
      </c>
      <c r="HN244" t="s">
        <v>3</v>
      </c>
      <c r="HO244" t="s">
        <v>3</v>
      </c>
      <c r="HP244" t="s">
        <v>3</v>
      </c>
      <c r="HQ244" t="s">
        <v>3</v>
      </c>
      <c r="IK244">
        <v>0</v>
      </c>
    </row>
    <row r="245" spans="1:245">
      <c r="A245">
        <v>18</v>
      </c>
      <c r="B245">
        <v>1</v>
      </c>
      <c r="C245">
        <v>190</v>
      </c>
      <c r="E245" t="s">
        <v>218</v>
      </c>
      <c r="F245" t="s">
        <v>262</v>
      </c>
      <c r="G245" t="s">
        <v>263</v>
      </c>
      <c r="H245" t="s">
        <v>264</v>
      </c>
      <c r="I245">
        <f>I244*J245</f>
        <v>0.1</v>
      </c>
      <c r="J245">
        <v>10</v>
      </c>
      <c r="K245">
        <v>10</v>
      </c>
      <c r="O245">
        <f t="shared" si="180"/>
        <v>74.17</v>
      </c>
      <c r="P245">
        <f t="shared" si="181"/>
        <v>74.17</v>
      </c>
      <c r="Q245">
        <f t="shared" si="182"/>
        <v>0</v>
      </c>
      <c r="R245">
        <f t="shared" si="183"/>
        <v>0</v>
      </c>
      <c r="S245">
        <f t="shared" si="184"/>
        <v>0</v>
      </c>
      <c r="T245">
        <f t="shared" si="185"/>
        <v>0</v>
      </c>
      <c r="U245">
        <f t="shared" si="186"/>
        <v>0</v>
      </c>
      <c r="V245">
        <f t="shared" si="187"/>
        <v>0</v>
      </c>
      <c r="W245">
        <f t="shared" si="188"/>
        <v>0</v>
      </c>
      <c r="X245">
        <f t="shared" si="189"/>
        <v>0</v>
      </c>
      <c r="Y245">
        <f t="shared" si="190"/>
        <v>0</v>
      </c>
      <c r="AA245">
        <v>35841400</v>
      </c>
      <c r="AB245">
        <f t="shared" si="191"/>
        <v>100.5</v>
      </c>
      <c r="AC245">
        <f t="shared" si="192"/>
        <v>100.5</v>
      </c>
      <c r="AD245">
        <f t="shared" si="193"/>
        <v>0</v>
      </c>
      <c r="AE245">
        <f t="shared" si="194"/>
        <v>0</v>
      </c>
      <c r="AF245">
        <f t="shared" si="194"/>
        <v>0</v>
      </c>
      <c r="AG245">
        <f t="shared" si="195"/>
        <v>0</v>
      </c>
      <c r="AH245">
        <f t="shared" si="196"/>
        <v>0</v>
      </c>
      <c r="AI245">
        <f t="shared" si="197"/>
        <v>0</v>
      </c>
      <c r="AJ245">
        <f t="shared" si="198"/>
        <v>0.03</v>
      </c>
      <c r="AK245">
        <v>100.5</v>
      </c>
      <c r="AL245">
        <v>100.5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0.03</v>
      </c>
      <c r="AT245">
        <v>97</v>
      </c>
      <c r="AU245">
        <v>51</v>
      </c>
      <c r="AV245">
        <v>1</v>
      </c>
      <c r="AW245">
        <v>1</v>
      </c>
      <c r="AZ245">
        <v>1</v>
      </c>
      <c r="BA245">
        <v>1</v>
      </c>
      <c r="BB245">
        <v>1</v>
      </c>
      <c r="BC245">
        <v>7.38</v>
      </c>
      <c r="BD245" t="s">
        <v>3</v>
      </c>
      <c r="BE245" t="s">
        <v>3</v>
      </c>
      <c r="BF245" t="s">
        <v>3</v>
      </c>
      <c r="BG245" t="s">
        <v>3</v>
      </c>
      <c r="BH245">
        <v>3</v>
      </c>
      <c r="BI245">
        <v>2</v>
      </c>
      <c r="BJ245" t="s">
        <v>265</v>
      </c>
      <c r="BM245">
        <v>108001</v>
      </c>
      <c r="BN245">
        <v>0</v>
      </c>
      <c r="BO245" t="s">
        <v>262</v>
      </c>
      <c r="BP245">
        <v>1</v>
      </c>
      <c r="BQ245">
        <v>3</v>
      </c>
      <c r="BR245">
        <v>0</v>
      </c>
      <c r="BS245">
        <v>1</v>
      </c>
      <c r="BT245">
        <v>1</v>
      </c>
      <c r="BU245">
        <v>1</v>
      </c>
      <c r="BV245">
        <v>1</v>
      </c>
      <c r="BW245">
        <v>1</v>
      </c>
      <c r="BX245">
        <v>1</v>
      </c>
      <c r="BY245" t="s">
        <v>3</v>
      </c>
      <c r="BZ245">
        <v>97</v>
      </c>
      <c r="CA245">
        <v>51</v>
      </c>
      <c r="CB245" t="s">
        <v>3</v>
      </c>
      <c r="CE245">
        <v>0</v>
      </c>
      <c r="CF245">
        <v>0</v>
      </c>
      <c r="CG245">
        <v>0</v>
      </c>
      <c r="CM245">
        <v>0</v>
      </c>
      <c r="CN245" t="s">
        <v>3</v>
      </c>
      <c r="CO245">
        <v>0</v>
      </c>
      <c r="CP245">
        <f t="shared" si="199"/>
        <v>74.17</v>
      </c>
      <c r="CQ245">
        <f t="shared" si="200"/>
        <v>741.68999999999994</v>
      </c>
      <c r="CR245">
        <f t="shared" si="201"/>
        <v>0</v>
      </c>
      <c r="CS245">
        <f t="shared" si="202"/>
        <v>0</v>
      </c>
      <c r="CT245">
        <f t="shared" si="203"/>
        <v>0</v>
      </c>
      <c r="CU245">
        <f t="shared" si="204"/>
        <v>0</v>
      </c>
      <c r="CV245">
        <f t="shared" si="205"/>
        <v>0</v>
      </c>
      <c r="CW245">
        <f t="shared" si="206"/>
        <v>0</v>
      </c>
      <c r="CX245">
        <f t="shared" si="207"/>
        <v>0.03</v>
      </c>
      <c r="CY245">
        <f t="shared" si="208"/>
        <v>0</v>
      </c>
      <c r="CZ245">
        <f t="shared" si="209"/>
        <v>0</v>
      </c>
      <c r="DC245" t="s">
        <v>3</v>
      </c>
      <c r="DD245" t="s">
        <v>3</v>
      </c>
      <c r="DE245" t="s">
        <v>3</v>
      </c>
      <c r="DF245" t="s">
        <v>3</v>
      </c>
      <c r="DG245" t="s">
        <v>3</v>
      </c>
      <c r="DH245" t="s">
        <v>3</v>
      </c>
      <c r="DI245" t="s">
        <v>3</v>
      </c>
      <c r="DJ245" t="s">
        <v>3</v>
      </c>
      <c r="DK245" t="s">
        <v>3</v>
      </c>
      <c r="DL245" t="s">
        <v>3</v>
      </c>
      <c r="DM245" t="s">
        <v>3</v>
      </c>
      <c r="DN245">
        <v>0</v>
      </c>
      <c r="DO245">
        <v>0</v>
      </c>
      <c r="DP245">
        <v>1</v>
      </c>
      <c r="DQ245">
        <v>1</v>
      </c>
      <c r="DU245">
        <v>1010</v>
      </c>
      <c r="DV245" t="s">
        <v>264</v>
      </c>
      <c r="DW245" t="s">
        <v>264</v>
      </c>
      <c r="DX245">
        <v>10</v>
      </c>
      <c r="DZ245" t="s">
        <v>3</v>
      </c>
      <c r="EA245" t="s">
        <v>3</v>
      </c>
      <c r="EB245" t="s">
        <v>3</v>
      </c>
      <c r="EC245" t="s">
        <v>3</v>
      </c>
      <c r="EE245">
        <v>36519883</v>
      </c>
      <c r="EF245">
        <v>3</v>
      </c>
      <c r="EG245" t="s">
        <v>259</v>
      </c>
      <c r="EH245">
        <v>0</v>
      </c>
      <c r="EI245" t="s">
        <v>3</v>
      </c>
      <c r="EJ245">
        <v>2</v>
      </c>
      <c r="EK245">
        <v>108001</v>
      </c>
      <c r="EL245" t="s">
        <v>260</v>
      </c>
      <c r="EM245" t="s">
        <v>261</v>
      </c>
      <c r="EO245" t="s">
        <v>3</v>
      </c>
      <c r="EQ245">
        <v>0</v>
      </c>
      <c r="ER245">
        <v>100.5</v>
      </c>
      <c r="ES245">
        <v>100.5</v>
      </c>
      <c r="ET245">
        <v>0</v>
      </c>
      <c r="EU245">
        <v>0</v>
      </c>
      <c r="EV245">
        <v>0</v>
      </c>
      <c r="EW245">
        <v>0</v>
      </c>
      <c r="EX245">
        <v>0</v>
      </c>
      <c r="FQ245">
        <v>0</v>
      </c>
      <c r="FR245">
        <f t="shared" si="210"/>
        <v>0</v>
      </c>
      <c r="FS245">
        <v>0</v>
      </c>
      <c r="FX245">
        <v>97</v>
      </c>
      <c r="FY245">
        <v>51</v>
      </c>
      <c r="GA245" t="s">
        <v>3</v>
      </c>
      <c r="GD245">
        <v>1</v>
      </c>
      <c r="GF245">
        <v>630344398</v>
      </c>
      <c r="GG245">
        <v>2</v>
      </c>
      <c r="GH245">
        <v>1</v>
      </c>
      <c r="GI245">
        <v>2</v>
      </c>
      <c r="GJ245">
        <v>0</v>
      </c>
      <c r="GK245">
        <v>0</v>
      </c>
      <c r="GL245">
        <f t="shared" si="211"/>
        <v>0</v>
      </c>
      <c r="GM245">
        <f t="shared" si="212"/>
        <v>74.17</v>
      </c>
      <c r="GN245">
        <f t="shared" si="213"/>
        <v>0</v>
      </c>
      <c r="GO245">
        <f t="shared" si="214"/>
        <v>74.17</v>
      </c>
      <c r="GP245">
        <f t="shared" si="215"/>
        <v>0</v>
      </c>
      <c r="GR245">
        <v>0</v>
      </c>
      <c r="GS245">
        <v>3</v>
      </c>
      <c r="GT245">
        <v>0</v>
      </c>
      <c r="GU245" t="s">
        <v>3</v>
      </c>
      <c r="GV245">
        <f t="shared" si="216"/>
        <v>0</v>
      </c>
      <c r="GW245">
        <v>1</v>
      </c>
      <c r="GX245">
        <f t="shared" si="217"/>
        <v>0</v>
      </c>
      <c r="HA245">
        <v>0</v>
      </c>
      <c r="HB245">
        <v>0</v>
      </c>
      <c r="HC245">
        <f t="shared" si="218"/>
        <v>0</v>
      </c>
      <c r="HE245" t="s">
        <v>3</v>
      </c>
      <c r="HF245" t="s">
        <v>3</v>
      </c>
      <c r="HM245" t="s">
        <v>3</v>
      </c>
      <c r="HN245" t="s">
        <v>3</v>
      </c>
      <c r="HO245" t="s">
        <v>3</v>
      </c>
      <c r="HP245" t="s">
        <v>3</v>
      </c>
      <c r="HQ245" t="s">
        <v>3</v>
      </c>
      <c r="IK245">
        <v>0</v>
      </c>
    </row>
    <row r="246" spans="1:245">
      <c r="A246">
        <v>17</v>
      </c>
      <c r="B246">
        <v>1</v>
      </c>
      <c r="C246">
        <f>ROW(SmtRes!A202)</f>
        <v>202</v>
      </c>
      <c r="D246">
        <f>ROW(EtalonRes!A201)</f>
        <v>201</v>
      </c>
      <c r="E246" t="s">
        <v>224</v>
      </c>
      <c r="F246" t="s">
        <v>266</v>
      </c>
      <c r="G246" t="s">
        <v>267</v>
      </c>
      <c r="H246" t="s">
        <v>46</v>
      </c>
      <c r="I246">
        <f>ROUND(4/100,9)</f>
        <v>0.04</v>
      </c>
      <c r="J246">
        <v>0</v>
      </c>
      <c r="K246">
        <f>ROUND(4/100,9)</f>
        <v>0.04</v>
      </c>
      <c r="O246">
        <f t="shared" si="180"/>
        <v>477.9</v>
      </c>
      <c r="P246">
        <f t="shared" si="181"/>
        <v>13.83</v>
      </c>
      <c r="Q246">
        <f t="shared" si="182"/>
        <v>3.29</v>
      </c>
      <c r="R246">
        <f t="shared" si="183"/>
        <v>0.55000000000000004</v>
      </c>
      <c r="S246">
        <f t="shared" si="184"/>
        <v>460.78</v>
      </c>
      <c r="T246">
        <f t="shared" si="185"/>
        <v>0</v>
      </c>
      <c r="U246">
        <f t="shared" si="186"/>
        <v>1.3824000000000001</v>
      </c>
      <c r="V246">
        <f t="shared" si="187"/>
        <v>1.1999999999999999E-3</v>
      </c>
      <c r="W246">
        <f t="shared" si="188"/>
        <v>0</v>
      </c>
      <c r="X246">
        <f t="shared" si="189"/>
        <v>447.49</v>
      </c>
      <c r="Y246">
        <f t="shared" si="190"/>
        <v>235.28</v>
      </c>
      <c r="AA246">
        <v>35841400</v>
      </c>
      <c r="AB246">
        <f t="shared" si="191"/>
        <v>463.3</v>
      </c>
      <c r="AC246">
        <f t="shared" si="192"/>
        <v>106.68</v>
      </c>
      <c r="AD246">
        <f t="shared" si="193"/>
        <v>13.78</v>
      </c>
      <c r="AE246">
        <f t="shared" si="194"/>
        <v>0.41</v>
      </c>
      <c r="AF246">
        <f t="shared" si="194"/>
        <v>342.84</v>
      </c>
      <c r="AG246">
        <f t="shared" si="195"/>
        <v>0</v>
      </c>
      <c r="AH246">
        <f t="shared" si="196"/>
        <v>34.56</v>
      </c>
      <c r="AI246">
        <f t="shared" si="197"/>
        <v>0.03</v>
      </c>
      <c r="AJ246">
        <f t="shared" si="198"/>
        <v>0</v>
      </c>
      <c r="AK246">
        <v>463.3</v>
      </c>
      <c r="AL246">
        <v>106.68</v>
      </c>
      <c r="AM246">
        <v>13.78</v>
      </c>
      <c r="AN246">
        <v>0.41</v>
      </c>
      <c r="AO246">
        <v>342.84</v>
      </c>
      <c r="AP246">
        <v>0</v>
      </c>
      <c r="AQ246">
        <v>34.56</v>
      </c>
      <c r="AR246">
        <v>0.03</v>
      </c>
      <c r="AS246">
        <v>0</v>
      </c>
      <c r="AT246">
        <v>97</v>
      </c>
      <c r="AU246">
        <v>51</v>
      </c>
      <c r="AV246">
        <v>1</v>
      </c>
      <c r="AW246">
        <v>1</v>
      </c>
      <c r="AZ246">
        <v>1</v>
      </c>
      <c r="BA246">
        <v>33.6</v>
      </c>
      <c r="BB246">
        <v>5.96</v>
      </c>
      <c r="BC246">
        <v>3.24</v>
      </c>
      <c r="BD246" t="s">
        <v>3</v>
      </c>
      <c r="BE246" t="s">
        <v>3</v>
      </c>
      <c r="BF246" t="s">
        <v>3</v>
      </c>
      <c r="BG246" t="s">
        <v>3</v>
      </c>
      <c r="BH246">
        <v>0</v>
      </c>
      <c r="BI246">
        <v>2</v>
      </c>
      <c r="BJ246" t="s">
        <v>268</v>
      </c>
      <c r="BM246">
        <v>108001</v>
      </c>
      <c r="BN246">
        <v>0</v>
      </c>
      <c r="BO246" t="s">
        <v>266</v>
      </c>
      <c r="BP246">
        <v>1</v>
      </c>
      <c r="BQ246">
        <v>3</v>
      </c>
      <c r="BR246">
        <v>0</v>
      </c>
      <c r="BS246">
        <v>33.6</v>
      </c>
      <c r="BT246">
        <v>1</v>
      </c>
      <c r="BU246">
        <v>1</v>
      </c>
      <c r="BV246">
        <v>1</v>
      </c>
      <c r="BW246">
        <v>1</v>
      </c>
      <c r="BX246">
        <v>1</v>
      </c>
      <c r="BY246" t="s">
        <v>3</v>
      </c>
      <c r="BZ246">
        <v>97</v>
      </c>
      <c r="CA246">
        <v>51</v>
      </c>
      <c r="CB246" t="s">
        <v>3</v>
      </c>
      <c r="CE246">
        <v>0</v>
      </c>
      <c r="CF246">
        <v>0</v>
      </c>
      <c r="CG246">
        <v>0</v>
      </c>
      <c r="CM246">
        <v>0</v>
      </c>
      <c r="CN246" t="s">
        <v>3</v>
      </c>
      <c r="CO246">
        <v>0</v>
      </c>
      <c r="CP246">
        <f t="shared" si="199"/>
        <v>477.9</v>
      </c>
      <c r="CQ246">
        <f t="shared" si="200"/>
        <v>345.64320000000004</v>
      </c>
      <c r="CR246">
        <f t="shared" si="201"/>
        <v>82.128799999999998</v>
      </c>
      <c r="CS246">
        <f t="shared" si="202"/>
        <v>13.776</v>
      </c>
      <c r="CT246">
        <f t="shared" si="203"/>
        <v>11519.423999999999</v>
      </c>
      <c r="CU246">
        <f t="shared" si="204"/>
        <v>0</v>
      </c>
      <c r="CV246">
        <f t="shared" si="205"/>
        <v>34.56</v>
      </c>
      <c r="CW246">
        <f t="shared" si="206"/>
        <v>0.03</v>
      </c>
      <c r="CX246">
        <f t="shared" si="207"/>
        <v>0</v>
      </c>
      <c r="CY246">
        <f t="shared" si="208"/>
        <v>447.49010000000004</v>
      </c>
      <c r="CZ246">
        <f t="shared" si="209"/>
        <v>235.27829999999997</v>
      </c>
      <c r="DC246" t="s">
        <v>3</v>
      </c>
      <c r="DD246" t="s">
        <v>3</v>
      </c>
      <c r="DE246" t="s">
        <v>3</v>
      </c>
      <c r="DF246" t="s">
        <v>3</v>
      </c>
      <c r="DG246" t="s">
        <v>3</v>
      </c>
      <c r="DH246" t="s">
        <v>3</v>
      </c>
      <c r="DI246" t="s">
        <v>3</v>
      </c>
      <c r="DJ246" t="s">
        <v>3</v>
      </c>
      <c r="DK246" t="s">
        <v>3</v>
      </c>
      <c r="DL246" t="s">
        <v>3</v>
      </c>
      <c r="DM246" t="s">
        <v>3</v>
      </c>
      <c r="DN246">
        <v>0</v>
      </c>
      <c r="DO246">
        <v>0</v>
      </c>
      <c r="DP246">
        <v>1</v>
      </c>
      <c r="DQ246">
        <v>1</v>
      </c>
      <c r="DU246">
        <v>1010</v>
      </c>
      <c r="DV246" t="s">
        <v>46</v>
      </c>
      <c r="DW246" t="s">
        <v>46</v>
      </c>
      <c r="DX246">
        <v>100</v>
      </c>
      <c r="DZ246" t="s">
        <v>3</v>
      </c>
      <c r="EA246" t="s">
        <v>3</v>
      </c>
      <c r="EB246" t="s">
        <v>3</v>
      </c>
      <c r="EC246" t="s">
        <v>3</v>
      </c>
      <c r="EE246">
        <v>36519883</v>
      </c>
      <c r="EF246">
        <v>3</v>
      </c>
      <c r="EG246" t="s">
        <v>259</v>
      </c>
      <c r="EH246">
        <v>0</v>
      </c>
      <c r="EI246" t="s">
        <v>3</v>
      </c>
      <c r="EJ246">
        <v>2</v>
      </c>
      <c r="EK246">
        <v>108001</v>
      </c>
      <c r="EL246" t="s">
        <v>260</v>
      </c>
      <c r="EM246" t="s">
        <v>261</v>
      </c>
      <c r="EO246" t="s">
        <v>3</v>
      </c>
      <c r="EQ246">
        <v>0</v>
      </c>
      <c r="ER246">
        <v>463.3</v>
      </c>
      <c r="ES246">
        <v>106.68</v>
      </c>
      <c r="ET246">
        <v>13.78</v>
      </c>
      <c r="EU246">
        <v>0.41</v>
      </c>
      <c r="EV246">
        <v>342.84</v>
      </c>
      <c r="EW246">
        <v>34.56</v>
      </c>
      <c r="EX246">
        <v>0.03</v>
      </c>
      <c r="EY246">
        <v>0</v>
      </c>
      <c r="FQ246">
        <v>0</v>
      </c>
      <c r="FR246">
        <f t="shared" si="210"/>
        <v>0</v>
      </c>
      <c r="FS246">
        <v>0</v>
      </c>
      <c r="FX246">
        <v>97</v>
      </c>
      <c r="FY246">
        <v>51</v>
      </c>
      <c r="GA246" t="s">
        <v>3</v>
      </c>
      <c r="GD246">
        <v>1</v>
      </c>
      <c r="GF246">
        <v>594613085</v>
      </c>
      <c r="GG246">
        <v>2</v>
      </c>
      <c r="GH246">
        <v>1</v>
      </c>
      <c r="GI246">
        <v>2</v>
      </c>
      <c r="GJ246">
        <v>0</v>
      </c>
      <c r="GK246">
        <v>0</v>
      </c>
      <c r="GL246">
        <f t="shared" si="211"/>
        <v>0</v>
      </c>
      <c r="GM246">
        <f t="shared" si="212"/>
        <v>1160.67</v>
      </c>
      <c r="GN246">
        <f t="shared" si="213"/>
        <v>0</v>
      </c>
      <c r="GO246">
        <f t="shared" si="214"/>
        <v>1160.67</v>
      </c>
      <c r="GP246">
        <f t="shared" si="215"/>
        <v>0</v>
      </c>
      <c r="GR246">
        <v>0</v>
      </c>
      <c r="GS246">
        <v>3</v>
      </c>
      <c r="GT246">
        <v>0</v>
      </c>
      <c r="GU246" t="s">
        <v>3</v>
      </c>
      <c r="GV246">
        <f t="shared" si="216"/>
        <v>0</v>
      </c>
      <c r="GW246">
        <v>1</v>
      </c>
      <c r="GX246">
        <f t="shared" si="217"/>
        <v>0</v>
      </c>
      <c r="HA246">
        <v>0</v>
      </c>
      <c r="HB246">
        <v>0</v>
      </c>
      <c r="HC246">
        <f t="shared" si="218"/>
        <v>0</v>
      </c>
      <c r="HE246" t="s">
        <v>3</v>
      </c>
      <c r="HF246" t="s">
        <v>3</v>
      </c>
      <c r="HM246" t="s">
        <v>3</v>
      </c>
      <c r="HN246" t="s">
        <v>3</v>
      </c>
      <c r="HO246" t="s">
        <v>3</v>
      </c>
      <c r="HP246" t="s">
        <v>3</v>
      </c>
      <c r="HQ246" t="s">
        <v>3</v>
      </c>
      <c r="IK246">
        <v>0</v>
      </c>
    </row>
    <row r="247" spans="1:245">
      <c r="A247">
        <v>18</v>
      </c>
      <c r="B247">
        <v>1</v>
      </c>
      <c r="C247">
        <v>201</v>
      </c>
      <c r="E247" t="s">
        <v>228</v>
      </c>
      <c r="F247" t="s">
        <v>269</v>
      </c>
      <c r="G247" t="s">
        <v>270</v>
      </c>
      <c r="H247" t="s">
        <v>46</v>
      </c>
      <c r="I247">
        <f>I246*J247</f>
        <v>0.04</v>
      </c>
      <c r="J247">
        <v>1</v>
      </c>
      <c r="K247">
        <v>1</v>
      </c>
      <c r="O247">
        <f t="shared" si="180"/>
        <v>115.6</v>
      </c>
      <c r="P247">
        <f t="shared" si="181"/>
        <v>115.6</v>
      </c>
      <c r="Q247">
        <f t="shared" si="182"/>
        <v>0</v>
      </c>
      <c r="R247">
        <f t="shared" si="183"/>
        <v>0</v>
      </c>
      <c r="S247">
        <f t="shared" si="184"/>
        <v>0</v>
      </c>
      <c r="T247">
        <f t="shared" si="185"/>
        <v>0</v>
      </c>
      <c r="U247">
        <f t="shared" si="186"/>
        <v>0</v>
      </c>
      <c r="V247">
        <f t="shared" si="187"/>
        <v>0</v>
      </c>
      <c r="W247">
        <f t="shared" si="188"/>
        <v>0.01</v>
      </c>
      <c r="X247">
        <f t="shared" si="189"/>
        <v>0</v>
      </c>
      <c r="Y247">
        <f t="shared" si="190"/>
        <v>0</v>
      </c>
      <c r="AA247">
        <v>35841400</v>
      </c>
      <c r="AB247">
        <f t="shared" si="191"/>
        <v>578</v>
      </c>
      <c r="AC247">
        <f t="shared" si="192"/>
        <v>578</v>
      </c>
      <c r="AD247">
        <f t="shared" si="193"/>
        <v>0</v>
      </c>
      <c r="AE247">
        <f t="shared" si="194"/>
        <v>0</v>
      </c>
      <c r="AF247">
        <f t="shared" si="194"/>
        <v>0</v>
      </c>
      <c r="AG247">
        <f t="shared" si="195"/>
        <v>0</v>
      </c>
      <c r="AH247">
        <f t="shared" si="196"/>
        <v>0</v>
      </c>
      <c r="AI247">
        <f t="shared" si="197"/>
        <v>0</v>
      </c>
      <c r="AJ247">
        <f t="shared" si="198"/>
        <v>0.2</v>
      </c>
      <c r="AK247">
        <v>578</v>
      </c>
      <c r="AL247">
        <v>578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0.2</v>
      </c>
      <c r="AT247">
        <v>97</v>
      </c>
      <c r="AU247">
        <v>51</v>
      </c>
      <c r="AV247">
        <v>1</v>
      </c>
      <c r="AW247">
        <v>1</v>
      </c>
      <c r="AZ247">
        <v>1</v>
      </c>
      <c r="BA247">
        <v>1</v>
      </c>
      <c r="BB247">
        <v>1</v>
      </c>
      <c r="BC247">
        <v>5</v>
      </c>
      <c r="BD247" t="s">
        <v>3</v>
      </c>
      <c r="BE247" t="s">
        <v>3</v>
      </c>
      <c r="BF247" t="s">
        <v>3</v>
      </c>
      <c r="BG247" t="s">
        <v>3</v>
      </c>
      <c r="BH247">
        <v>3</v>
      </c>
      <c r="BI247">
        <v>2</v>
      </c>
      <c r="BJ247" t="s">
        <v>271</v>
      </c>
      <c r="BM247">
        <v>108001</v>
      </c>
      <c r="BN247">
        <v>0</v>
      </c>
      <c r="BO247" t="s">
        <v>269</v>
      </c>
      <c r="BP247">
        <v>1</v>
      </c>
      <c r="BQ247">
        <v>3</v>
      </c>
      <c r="BR247">
        <v>0</v>
      </c>
      <c r="BS247">
        <v>1</v>
      </c>
      <c r="BT247">
        <v>1</v>
      </c>
      <c r="BU247">
        <v>1</v>
      </c>
      <c r="BV247">
        <v>1</v>
      </c>
      <c r="BW247">
        <v>1</v>
      </c>
      <c r="BX247">
        <v>1</v>
      </c>
      <c r="BY247" t="s">
        <v>3</v>
      </c>
      <c r="BZ247">
        <v>97</v>
      </c>
      <c r="CA247">
        <v>51</v>
      </c>
      <c r="CB247" t="s">
        <v>3</v>
      </c>
      <c r="CE247">
        <v>0</v>
      </c>
      <c r="CF247">
        <v>0</v>
      </c>
      <c r="CG247">
        <v>0</v>
      </c>
      <c r="CM247">
        <v>0</v>
      </c>
      <c r="CN247" t="s">
        <v>3</v>
      </c>
      <c r="CO247">
        <v>0</v>
      </c>
      <c r="CP247">
        <f t="shared" si="199"/>
        <v>115.6</v>
      </c>
      <c r="CQ247">
        <f t="shared" si="200"/>
        <v>2890</v>
      </c>
      <c r="CR247">
        <f t="shared" si="201"/>
        <v>0</v>
      </c>
      <c r="CS247">
        <f t="shared" si="202"/>
        <v>0</v>
      </c>
      <c r="CT247">
        <f t="shared" si="203"/>
        <v>0</v>
      </c>
      <c r="CU247">
        <f t="shared" si="204"/>
        <v>0</v>
      </c>
      <c r="CV247">
        <f t="shared" si="205"/>
        <v>0</v>
      </c>
      <c r="CW247">
        <f t="shared" si="206"/>
        <v>0</v>
      </c>
      <c r="CX247">
        <f t="shared" si="207"/>
        <v>0.2</v>
      </c>
      <c r="CY247">
        <f t="shared" si="208"/>
        <v>0</v>
      </c>
      <c r="CZ247">
        <f t="shared" si="209"/>
        <v>0</v>
      </c>
      <c r="DC247" t="s">
        <v>3</v>
      </c>
      <c r="DD247" t="s">
        <v>3</v>
      </c>
      <c r="DE247" t="s">
        <v>3</v>
      </c>
      <c r="DF247" t="s">
        <v>3</v>
      </c>
      <c r="DG247" t="s">
        <v>3</v>
      </c>
      <c r="DH247" t="s">
        <v>3</v>
      </c>
      <c r="DI247" t="s">
        <v>3</v>
      </c>
      <c r="DJ247" t="s">
        <v>3</v>
      </c>
      <c r="DK247" t="s">
        <v>3</v>
      </c>
      <c r="DL247" t="s">
        <v>3</v>
      </c>
      <c r="DM247" t="s">
        <v>3</v>
      </c>
      <c r="DN247">
        <v>0</v>
      </c>
      <c r="DO247">
        <v>0</v>
      </c>
      <c r="DP247">
        <v>1</v>
      </c>
      <c r="DQ247">
        <v>1</v>
      </c>
      <c r="DU247">
        <v>1010</v>
      </c>
      <c r="DV247" t="s">
        <v>46</v>
      </c>
      <c r="DW247" t="s">
        <v>46</v>
      </c>
      <c r="DX247">
        <v>100</v>
      </c>
      <c r="DZ247" t="s">
        <v>3</v>
      </c>
      <c r="EA247" t="s">
        <v>3</v>
      </c>
      <c r="EB247" t="s">
        <v>3</v>
      </c>
      <c r="EC247" t="s">
        <v>3</v>
      </c>
      <c r="EE247">
        <v>36519883</v>
      </c>
      <c r="EF247">
        <v>3</v>
      </c>
      <c r="EG247" t="s">
        <v>259</v>
      </c>
      <c r="EH247">
        <v>0</v>
      </c>
      <c r="EI247" t="s">
        <v>3</v>
      </c>
      <c r="EJ247">
        <v>2</v>
      </c>
      <c r="EK247">
        <v>108001</v>
      </c>
      <c r="EL247" t="s">
        <v>260</v>
      </c>
      <c r="EM247" t="s">
        <v>261</v>
      </c>
      <c r="EO247" t="s">
        <v>3</v>
      </c>
      <c r="EQ247">
        <v>0</v>
      </c>
      <c r="ER247">
        <v>578</v>
      </c>
      <c r="ES247">
        <v>578</v>
      </c>
      <c r="ET247">
        <v>0</v>
      </c>
      <c r="EU247">
        <v>0</v>
      </c>
      <c r="EV247">
        <v>0</v>
      </c>
      <c r="EW247">
        <v>0</v>
      </c>
      <c r="EX247">
        <v>0</v>
      </c>
      <c r="FQ247">
        <v>0</v>
      </c>
      <c r="FR247">
        <f t="shared" si="210"/>
        <v>0</v>
      </c>
      <c r="FS247">
        <v>0</v>
      </c>
      <c r="FX247">
        <v>97</v>
      </c>
      <c r="FY247">
        <v>51</v>
      </c>
      <c r="GA247" t="s">
        <v>3</v>
      </c>
      <c r="GD247">
        <v>1</v>
      </c>
      <c r="GF247">
        <v>1359760676</v>
      </c>
      <c r="GG247">
        <v>2</v>
      </c>
      <c r="GH247">
        <v>1</v>
      </c>
      <c r="GI247">
        <v>2</v>
      </c>
      <c r="GJ247">
        <v>0</v>
      </c>
      <c r="GK247">
        <v>0</v>
      </c>
      <c r="GL247">
        <f t="shared" si="211"/>
        <v>0</v>
      </c>
      <c r="GM247">
        <f t="shared" si="212"/>
        <v>115.6</v>
      </c>
      <c r="GN247">
        <f t="shared" si="213"/>
        <v>0</v>
      </c>
      <c r="GO247">
        <f t="shared" si="214"/>
        <v>115.6</v>
      </c>
      <c r="GP247">
        <f t="shared" si="215"/>
        <v>0</v>
      </c>
      <c r="GR247">
        <v>0</v>
      </c>
      <c r="GS247">
        <v>3</v>
      </c>
      <c r="GT247">
        <v>0</v>
      </c>
      <c r="GU247" t="s">
        <v>3</v>
      </c>
      <c r="GV247">
        <f t="shared" si="216"/>
        <v>0</v>
      </c>
      <c r="GW247">
        <v>1</v>
      </c>
      <c r="GX247">
        <f t="shared" si="217"/>
        <v>0</v>
      </c>
      <c r="HA247">
        <v>0</v>
      </c>
      <c r="HB247">
        <v>0</v>
      </c>
      <c r="HC247">
        <f t="shared" si="218"/>
        <v>0</v>
      </c>
      <c r="HE247" t="s">
        <v>3</v>
      </c>
      <c r="HF247" t="s">
        <v>3</v>
      </c>
      <c r="HM247" t="s">
        <v>3</v>
      </c>
      <c r="HN247" t="s">
        <v>3</v>
      </c>
      <c r="HO247" t="s">
        <v>3</v>
      </c>
      <c r="HP247" t="s">
        <v>3</v>
      </c>
      <c r="HQ247" t="s">
        <v>3</v>
      </c>
      <c r="IK247">
        <v>0</v>
      </c>
    </row>
    <row r="248" spans="1:245">
      <c r="A248">
        <v>17</v>
      </c>
      <c r="B248">
        <v>1</v>
      </c>
      <c r="C248">
        <f>ROW(SmtRes!A211)</f>
        <v>211</v>
      </c>
      <c r="D248">
        <f>ROW(EtalonRes!A209)</f>
        <v>209</v>
      </c>
      <c r="E248" t="s">
        <v>122</v>
      </c>
      <c r="F248" t="s">
        <v>272</v>
      </c>
      <c r="G248" t="s">
        <v>273</v>
      </c>
      <c r="H248" t="s">
        <v>242</v>
      </c>
      <c r="I248">
        <f>ROUND(0.1/100,9)</f>
        <v>1E-3</v>
      </c>
      <c r="J248">
        <v>0</v>
      </c>
      <c r="K248">
        <f>ROUND(0.1/100,9)</f>
        <v>1E-3</v>
      </c>
      <c r="O248">
        <f t="shared" si="180"/>
        <v>5.73</v>
      </c>
      <c r="P248">
        <f t="shared" si="181"/>
        <v>0.24</v>
      </c>
      <c r="Q248">
        <f t="shared" si="182"/>
        <v>0.28000000000000003</v>
      </c>
      <c r="R248">
        <f t="shared" si="183"/>
        <v>0</v>
      </c>
      <c r="S248">
        <f t="shared" si="184"/>
        <v>5.21</v>
      </c>
      <c r="T248">
        <f t="shared" si="185"/>
        <v>0</v>
      </c>
      <c r="U248">
        <f t="shared" si="186"/>
        <v>1.6289999999999999E-2</v>
      </c>
      <c r="V248">
        <f t="shared" si="187"/>
        <v>1.0000000000000001E-5</v>
      </c>
      <c r="W248">
        <f t="shared" si="188"/>
        <v>0</v>
      </c>
      <c r="X248">
        <f t="shared" si="189"/>
        <v>5.05</v>
      </c>
      <c r="Y248">
        <f t="shared" si="190"/>
        <v>2.66</v>
      </c>
      <c r="AA248">
        <v>35841400</v>
      </c>
      <c r="AB248">
        <f t="shared" si="191"/>
        <v>237.45</v>
      </c>
      <c r="AC248">
        <f t="shared" si="192"/>
        <v>51.33</v>
      </c>
      <c r="AD248">
        <f t="shared" si="193"/>
        <v>31.2</v>
      </c>
      <c r="AE248">
        <f t="shared" si="194"/>
        <v>0.14000000000000001</v>
      </c>
      <c r="AF248">
        <f t="shared" si="194"/>
        <v>154.91999999999999</v>
      </c>
      <c r="AG248">
        <f t="shared" si="195"/>
        <v>0</v>
      </c>
      <c r="AH248">
        <f t="shared" si="196"/>
        <v>16.29</v>
      </c>
      <c r="AI248">
        <f t="shared" si="197"/>
        <v>0.01</v>
      </c>
      <c r="AJ248">
        <f t="shared" si="198"/>
        <v>0</v>
      </c>
      <c r="AK248">
        <v>237.45</v>
      </c>
      <c r="AL248">
        <v>51.33</v>
      </c>
      <c r="AM248">
        <v>31.2</v>
      </c>
      <c r="AN248">
        <v>0.14000000000000001</v>
      </c>
      <c r="AO248">
        <v>154.91999999999999</v>
      </c>
      <c r="AP248">
        <v>0</v>
      </c>
      <c r="AQ248">
        <v>16.29</v>
      </c>
      <c r="AR248">
        <v>0.01</v>
      </c>
      <c r="AS248">
        <v>0</v>
      </c>
      <c r="AT248">
        <v>97</v>
      </c>
      <c r="AU248">
        <v>51</v>
      </c>
      <c r="AV248">
        <v>1</v>
      </c>
      <c r="AW248">
        <v>1</v>
      </c>
      <c r="AZ248">
        <v>1</v>
      </c>
      <c r="BA248">
        <v>33.6</v>
      </c>
      <c r="BB248">
        <v>8.84</v>
      </c>
      <c r="BC248">
        <v>4.66</v>
      </c>
      <c r="BD248" t="s">
        <v>3</v>
      </c>
      <c r="BE248" t="s">
        <v>3</v>
      </c>
      <c r="BF248" t="s">
        <v>3</v>
      </c>
      <c r="BG248" t="s">
        <v>3</v>
      </c>
      <c r="BH248">
        <v>0</v>
      </c>
      <c r="BI248">
        <v>2</v>
      </c>
      <c r="BJ248" t="s">
        <v>274</v>
      </c>
      <c r="BM248">
        <v>108001</v>
      </c>
      <c r="BN248">
        <v>0</v>
      </c>
      <c r="BO248" t="s">
        <v>272</v>
      </c>
      <c r="BP248">
        <v>1</v>
      </c>
      <c r="BQ248">
        <v>3</v>
      </c>
      <c r="BR248">
        <v>0</v>
      </c>
      <c r="BS248">
        <v>33.6</v>
      </c>
      <c r="BT248">
        <v>1</v>
      </c>
      <c r="BU248">
        <v>1</v>
      </c>
      <c r="BV248">
        <v>1</v>
      </c>
      <c r="BW248">
        <v>1</v>
      </c>
      <c r="BX248">
        <v>1</v>
      </c>
      <c r="BY248" t="s">
        <v>3</v>
      </c>
      <c r="BZ248">
        <v>97</v>
      </c>
      <c r="CA248">
        <v>51</v>
      </c>
      <c r="CB248" t="s">
        <v>3</v>
      </c>
      <c r="CE248">
        <v>0</v>
      </c>
      <c r="CF248">
        <v>0</v>
      </c>
      <c r="CG248">
        <v>0</v>
      </c>
      <c r="CM248">
        <v>0</v>
      </c>
      <c r="CN248" t="s">
        <v>3</v>
      </c>
      <c r="CO248">
        <v>0</v>
      </c>
      <c r="CP248">
        <f t="shared" si="199"/>
        <v>5.73</v>
      </c>
      <c r="CQ248">
        <f t="shared" si="200"/>
        <v>239.1978</v>
      </c>
      <c r="CR248">
        <f t="shared" si="201"/>
        <v>275.80799999999999</v>
      </c>
      <c r="CS248">
        <f t="shared" si="202"/>
        <v>4.7040000000000006</v>
      </c>
      <c r="CT248">
        <f t="shared" si="203"/>
        <v>5205.3119999999999</v>
      </c>
      <c r="CU248">
        <f t="shared" si="204"/>
        <v>0</v>
      </c>
      <c r="CV248">
        <f t="shared" si="205"/>
        <v>16.29</v>
      </c>
      <c r="CW248">
        <f t="shared" si="206"/>
        <v>0.01</v>
      </c>
      <c r="CX248">
        <f t="shared" si="207"/>
        <v>0</v>
      </c>
      <c r="CY248">
        <f t="shared" si="208"/>
        <v>5.0537000000000001</v>
      </c>
      <c r="CZ248">
        <f t="shared" si="209"/>
        <v>2.6570999999999998</v>
      </c>
      <c r="DC248" t="s">
        <v>3</v>
      </c>
      <c r="DD248" t="s">
        <v>3</v>
      </c>
      <c r="DE248" t="s">
        <v>3</v>
      </c>
      <c r="DF248" t="s">
        <v>3</v>
      </c>
      <c r="DG248" t="s">
        <v>3</v>
      </c>
      <c r="DH248" t="s">
        <v>3</v>
      </c>
      <c r="DI248" t="s">
        <v>3</v>
      </c>
      <c r="DJ248" t="s">
        <v>3</v>
      </c>
      <c r="DK248" t="s">
        <v>3</v>
      </c>
      <c r="DL248" t="s">
        <v>3</v>
      </c>
      <c r="DM248" t="s">
        <v>3</v>
      </c>
      <c r="DN248">
        <v>0</v>
      </c>
      <c r="DO248">
        <v>0</v>
      </c>
      <c r="DP248">
        <v>1</v>
      </c>
      <c r="DQ248">
        <v>1</v>
      </c>
      <c r="DU248">
        <v>1003</v>
      </c>
      <c r="DV248" t="s">
        <v>242</v>
      </c>
      <c r="DW248" t="s">
        <v>242</v>
      </c>
      <c r="DX248">
        <v>100</v>
      </c>
      <c r="DZ248" t="s">
        <v>3</v>
      </c>
      <c r="EA248" t="s">
        <v>3</v>
      </c>
      <c r="EB248" t="s">
        <v>3</v>
      </c>
      <c r="EC248" t="s">
        <v>3</v>
      </c>
      <c r="EE248">
        <v>36519883</v>
      </c>
      <c r="EF248">
        <v>3</v>
      </c>
      <c r="EG248" t="s">
        <v>259</v>
      </c>
      <c r="EH248">
        <v>0</v>
      </c>
      <c r="EI248" t="s">
        <v>3</v>
      </c>
      <c r="EJ248">
        <v>2</v>
      </c>
      <c r="EK248">
        <v>108001</v>
      </c>
      <c r="EL248" t="s">
        <v>260</v>
      </c>
      <c r="EM248" t="s">
        <v>261</v>
      </c>
      <c r="EO248" t="s">
        <v>3</v>
      </c>
      <c r="EQ248">
        <v>0</v>
      </c>
      <c r="ER248">
        <v>237.45</v>
      </c>
      <c r="ES248">
        <v>51.33</v>
      </c>
      <c r="ET248">
        <v>31.2</v>
      </c>
      <c r="EU248">
        <v>0.14000000000000001</v>
      </c>
      <c r="EV248">
        <v>154.91999999999999</v>
      </c>
      <c r="EW248">
        <v>16.29</v>
      </c>
      <c r="EX248">
        <v>0.01</v>
      </c>
      <c r="EY248">
        <v>0</v>
      </c>
      <c r="FQ248">
        <v>0</v>
      </c>
      <c r="FR248">
        <f t="shared" si="210"/>
        <v>0</v>
      </c>
      <c r="FS248">
        <v>0</v>
      </c>
      <c r="FX248">
        <v>97</v>
      </c>
      <c r="FY248">
        <v>51</v>
      </c>
      <c r="GA248" t="s">
        <v>3</v>
      </c>
      <c r="GD248">
        <v>1</v>
      </c>
      <c r="GF248">
        <v>-1230240878</v>
      </c>
      <c r="GG248">
        <v>2</v>
      </c>
      <c r="GH248">
        <v>1</v>
      </c>
      <c r="GI248">
        <v>2</v>
      </c>
      <c r="GJ248">
        <v>0</v>
      </c>
      <c r="GK248">
        <v>0</v>
      </c>
      <c r="GL248">
        <f t="shared" si="211"/>
        <v>0</v>
      </c>
      <c r="GM248">
        <f t="shared" si="212"/>
        <v>13.44</v>
      </c>
      <c r="GN248">
        <f t="shared" si="213"/>
        <v>0</v>
      </c>
      <c r="GO248">
        <f t="shared" si="214"/>
        <v>13.44</v>
      </c>
      <c r="GP248">
        <f t="shared" si="215"/>
        <v>0</v>
      </c>
      <c r="GR248">
        <v>0</v>
      </c>
      <c r="GS248">
        <v>3</v>
      </c>
      <c r="GT248">
        <v>0</v>
      </c>
      <c r="GU248" t="s">
        <v>3</v>
      </c>
      <c r="GV248">
        <f t="shared" si="216"/>
        <v>0</v>
      </c>
      <c r="GW248">
        <v>1</v>
      </c>
      <c r="GX248">
        <f t="shared" si="217"/>
        <v>0</v>
      </c>
      <c r="HA248">
        <v>0</v>
      </c>
      <c r="HB248">
        <v>0</v>
      </c>
      <c r="HC248">
        <f t="shared" si="218"/>
        <v>0</v>
      </c>
      <c r="HE248" t="s">
        <v>3</v>
      </c>
      <c r="HF248" t="s">
        <v>3</v>
      </c>
      <c r="HM248" t="s">
        <v>3</v>
      </c>
      <c r="HN248" t="s">
        <v>3</v>
      </c>
      <c r="HO248" t="s">
        <v>3</v>
      </c>
      <c r="HP248" t="s">
        <v>3</v>
      </c>
      <c r="HQ248" t="s">
        <v>3</v>
      </c>
      <c r="IK248">
        <v>0</v>
      </c>
    </row>
    <row r="249" spans="1:245">
      <c r="A249">
        <v>18</v>
      </c>
      <c r="B249">
        <v>1</v>
      </c>
      <c r="C249">
        <v>210</v>
      </c>
      <c r="E249" t="s">
        <v>275</v>
      </c>
      <c r="F249" t="s">
        <v>276</v>
      </c>
      <c r="G249" t="s">
        <v>277</v>
      </c>
      <c r="H249" t="s">
        <v>242</v>
      </c>
      <c r="I249">
        <f>I248*J249</f>
        <v>1E-3</v>
      </c>
      <c r="J249">
        <v>1</v>
      </c>
      <c r="K249">
        <v>1</v>
      </c>
      <c r="O249">
        <f t="shared" si="180"/>
        <v>1.61</v>
      </c>
      <c r="P249">
        <f t="shared" si="181"/>
        <v>1.61</v>
      </c>
      <c r="Q249">
        <f t="shared" si="182"/>
        <v>0</v>
      </c>
      <c r="R249">
        <f t="shared" si="183"/>
        <v>0</v>
      </c>
      <c r="S249">
        <f t="shared" si="184"/>
        <v>0</v>
      </c>
      <c r="T249">
        <f t="shared" si="185"/>
        <v>0</v>
      </c>
      <c r="U249">
        <f t="shared" si="186"/>
        <v>0</v>
      </c>
      <c r="V249">
        <f t="shared" si="187"/>
        <v>0</v>
      </c>
      <c r="W249">
        <f t="shared" si="188"/>
        <v>0</v>
      </c>
      <c r="X249">
        <f t="shared" si="189"/>
        <v>0</v>
      </c>
      <c r="Y249">
        <f t="shared" si="190"/>
        <v>0</v>
      </c>
      <c r="AA249">
        <v>35841400</v>
      </c>
      <c r="AB249">
        <f t="shared" si="191"/>
        <v>121</v>
      </c>
      <c r="AC249">
        <f t="shared" si="192"/>
        <v>121</v>
      </c>
      <c r="AD249">
        <f t="shared" si="193"/>
        <v>0</v>
      </c>
      <c r="AE249">
        <f t="shared" si="194"/>
        <v>0</v>
      </c>
      <c r="AF249">
        <f t="shared" si="194"/>
        <v>0</v>
      </c>
      <c r="AG249">
        <f t="shared" si="195"/>
        <v>0</v>
      </c>
      <c r="AH249">
        <f t="shared" si="196"/>
        <v>0</v>
      </c>
      <c r="AI249">
        <f t="shared" si="197"/>
        <v>0</v>
      </c>
      <c r="AJ249">
        <f t="shared" si="198"/>
        <v>0.35</v>
      </c>
      <c r="AK249">
        <v>121</v>
      </c>
      <c r="AL249">
        <v>121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0.35</v>
      </c>
      <c r="AT249">
        <v>97</v>
      </c>
      <c r="AU249">
        <v>51</v>
      </c>
      <c r="AV249">
        <v>1</v>
      </c>
      <c r="AW249">
        <v>1</v>
      </c>
      <c r="AZ249">
        <v>1</v>
      </c>
      <c r="BA249">
        <v>1</v>
      </c>
      <c r="BB249">
        <v>1</v>
      </c>
      <c r="BC249">
        <v>13.34</v>
      </c>
      <c r="BD249" t="s">
        <v>3</v>
      </c>
      <c r="BE249" t="s">
        <v>3</v>
      </c>
      <c r="BF249" t="s">
        <v>3</v>
      </c>
      <c r="BG249" t="s">
        <v>3</v>
      </c>
      <c r="BH249">
        <v>3</v>
      </c>
      <c r="BI249">
        <v>2</v>
      </c>
      <c r="BJ249" t="s">
        <v>278</v>
      </c>
      <c r="BM249">
        <v>108001</v>
      </c>
      <c r="BN249">
        <v>0</v>
      </c>
      <c r="BO249" t="s">
        <v>276</v>
      </c>
      <c r="BP249">
        <v>1</v>
      </c>
      <c r="BQ249">
        <v>3</v>
      </c>
      <c r="BR249">
        <v>0</v>
      </c>
      <c r="BS249">
        <v>1</v>
      </c>
      <c r="BT249">
        <v>1</v>
      </c>
      <c r="BU249">
        <v>1</v>
      </c>
      <c r="BV249">
        <v>1</v>
      </c>
      <c r="BW249">
        <v>1</v>
      </c>
      <c r="BX249">
        <v>1</v>
      </c>
      <c r="BY249" t="s">
        <v>3</v>
      </c>
      <c r="BZ249">
        <v>97</v>
      </c>
      <c r="CA249">
        <v>51</v>
      </c>
      <c r="CB249" t="s">
        <v>3</v>
      </c>
      <c r="CE249">
        <v>0</v>
      </c>
      <c r="CF249">
        <v>0</v>
      </c>
      <c r="CG249">
        <v>0</v>
      </c>
      <c r="CM249">
        <v>0</v>
      </c>
      <c r="CN249" t="s">
        <v>3</v>
      </c>
      <c r="CO249">
        <v>0</v>
      </c>
      <c r="CP249">
        <f t="shared" si="199"/>
        <v>1.61</v>
      </c>
      <c r="CQ249">
        <f t="shared" si="200"/>
        <v>1614.1399999999999</v>
      </c>
      <c r="CR249">
        <f t="shared" si="201"/>
        <v>0</v>
      </c>
      <c r="CS249">
        <f t="shared" si="202"/>
        <v>0</v>
      </c>
      <c r="CT249">
        <f t="shared" si="203"/>
        <v>0</v>
      </c>
      <c r="CU249">
        <f t="shared" si="204"/>
        <v>0</v>
      </c>
      <c r="CV249">
        <f t="shared" si="205"/>
        <v>0</v>
      </c>
      <c r="CW249">
        <f t="shared" si="206"/>
        <v>0</v>
      </c>
      <c r="CX249">
        <f t="shared" si="207"/>
        <v>0.35</v>
      </c>
      <c r="CY249">
        <f t="shared" si="208"/>
        <v>0</v>
      </c>
      <c r="CZ249">
        <f t="shared" si="209"/>
        <v>0</v>
      </c>
      <c r="DC249" t="s">
        <v>3</v>
      </c>
      <c r="DD249" t="s">
        <v>3</v>
      </c>
      <c r="DE249" t="s">
        <v>3</v>
      </c>
      <c r="DF249" t="s">
        <v>3</v>
      </c>
      <c r="DG249" t="s">
        <v>3</v>
      </c>
      <c r="DH249" t="s">
        <v>3</v>
      </c>
      <c r="DI249" t="s">
        <v>3</v>
      </c>
      <c r="DJ249" t="s">
        <v>3</v>
      </c>
      <c r="DK249" t="s">
        <v>3</v>
      </c>
      <c r="DL249" t="s">
        <v>3</v>
      </c>
      <c r="DM249" t="s">
        <v>3</v>
      </c>
      <c r="DN249">
        <v>0</v>
      </c>
      <c r="DO249">
        <v>0</v>
      </c>
      <c r="DP249">
        <v>1</v>
      </c>
      <c r="DQ249">
        <v>1</v>
      </c>
      <c r="DU249">
        <v>1003</v>
      </c>
      <c r="DV249" t="s">
        <v>242</v>
      </c>
      <c r="DW249" t="s">
        <v>242</v>
      </c>
      <c r="DX249">
        <v>100</v>
      </c>
      <c r="DZ249" t="s">
        <v>3</v>
      </c>
      <c r="EA249" t="s">
        <v>3</v>
      </c>
      <c r="EB249" t="s">
        <v>3</v>
      </c>
      <c r="EC249" t="s">
        <v>3</v>
      </c>
      <c r="EE249">
        <v>36519883</v>
      </c>
      <c r="EF249">
        <v>3</v>
      </c>
      <c r="EG249" t="s">
        <v>259</v>
      </c>
      <c r="EH249">
        <v>0</v>
      </c>
      <c r="EI249" t="s">
        <v>3</v>
      </c>
      <c r="EJ249">
        <v>2</v>
      </c>
      <c r="EK249">
        <v>108001</v>
      </c>
      <c r="EL249" t="s">
        <v>260</v>
      </c>
      <c r="EM249" t="s">
        <v>261</v>
      </c>
      <c r="EO249" t="s">
        <v>3</v>
      </c>
      <c r="EQ249">
        <v>0</v>
      </c>
      <c r="ER249">
        <v>121</v>
      </c>
      <c r="ES249">
        <v>121</v>
      </c>
      <c r="ET249">
        <v>0</v>
      </c>
      <c r="EU249">
        <v>0</v>
      </c>
      <c r="EV249">
        <v>0</v>
      </c>
      <c r="EW249">
        <v>0</v>
      </c>
      <c r="EX249">
        <v>0</v>
      </c>
      <c r="FQ249">
        <v>0</v>
      </c>
      <c r="FR249">
        <f t="shared" si="210"/>
        <v>0</v>
      </c>
      <c r="FS249">
        <v>0</v>
      </c>
      <c r="FX249">
        <v>97</v>
      </c>
      <c r="FY249">
        <v>51</v>
      </c>
      <c r="GA249" t="s">
        <v>3</v>
      </c>
      <c r="GD249">
        <v>1</v>
      </c>
      <c r="GF249">
        <v>-1721556227</v>
      </c>
      <c r="GG249">
        <v>2</v>
      </c>
      <c r="GH249">
        <v>1</v>
      </c>
      <c r="GI249">
        <v>2</v>
      </c>
      <c r="GJ249">
        <v>0</v>
      </c>
      <c r="GK249">
        <v>0</v>
      </c>
      <c r="GL249">
        <f t="shared" si="211"/>
        <v>0</v>
      </c>
      <c r="GM249">
        <f t="shared" si="212"/>
        <v>1.61</v>
      </c>
      <c r="GN249">
        <f t="shared" si="213"/>
        <v>0</v>
      </c>
      <c r="GO249">
        <f t="shared" si="214"/>
        <v>1.61</v>
      </c>
      <c r="GP249">
        <f t="shared" si="215"/>
        <v>0</v>
      </c>
      <c r="GR249">
        <v>0</v>
      </c>
      <c r="GS249">
        <v>3</v>
      </c>
      <c r="GT249">
        <v>0</v>
      </c>
      <c r="GU249" t="s">
        <v>3</v>
      </c>
      <c r="GV249">
        <f t="shared" si="216"/>
        <v>0</v>
      </c>
      <c r="GW249">
        <v>1</v>
      </c>
      <c r="GX249">
        <f t="shared" si="217"/>
        <v>0</v>
      </c>
      <c r="HA249">
        <v>0</v>
      </c>
      <c r="HB249">
        <v>0</v>
      </c>
      <c r="HC249">
        <f t="shared" si="218"/>
        <v>0</v>
      </c>
      <c r="HE249" t="s">
        <v>3</v>
      </c>
      <c r="HF249" t="s">
        <v>3</v>
      </c>
      <c r="HM249" t="s">
        <v>3</v>
      </c>
      <c r="HN249" t="s">
        <v>3</v>
      </c>
      <c r="HO249" t="s">
        <v>3</v>
      </c>
      <c r="HP249" t="s">
        <v>3</v>
      </c>
      <c r="HQ249" t="s">
        <v>3</v>
      </c>
      <c r="IK249">
        <v>0</v>
      </c>
    </row>
    <row r="250" spans="1:245">
      <c r="A250">
        <v>17</v>
      </c>
      <c r="B250">
        <v>1</v>
      </c>
      <c r="C250">
        <f>ROW(SmtRes!A220)</f>
        <v>220</v>
      </c>
      <c r="D250">
        <f>ROW(EtalonRes!A217)</f>
        <v>217</v>
      </c>
      <c r="E250" t="s">
        <v>43</v>
      </c>
      <c r="F250" t="s">
        <v>279</v>
      </c>
      <c r="G250" t="s">
        <v>280</v>
      </c>
      <c r="H250" t="s">
        <v>242</v>
      </c>
      <c r="I250">
        <f>ROUND(100/100,9)</f>
        <v>1</v>
      </c>
      <c r="J250">
        <v>0</v>
      </c>
      <c r="K250">
        <f>ROUND(100/100,9)</f>
        <v>1</v>
      </c>
      <c r="O250">
        <f t="shared" si="180"/>
        <v>976.41</v>
      </c>
      <c r="P250">
        <f t="shared" si="181"/>
        <v>65.2</v>
      </c>
      <c r="Q250">
        <f t="shared" si="182"/>
        <v>20.47</v>
      </c>
      <c r="R250">
        <f t="shared" si="183"/>
        <v>4.7</v>
      </c>
      <c r="S250">
        <f t="shared" si="184"/>
        <v>890.74</v>
      </c>
      <c r="T250">
        <f t="shared" si="185"/>
        <v>0</v>
      </c>
      <c r="U250">
        <f t="shared" si="186"/>
        <v>2.82</v>
      </c>
      <c r="V250">
        <f t="shared" si="187"/>
        <v>0.01</v>
      </c>
      <c r="W250">
        <f t="shared" si="188"/>
        <v>0</v>
      </c>
      <c r="X250">
        <f t="shared" si="189"/>
        <v>868.58</v>
      </c>
      <c r="Y250">
        <f t="shared" si="190"/>
        <v>456.67</v>
      </c>
      <c r="AA250">
        <v>35841400</v>
      </c>
      <c r="AB250">
        <f t="shared" si="191"/>
        <v>41.59</v>
      </c>
      <c r="AC250">
        <f t="shared" si="192"/>
        <v>12.86</v>
      </c>
      <c r="AD250">
        <f t="shared" si="193"/>
        <v>2.2200000000000002</v>
      </c>
      <c r="AE250">
        <f t="shared" si="194"/>
        <v>0.14000000000000001</v>
      </c>
      <c r="AF250">
        <f t="shared" si="194"/>
        <v>26.51</v>
      </c>
      <c r="AG250">
        <f t="shared" si="195"/>
        <v>0</v>
      </c>
      <c r="AH250">
        <f t="shared" si="196"/>
        <v>2.82</v>
      </c>
      <c r="AI250">
        <f t="shared" si="197"/>
        <v>0.01</v>
      </c>
      <c r="AJ250">
        <f t="shared" si="198"/>
        <v>0</v>
      </c>
      <c r="AK250">
        <v>41.59</v>
      </c>
      <c r="AL250">
        <v>12.86</v>
      </c>
      <c r="AM250">
        <v>2.2200000000000002</v>
      </c>
      <c r="AN250">
        <v>0.14000000000000001</v>
      </c>
      <c r="AO250">
        <v>26.51</v>
      </c>
      <c r="AP250">
        <v>0</v>
      </c>
      <c r="AQ250">
        <v>2.82</v>
      </c>
      <c r="AR250">
        <v>0.01</v>
      </c>
      <c r="AS250">
        <v>0</v>
      </c>
      <c r="AT250">
        <v>97</v>
      </c>
      <c r="AU250">
        <v>51</v>
      </c>
      <c r="AV250">
        <v>1</v>
      </c>
      <c r="AW250">
        <v>1</v>
      </c>
      <c r="AZ250">
        <v>1</v>
      </c>
      <c r="BA250">
        <v>33.6</v>
      </c>
      <c r="BB250">
        <v>9.2200000000000006</v>
      </c>
      <c r="BC250">
        <v>5.07</v>
      </c>
      <c r="BD250" t="s">
        <v>3</v>
      </c>
      <c r="BE250" t="s">
        <v>3</v>
      </c>
      <c r="BF250" t="s">
        <v>3</v>
      </c>
      <c r="BG250" t="s">
        <v>3</v>
      </c>
      <c r="BH250">
        <v>0</v>
      </c>
      <c r="BI250">
        <v>2</v>
      </c>
      <c r="BJ250" t="s">
        <v>281</v>
      </c>
      <c r="BM250">
        <v>108001</v>
      </c>
      <c r="BN250">
        <v>0</v>
      </c>
      <c r="BO250" t="s">
        <v>279</v>
      </c>
      <c r="BP250">
        <v>1</v>
      </c>
      <c r="BQ250">
        <v>3</v>
      </c>
      <c r="BR250">
        <v>0</v>
      </c>
      <c r="BS250">
        <v>33.6</v>
      </c>
      <c r="BT250">
        <v>1</v>
      </c>
      <c r="BU250">
        <v>1</v>
      </c>
      <c r="BV250">
        <v>1</v>
      </c>
      <c r="BW250">
        <v>1</v>
      </c>
      <c r="BX250">
        <v>1</v>
      </c>
      <c r="BY250" t="s">
        <v>3</v>
      </c>
      <c r="BZ250">
        <v>97</v>
      </c>
      <c r="CA250">
        <v>51</v>
      </c>
      <c r="CB250" t="s">
        <v>3</v>
      </c>
      <c r="CE250">
        <v>0</v>
      </c>
      <c r="CF250">
        <v>0</v>
      </c>
      <c r="CG250">
        <v>0</v>
      </c>
      <c r="CM250">
        <v>0</v>
      </c>
      <c r="CN250" t="s">
        <v>3</v>
      </c>
      <c r="CO250">
        <v>0</v>
      </c>
      <c r="CP250">
        <f t="shared" si="199"/>
        <v>976.41</v>
      </c>
      <c r="CQ250">
        <f t="shared" si="200"/>
        <v>65.200199999999995</v>
      </c>
      <c r="CR250">
        <f t="shared" si="201"/>
        <v>20.468400000000003</v>
      </c>
      <c r="CS250">
        <f t="shared" si="202"/>
        <v>4.7040000000000006</v>
      </c>
      <c r="CT250">
        <f t="shared" si="203"/>
        <v>890.7360000000001</v>
      </c>
      <c r="CU250">
        <f t="shared" si="204"/>
        <v>0</v>
      </c>
      <c r="CV250">
        <f t="shared" si="205"/>
        <v>2.82</v>
      </c>
      <c r="CW250">
        <f t="shared" si="206"/>
        <v>0.01</v>
      </c>
      <c r="CX250">
        <f t="shared" si="207"/>
        <v>0</v>
      </c>
      <c r="CY250">
        <f t="shared" si="208"/>
        <v>868.57680000000005</v>
      </c>
      <c r="CZ250">
        <f t="shared" si="209"/>
        <v>456.67440000000005</v>
      </c>
      <c r="DC250" t="s">
        <v>3</v>
      </c>
      <c r="DD250" t="s">
        <v>3</v>
      </c>
      <c r="DE250" t="s">
        <v>3</v>
      </c>
      <c r="DF250" t="s">
        <v>3</v>
      </c>
      <c r="DG250" t="s">
        <v>3</v>
      </c>
      <c r="DH250" t="s">
        <v>3</v>
      </c>
      <c r="DI250" t="s">
        <v>3</v>
      </c>
      <c r="DJ250" t="s">
        <v>3</v>
      </c>
      <c r="DK250" t="s">
        <v>3</v>
      </c>
      <c r="DL250" t="s">
        <v>3</v>
      </c>
      <c r="DM250" t="s">
        <v>3</v>
      </c>
      <c r="DN250">
        <v>0</v>
      </c>
      <c r="DO250">
        <v>0</v>
      </c>
      <c r="DP250">
        <v>1</v>
      </c>
      <c r="DQ250">
        <v>1</v>
      </c>
      <c r="DU250">
        <v>1003</v>
      </c>
      <c r="DV250" t="s">
        <v>242</v>
      </c>
      <c r="DW250" t="s">
        <v>242</v>
      </c>
      <c r="DX250">
        <v>100</v>
      </c>
      <c r="DZ250" t="s">
        <v>3</v>
      </c>
      <c r="EA250" t="s">
        <v>3</v>
      </c>
      <c r="EB250" t="s">
        <v>3</v>
      </c>
      <c r="EC250" t="s">
        <v>3</v>
      </c>
      <c r="EE250">
        <v>36519883</v>
      </c>
      <c r="EF250">
        <v>3</v>
      </c>
      <c r="EG250" t="s">
        <v>259</v>
      </c>
      <c r="EH250">
        <v>0</v>
      </c>
      <c r="EI250" t="s">
        <v>3</v>
      </c>
      <c r="EJ250">
        <v>2</v>
      </c>
      <c r="EK250">
        <v>108001</v>
      </c>
      <c r="EL250" t="s">
        <v>260</v>
      </c>
      <c r="EM250" t="s">
        <v>261</v>
      </c>
      <c r="EO250" t="s">
        <v>3</v>
      </c>
      <c r="EQ250">
        <v>0</v>
      </c>
      <c r="ER250">
        <v>41.59</v>
      </c>
      <c r="ES250">
        <v>12.86</v>
      </c>
      <c r="ET250">
        <v>2.2200000000000002</v>
      </c>
      <c r="EU250">
        <v>0.14000000000000001</v>
      </c>
      <c r="EV250">
        <v>26.51</v>
      </c>
      <c r="EW250">
        <v>2.82</v>
      </c>
      <c r="EX250">
        <v>0.01</v>
      </c>
      <c r="EY250">
        <v>0</v>
      </c>
      <c r="FQ250">
        <v>0</v>
      </c>
      <c r="FR250">
        <f t="shared" si="210"/>
        <v>0</v>
      </c>
      <c r="FS250">
        <v>0</v>
      </c>
      <c r="FX250">
        <v>97</v>
      </c>
      <c r="FY250">
        <v>51</v>
      </c>
      <c r="GA250" t="s">
        <v>3</v>
      </c>
      <c r="GD250">
        <v>1</v>
      </c>
      <c r="GF250">
        <v>-1785334863</v>
      </c>
      <c r="GG250">
        <v>2</v>
      </c>
      <c r="GH250">
        <v>1</v>
      </c>
      <c r="GI250">
        <v>2</v>
      </c>
      <c r="GJ250">
        <v>0</v>
      </c>
      <c r="GK250">
        <v>0</v>
      </c>
      <c r="GL250">
        <f t="shared" si="211"/>
        <v>0</v>
      </c>
      <c r="GM250">
        <f t="shared" si="212"/>
        <v>2301.66</v>
      </c>
      <c r="GN250">
        <f t="shared" si="213"/>
        <v>0</v>
      </c>
      <c r="GO250">
        <f t="shared" si="214"/>
        <v>2301.66</v>
      </c>
      <c r="GP250">
        <f t="shared" si="215"/>
        <v>0</v>
      </c>
      <c r="GR250">
        <v>0</v>
      </c>
      <c r="GS250">
        <v>3</v>
      </c>
      <c r="GT250">
        <v>0</v>
      </c>
      <c r="GU250" t="s">
        <v>3</v>
      </c>
      <c r="GV250">
        <f t="shared" si="216"/>
        <v>0</v>
      </c>
      <c r="GW250">
        <v>1</v>
      </c>
      <c r="GX250">
        <f t="shared" si="217"/>
        <v>0</v>
      </c>
      <c r="HA250">
        <v>0</v>
      </c>
      <c r="HB250">
        <v>0</v>
      </c>
      <c r="HC250">
        <f t="shared" si="218"/>
        <v>0</v>
      </c>
      <c r="HE250" t="s">
        <v>3</v>
      </c>
      <c r="HF250" t="s">
        <v>3</v>
      </c>
      <c r="HM250" t="s">
        <v>3</v>
      </c>
      <c r="HN250" t="s">
        <v>3</v>
      </c>
      <c r="HO250" t="s">
        <v>3</v>
      </c>
      <c r="HP250" t="s">
        <v>3</v>
      </c>
      <c r="HQ250" t="s">
        <v>3</v>
      </c>
      <c r="IK250">
        <v>0</v>
      </c>
    </row>
    <row r="251" spans="1:245">
      <c r="A251">
        <v>18</v>
      </c>
      <c r="B251">
        <v>1</v>
      </c>
      <c r="C251">
        <v>219</v>
      </c>
      <c r="E251" t="s">
        <v>246</v>
      </c>
      <c r="F251" t="s">
        <v>282</v>
      </c>
      <c r="G251" t="s">
        <v>283</v>
      </c>
      <c r="H251" t="s">
        <v>284</v>
      </c>
      <c r="I251">
        <f>I250*J251</f>
        <v>0.1</v>
      </c>
      <c r="J251">
        <v>0.1</v>
      </c>
      <c r="K251">
        <v>0.1</v>
      </c>
      <c r="O251">
        <f t="shared" si="180"/>
        <v>3320.34</v>
      </c>
      <c r="P251">
        <f t="shared" si="181"/>
        <v>3320.34</v>
      </c>
      <c r="Q251">
        <f t="shared" si="182"/>
        <v>0</v>
      </c>
      <c r="R251">
        <f t="shared" si="183"/>
        <v>0</v>
      </c>
      <c r="S251">
        <f t="shared" si="184"/>
        <v>0</v>
      </c>
      <c r="T251">
        <f t="shared" si="185"/>
        <v>0</v>
      </c>
      <c r="U251">
        <f t="shared" si="186"/>
        <v>0</v>
      </c>
      <c r="V251">
        <f t="shared" si="187"/>
        <v>0</v>
      </c>
      <c r="W251">
        <f t="shared" si="188"/>
        <v>0.52</v>
      </c>
      <c r="X251">
        <f t="shared" si="189"/>
        <v>0</v>
      </c>
      <c r="Y251">
        <f t="shared" si="190"/>
        <v>0</v>
      </c>
      <c r="AA251">
        <v>35841400</v>
      </c>
      <c r="AB251">
        <f t="shared" si="191"/>
        <v>4329</v>
      </c>
      <c r="AC251">
        <f t="shared" si="192"/>
        <v>4329</v>
      </c>
      <c r="AD251">
        <f t="shared" si="193"/>
        <v>0</v>
      </c>
      <c r="AE251">
        <f t="shared" si="194"/>
        <v>0</v>
      </c>
      <c r="AF251">
        <f t="shared" si="194"/>
        <v>0</v>
      </c>
      <c r="AG251">
        <f t="shared" si="195"/>
        <v>0</v>
      </c>
      <c r="AH251">
        <f t="shared" si="196"/>
        <v>0</v>
      </c>
      <c r="AI251">
        <f t="shared" si="197"/>
        <v>0</v>
      </c>
      <c r="AJ251">
        <f t="shared" si="198"/>
        <v>5.2</v>
      </c>
      <c r="AK251">
        <v>4329</v>
      </c>
      <c r="AL251">
        <v>4329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5.2</v>
      </c>
      <c r="AT251">
        <v>97</v>
      </c>
      <c r="AU251">
        <v>51</v>
      </c>
      <c r="AV251">
        <v>1</v>
      </c>
      <c r="AW251">
        <v>1</v>
      </c>
      <c r="AZ251">
        <v>1</v>
      </c>
      <c r="BA251">
        <v>1</v>
      </c>
      <c r="BB251">
        <v>1</v>
      </c>
      <c r="BC251">
        <v>7.67</v>
      </c>
      <c r="BD251" t="s">
        <v>3</v>
      </c>
      <c r="BE251" t="s">
        <v>3</v>
      </c>
      <c r="BF251" t="s">
        <v>3</v>
      </c>
      <c r="BG251" t="s">
        <v>3</v>
      </c>
      <c r="BH251">
        <v>3</v>
      </c>
      <c r="BI251">
        <v>2</v>
      </c>
      <c r="BJ251" t="s">
        <v>285</v>
      </c>
      <c r="BM251">
        <v>108001</v>
      </c>
      <c r="BN251">
        <v>0</v>
      </c>
      <c r="BO251" t="s">
        <v>282</v>
      </c>
      <c r="BP251">
        <v>1</v>
      </c>
      <c r="BQ251">
        <v>3</v>
      </c>
      <c r="BR251">
        <v>0</v>
      </c>
      <c r="BS251">
        <v>1</v>
      </c>
      <c r="BT251">
        <v>1</v>
      </c>
      <c r="BU251">
        <v>1</v>
      </c>
      <c r="BV251">
        <v>1</v>
      </c>
      <c r="BW251">
        <v>1</v>
      </c>
      <c r="BX251">
        <v>1</v>
      </c>
      <c r="BY251" t="s">
        <v>3</v>
      </c>
      <c r="BZ251">
        <v>97</v>
      </c>
      <c r="CA251">
        <v>51</v>
      </c>
      <c r="CB251" t="s">
        <v>3</v>
      </c>
      <c r="CE251">
        <v>0</v>
      </c>
      <c r="CF251">
        <v>0</v>
      </c>
      <c r="CG251">
        <v>0</v>
      </c>
      <c r="CM251">
        <v>0</v>
      </c>
      <c r="CN251" t="s">
        <v>3</v>
      </c>
      <c r="CO251">
        <v>0</v>
      </c>
      <c r="CP251">
        <f t="shared" si="199"/>
        <v>3320.34</v>
      </c>
      <c r="CQ251">
        <f t="shared" si="200"/>
        <v>33203.43</v>
      </c>
      <c r="CR251">
        <f t="shared" si="201"/>
        <v>0</v>
      </c>
      <c r="CS251">
        <f t="shared" si="202"/>
        <v>0</v>
      </c>
      <c r="CT251">
        <f t="shared" si="203"/>
        <v>0</v>
      </c>
      <c r="CU251">
        <f t="shared" si="204"/>
        <v>0</v>
      </c>
      <c r="CV251">
        <f t="shared" si="205"/>
        <v>0</v>
      </c>
      <c r="CW251">
        <f t="shared" si="206"/>
        <v>0</v>
      </c>
      <c r="CX251">
        <f t="shared" si="207"/>
        <v>5.2</v>
      </c>
      <c r="CY251">
        <f t="shared" si="208"/>
        <v>0</v>
      </c>
      <c r="CZ251">
        <f t="shared" si="209"/>
        <v>0</v>
      </c>
      <c r="DC251" t="s">
        <v>3</v>
      </c>
      <c r="DD251" t="s">
        <v>3</v>
      </c>
      <c r="DE251" t="s">
        <v>3</v>
      </c>
      <c r="DF251" t="s">
        <v>3</v>
      </c>
      <c r="DG251" t="s">
        <v>3</v>
      </c>
      <c r="DH251" t="s">
        <v>3</v>
      </c>
      <c r="DI251" t="s">
        <v>3</v>
      </c>
      <c r="DJ251" t="s">
        <v>3</v>
      </c>
      <c r="DK251" t="s">
        <v>3</v>
      </c>
      <c r="DL251" t="s">
        <v>3</v>
      </c>
      <c r="DM251" t="s">
        <v>3</v>
      </c>
      <c r="DN251">
        <v>0</v>
      </c>
      <c r="DO251">
        <v>0</v>
      </c>
      <c r="DP251">
        <v>1</v>
      </c>
      <c r="DQ251">
        <v>1</v>
      </c>
      <c r="DU251">
        <v>1013</v>
      </c>
      <c r="DV251" t="s">
        <v>284</v>
      </c>
      <c r="DW251" t="s">
        <v>286</v>
      </c>
      <c r="DX251">
        <v>1</v>
      </c>
      <c r="DZ251" t="s">
        <v>3</v>
      </c>
      <c r="EA251" t="s">
        <v>3</v>
      </c>
      <c r="EB251" t="s">
        <v>3</v>
      </c>
      <c r="EC251" t="s">
        <v>3</v>
      </c>
      <c r="EE251">
        <v>36519883</v>
      </c>
      <c r="EF251">
        <v>3</v>
      </c>
      <c r="EG251" t="s">
        <v>259</v>
      </c>
      <c r="EH251">
        <v>0</v>
      </c>
      <c r="EI251" t="s">
        <v>3</v>
      </c>
      <c r="EJ251">
        <v>2</v>
      </c>
      <c r="EK251">
        <v>108001</v>
      </c>
      <c r="EL251" t="s">
        <v>260</v>
      </c>
      <c r="EM251" t="s">
        <v>261</v>
      </c>
      <c r="EO251" t="s">
        <v>3</v>
      </c>
      <c r="EQ251">
        <v>0</v>
      </c>
      <c r="ER251">
        <v>4329</v>
      </c>
      <c r="ES251">
        <v>4329</v>
      </c>
      <c r="ET251">
        <v>0</v>
      </c>
      <c r="EU251">
        <v>0</v>
      </c>
      <c r="EV251">
        <v>0</v>
      </c>
      <c r="EW251">
        <v>0</v>
      </c>
      <c r="EX251">
        <v>0</v>
      </c>
      <c r="FQ251">
        <v>0</v>
      </c>
      <c r="FR251">
        <f t="shared" si="210"/>
        <v>0</v>
      </c>
      <c r="FS251">
        <v>0</v>
      </c>
      <c r="FX251">
        <v>97</v>
      </c>
      <c r="FY251">
        <v>51</v>
      </c>
      <c r="GA251" t="s">
        <v>3</v>
      </c>
      <c r="GD251">
        <v>1</v>
      </c>
      <c r="GF251">
        <v>574699882</v>
      </c>
      <c r="GG251">
        <v>2</v>
      </c>
      <c r="GH251">
        <v>1</v>
      </c>
      <c r="GI251">
        <v>2</v>
      </c>
      <c r="GJ251">
        <v>0</v>
      </c>
      <c r="GK251">
        <v>0</v>
      </c>
      <c r="GL251">
        <f t="shared" si="211"/>
        <v>0</v>
      </c>
      <c r="GM251">
        <f t="shared" si="212"/>
        <v>3320.34</v>
      </c>
      <c r="GN251">
        <f t="shared" si="213"/>
        <v>0</v>
      </c>
      <c r="GO251">
        <f t="shared" si="214"/>
        <v>3320.34</v>
      </c>
      <c r="GP251">
        <f t="shared" si="215"/>
        <v>0</v>
      </c>
      <c r="GR251">
        <v>0</v>
      </c>
      <c r="GS251">
        <v>3</v>
      </c>
      <c r="GT251">
        <v>0</v>
      </c>
      <c r="GU251" t="s">
        <v>3</v>
      </c>
      <c r="GV251">
        <f t="shared" si="216"/>
        <v>0</v>
      </c>
      <c r="GW251">
        <v>1</v>
      </c>
      <c r="GX251">
        <f t="shared" si="217"/>
        <v>0</v>
      </c>
      <c r="HA251">
        <v>0</v>
      </c>
      <c r="HB251">
        <v>0</v>
      </c>
      <c r="HC251">
        <f t="shared" si="218"/>
        <v>0</v>
      </c>
      <c r="HE251" t="s">
        <v>3</v>
      </c>
      <c r="HF251" t="s">
        <v>3</v>
      </c>
      <c r="HM251" t="s">
        <v>3</v>
      </c>
      <c r="HN251" t="s">
        <v>3</v>
      </c>
      <c r="HO251" t="s">
        <v>3</v>
      </c>
      <c r="HP251" t="s">
        <v>3</v>
      </c>
      <c r="HQ251" t="s">
        <v>3</v>
      </c>
      <c r="IK251">
        <v>0</v>
      </c>
    </row>
    <row r="252" spans="1:245">
      <c r="A252">
        <v>17</v>
      </c>
      <c r="B252">
        <v>1</v>
      </c>
      <c r="E252" t="s">
        <v>143</v>
      </c>
      <c r="F252" t="s">
        <v>287</v>
      </c>
      <c r="G252" t="s">
        <v>288</v>
      </c>
      <c r="H252" t="s">
        <v>289</v>
      </c>
      <c r="I252">
        <v>3</v>
      </c>
      <c r="J252">
        <v>0</v>
      </c>
      <c r="K252">
        <v>3</v>
      </c>
      <c r="O252">
        <f t="shared" si="180"/>
        <v>1878.66</v>
      </c>
      <c r="P252">
        <f t="shared" si="181"/>
        <v>0</v>
      </c>
      <c r="Q252">
        <f t="shared" si="182"/>
        <v>1878.66</v>
      </c>
      <c r="R252">
        <f t="shared" si="183"/>
        <v>0</v>
      </c>
      <c r="S252">
        <f t="shared" si="184"/>
        <v>0</v>
      </c>
      <c r="T252">
        <f t="shared" si="185"/>
        <v>0</v>
      </c>
      <c r="U252">
        <f t="shared" si="186"/>
        <v>0</v>
      </c>
      <c r="V252">
        <f t="shared" si="187"/>
        <v>0</v>
      </c>
      <c r="W252">
        <f t="shared" si="188"/>
        <v>0</v>
      </c>
      <c r="X252">
        <f t="shared" si="189"/>
        <v>0</v>
      </c>
      <c r="Y252">
        <f t="shared" si="190"/>
        <v>0</v>
      </c>
      <c r="AA252">
        <v>35841400</v>
      </c>
      <c r="AB252">
        <f t="shared" si="191"/>
        <v>42.98</v>
      </c>
      <c r="AC252">
        <f t="shared" si="192"/>
        <v>0</v>
      </c>
      <c r="AD252">
        <f>ROUND(((ET252)+ROUND(((EU252)*1.6),2)),6)</f>
        <v>42.98</v>
      </c>
      <c r="AE252">
        <f>ROUND(((EU252)+ROUND(((EU252)*1.6),2)),6)</f>
        <v>0</v>
      </c>
      <c r="AF252">
        <f>ROUND(((EV252)+ROUND(((EV252)*1.6),2)),6)</f>
        <v>0</v>
      </c>
      <c r="AG252">
        <f t="shared" si="195"/>
        <v>0</v>
      </c>
      <c r="AH252">
        <f t="shared" si="196"/>
        <v>0</v>
      </c>
      <c r="AI252">
        <f t="shared" si="197"/>
        <v>0</v>
      </c>
      <c r="AJ252">
        <f t="shared" si="198"/>
        <v>0</v>
      </c>
      <c r="AK252">
        <v>42.98</v>
      </c>
      <c r="AL252">
        <v>0</v>
      </c>
      <c r="AM252">
        <v>42.98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1</v>
      </c>
      <c r="AW252">
        <v>1</v>
      </c>
      <c r="AZ252">
        <v>1</v>
      </c>
      <c r="BA252">
        <v>14.57</v>
      </c>
      <c r="BB252">
        <v>14.57</v>
      </c>
      <c r="BC252">
        <v>1</v>
      </c>
      <c r="BD252" t="s">
        <v>3</v>
      </c>
      <c r="BE252" t="s">
        <v>3</v>
      </c>
      <c r="BF252" t="s">
        <v>3</v>
      </c>
      <c r="BG252" t="s">
        <v>3</v>
      </c>
      <c r="BH252">
        <v>0</v>
      </c>
      <c r="BI252">
        <v>1</v>
      </c>
      <c r="BJ252" t="s">
        <v>290</v>
      </c>
      <c r="BM252">
        <v>700004</v>
      </c>
      <c r="BN252">
        <v>0</v>
      </c>
      <c r="BO252" t="s">
        <v>3</v>
      </c>
      <c r="BP252">
        <v>0</v>
      </c>
      <c r="BQ252">
        <v>19</v>
      </c>
      <c r="BR252">
        <v>0</v>
      </c>
      <c r="BS252">
        <v>14.57</v>
      </c>
      <c r="BT252">
        <v>1</v>
      </c>
      <c r="BU252">
        <v>1</v>
      </c>
      <c r="BV252">
        <v>1</v>
      </c>
      <c r="BW252">
        <v>1</v>
      </c>
      <c r="BX252">
        <v>1</v>
      </c>
      <c r="BY252" t="s">
        <v>3</v>
      </c>
      <c r="BZ252">
        <v>0</v>
      </c>
      <c r="CA252">
        <v>0</v>
      </c>
      <c r="CB252" t="s">
        <v>3</v>
      </c>
      <c r="CE252">
        <v>0</v>
      </c>
      <c r="CF252">
        <v>0</v>
      </c>
      <c r="CG252">
        <v>0</v>
      </c>
      <c r="CM252">
        <v>0</v>
      </c>
      <c r="CN252" t="s">
        <v>3</v>
      </c>
      <c r="CO252">
        <v>0</v>
      </c>
      <c r="CP252">
        <f t="shared" si="199"/>
        <v>1878.66</v>
      </c>
      <c r="CQ252">
        <f t="shared" si="200"/>
        <v>0</v>
      </c>
      <c r="CR252">
        <f t="shared" si="201"/>
        <v>626.21859999999992</v>
      </c>
      <c r="CS252">
        <f t="shared" si="202"/>
        <v>0</v>
      </c>
      <c r="CT252">
        <f t="shared" si="203"/>
        <v>0</v>
      </c>
      <c r="CU252">
        <f t="shared" si="204"/>
        <v>0</v>
      </c>
      <c r="CV252">
        <f t="shared" si="205"/>
        <v>0</v>
      </c>
      <c r="CW252">
        <f t="shared" si="206"/>
        <v>0</v>
      </c>
      <c r="CX252">
        <f t="shared" si="207"/>
        <v>0</v>
      </c>
      <c r="CY252">
        <f t="shared" si="208"/>
        <v>0</v>
      </c>
      <c r="CZ252">
        <f t="shared" si="209"/>
        <v>0</v>
      </c>
      <c r="DC252" t="s">
        <v>3</v>
      </c>
      <c r="DD252" t="s">
        <v>3</v>
      </c>
      <c r="DE252" t="s">
        <v>3</v>
      </c>
      <c r="DF252" t="s">
        <v>3</v>
      </c>
      <c r="DG252" t="s">
        <v>3</v>
      </c>
      <c r="DH252" t="s">
        <v>3</v>
      </c>
      <c r="DI252" t="s">
        <v>3</v>
      </c>
      <c r="DJ252" t="s">
        <v>3</v>
      </c>
      <c r="DK252" t="s">
        <v>3</v>
      </c>
      <c r="DL252" t="s">
        <v>3</v>
      </c>
      <c r="DM252" t="s">
        <v>3</v>
      </c>
      <c r="DN252">
        <v>0</v>
      </c>
      <c r="DO252">
        <v>0</v>
      </c>
      <c r="DP252">
        <v>1</v>
      </c>
      <c r="DQ252">
        <v>1</v>
      </c>
      <c r="DU252">
        <v>1013</v>
      </c>
      <c r="DV252" t="s">
        <v>289</v>
      </c>
      <c r="DW252" t="s">
        <v>289</v>
      </c>
      <c r="DX252">
        <v>1</v>
      </c>
      <c r="DZ252" t="s">
        <v>3</v>
      </c>
      <c r="EA252" t="s">
        <v>3</v>
      </c>
      <c r="EB252" t="s">
        <v>3</v>
      </c>
      <c r="EC252" t="s">
        <v>3</v>
      </c>
      <c r="EE252">
        <v>36520242</v>
      </c>
      <c r="EF252">
        <v>19</v>
      </c>
      <c r="EG252" t="s">
        <v>291</v>
      </c>
      <c r="EH252">
        <v>0</v>
      </c>
      <c r="EI252" t="s">
        <v>3</v>
      </c>
      <c r="EJ252">
        <v>1</v>
      </c>
      <c r="EK252">
        <v>700004</v>
      </c>
      <c r="EL252" t="s">
        <v>291</v>
      </c>
      <c r="EM252" t="s">
        <v>292</v>
      </c>
      <c r="EO252" t="s">
        <v>3</v>
      </c>
      <c r="EQ252">
        <v>0</v>
      </c>
      <c r="ER252">
        <v>42.98</v>
      </c>
      <c r="ES252">
        <v>0</v>
      </c>
      <c r="ET252">
        <v>42.98</v>
      </c>
      <c r="EU252">
        <v>0</v>
      </c>
      <c r="EV252">
        <v>0</v>
      </c>
      <c r="EW252">
        <v>0</v>
      </c>
      <c r="EX252">
        <v>0</v>
      </c>
      <c r="EY252">
        <v>0</v>
      </c>
      <c r="FQ252">
        <v>0</v>
      </c>
      <c r="FR252">
        <f t="shared" si="210"/>
        <v>0</v>
      </c>
      <c r="FS252">
        <v>0</v>
      </c>
      <c r="FX252">
        <v>0</v>
      </c>
      <c r="FY252">
        <v>0</v>
      </c>
      <c r="GA252" t="s">
        <v>3</v>
      </c>
      <c r="GD252">
        <v>1</v>
      </c>
      <c r="GF252">
        <v>-772656430</v>
      </c>
      <c r="GG252">
        <v>2</v>
      </c>
      <c r="GH252">
        <v>1</v>
      </c>
      <c r="GI252">
        <v>2</v>
      </c>
      <c r="GJ252">
        <v>0</v>
      </c>
      <c r="GK252">
        <v>0</v>
      </c>
      <c r="GL252">
        <f t="shared" si="211"/>
        <v>0</v>
      </c>
      <c r="GM252">
        <f t="shared" si="212"/>
        <v>1878.66</v>
      </c>
      <c r="GN252">
        <f t="shared" si="213"/>
        <v>1878.66</v>
      </c>
      <c r="GO252">
        <f t="shared" si="214"/>
        <v>0</v>
      </c>
      <c r="GP252">
        <f t="shared" si="215"/>
        <v>0</v>
      </c>
      <c r="GR252">
        <v>0</v>
      </c>
      <c r="GS252">
        <v>3</v>
      </c>
      <c r="GT252">
        <v>0</v>
      </c>
      <c r="GU252" t="s">
        <v>3</v>
      </c>
      <c r="GV252">
        <f t="shared" si="216"/>
        <v>0</v>
      </c>
      <c r="GW252">
        <v>1</v>
      </c>
      <c r="GX252">
        <f t="shared" si="217"/>
        <v>0</v>
      </c>
      <c r="HA252">
        <v>0</v>
      </c>
      <c r="HB252">
        <v>0</v>
      </c>
      <c r="HC252">
        <f t="shared" si="218"/>
        <v>0</v>
      </c>
      <c r="HD252">
        <f>GM252</f>
        <v>1878.66</v>
      </c>
      <c r="HE252" t="s">
        <v>3</v>
      </c>
      <c r="HF252" t="s">
        <v>3</v>
      </c>
      <c r="HM252" t="s">
        <v>3</v>
      </c>
      <c r="HN252" t="s">
        <v>3</v>
      </c>
      <c r="HO252" t="s">
        <v>3</v>
      </c>
      <c r="HP252" t="s">
        <v>3</v>
      </c>
      <c r="HQ252" t="s">
        <v>3</v>
      </c>
      <c r="IK252">
        <v>0</v>
      </c>
    </row>
    <row r="254" spans="1:245">
      <c r="A254" s="2">
        <v>51</v>
      </c>
      <c r="B254" s="2">
        <f>B240</f>
        <v>1</v>
      </c>
      <c r="C254" s="2">
        <f>A240</f>
        <v>4</v>
      </c>
      <c r="D254" s="2">
        <f>ROW(A240)</f>
        <v>240</v>
      </c>
      <c r="E254" s="2"/>
      <c r="F254" s="2" t="str">
        <f>IF(F240&lt;&gt;"",F240,"")</f>
        <v>Новый раздел</v>
      </c>
      <c r="G254" s="2" t="str">
        <f>IF(G240&lt;&gt;"",G240,"")</f>
        <v>электромонтажные работы</v>
      </c>
      <c r="H254" s="2">
        <v>0</v>
      </c>
      <c r="I254" s="2"/>
      <c r="J254" s="2"/>
      <c r="K254" s="2"/>
      <c r="L254" s="2"/>
      <c r="M254" s="2"/>
      <c r="N254" s="2"/>
      <c r="O254" s="2">
        <f t="shared" ref="O254:T254" si="219">ROUND(AB254,2)</f>
        <v>6971.71</v>
      </c>
      <c r="P254" s="2">
        <f t="shared" si="219"/>
        <v>3594.37</v>
      </c>
      <c r="Q254" s="2">
        <f t="shared" si="219"/>
        <v>1903.52</v>
      </c>
      <c r="R254" s="2">
        <f t="shared" si="219"/>
        <v>5.39</v>
      </c>
      <c r="S254" s="2">
        <f t="shared" si="219"/>
        <v>1473.82</v>
      </c>
      <c r="T254" s="2">
        <f t="shared" si="219"/>
        <v>0</v>
      </c>
      <c r="U254" s="2">
        <f>AH254</f>
        <v>4.5699899999999998</v>
      </c>
      <c r="V254" s="2">
        <f>AI254</f>
        <v>1.1509999999999999E-2</v>
      </c>
      <c r="W254" s="2">
        <f>ROUND(AJ254,2)</f>
        <v>0.53</v>
      </c>
      <c r="X254" s="2">
        <f>ROUND(AK254,2)</f>
        <v>1434.83</v>
      </c>
      <c r="Y254" s="2">
        <f>ROUND(AL254,2)</f>
        <v>754.4</v>
      </c>
      <c r="Z254" s="2"/>
      <c r="AA254" s="2"/>
      <c r="AB254" s="2">
        <f>ROUND(SUMIF(AA244:AA252,"=35841400",O244:O252),2)</f>
        <v>6971.71</v>
      </c>
      <c r="AC254" s="2">
        <f>ROUND(SUMIF(AA244:AA252,"=35841400",P244:P252),2)</f>
        <v>3594.37</v>
      </c>
      <c r="AD254" s="2">
        <f>ROUND(SUMIF(AA244:AA252,"=35841400",Q244:Q252),2)</f>
        <v>1903.52</v>
      </c>
      <c r="AE254" s="2">
        <f>ROUND(SUMIF(AA244:AA252,"=35841400",R244:R252),2)</f>
        <v>5.39</v>
      </c>
      <c r="AF254" s="2">
        <f>ROUND(SUMIF(AA244:AA252,"=35841400",S244:S252),2)</f>
        <v>1473.82</v>
      </c>
      <c r="AG254" s="2">
        <f>ROUND(SUMIF(AA244:AA252,"=35841400",T244:T252),2)</f>
        <v>0</v>
      </c>
      <c r="AH254" s="2">
        <f>SUMIF(AA244:AA252,"=35841400",U244:U252)</f>
        <v>4.5699899999999998</v>
      </c>
      <c r="AI254" s="2">
        <f>SUMIF(AA244:AA252,"=35841400",V244:V252)</f>
        <v>1.1509999999999999E-2</v>
      </c>
      <c r="AJ254" s="2">
        <f>ROUND(SUMIF(AA244:AA252,"=35841400",W244:W252),2)</f>
        <v>0.53</v>
      </c>
      <c r="AK254" s="2">
        <f>ROUND(SUMIF(AA244:AA252,"=35841400",X244:X252),2)</f>
        <v>1434.83</v>
      </c>
      <c r="AL254" s="2">
        <f>ROUND(SUMIF(AA244:AA252,"=35841400",Y244:Y252),2)</f>
        <v>754.4</v>
      </c>
      <c r="AM254" s="2"/>
      <c r="AN254" s="2"/>
      <c r="AO254" s="2">
        <f t="shared" ref="AO254:BD254" si="220">ROUND(BX254,2)</f>
        <v>0</v>
      </c>
      <c r="AP254" s="2">
        <f t="shared" si="220"/>
        <v>0</v>
      </c>
      <c r="AQ254" s="2">
        <f t="shared" si="220"/>
        <v>0</v>
      </c>
      <c r="AR254" s="2">
        <f t="shared" si="220"/>
        <v>9160.94</v>
      </c>
      <c r="AS254" s="2">
        <f t="shared" si="220"/>
        <v>1878.66</v>
      </c>
      <c r="AT254" s="2">
        <f t="shared" si="220"/>
        <v>7282.28</v>
      </c>
      <c r="AU254" s="2">
        <f t="shared" si="220"/>
        <v>0</v>
      </c>
      <c r="AV254" s="2">
        <f t="shared" si="220"/>
        <v>3594.37</v>
      </c>
      <c r="AW254" s="2">
        <f t="shared" si="220"/>
        <v>3594.37</v>
      </c>
      <c r="AX254" s="2">
        <f t="shared" si="220"/>
        <v>0</v>
      </c>
      <c r="AY254" s="2">
        <f t="shared" si="220"/>
        <v>3594.37</v>
      </c>
      <c r="AZ254" s="2">
        <f t="shared" si="220"/>
        <v>0</v>
      </c>
      <c r="BA254" s="2">
        <f t="shared" si="220"/>
        <v>0</v>
      </c>
      <c r="BB254" s="2">
        <f t="shared" si="220"/>
        <v>0</v>
      </c>
      <c r="BC254" s="2">
        <f t="shared" si="220"/>
        <v>0</v>
      </c>
      <c r="BD254" s="2">
        <f t="shared" si="220"/>
        <v>1878.66</v>
      </c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>
        <f>ROUND(SUMIF(AA244:AA252,"=35841400",FQ244:FQ252),2)</f>
        <v>0</v>
      </c>
      <c r="BY254" s="2">
        <f>ROUND(SUMIF(AA244:AA252,"=35841400",FR244:FR252),2)</f>
        <v>0</v>
      </c>
      <c r="BZ254" s="2">
        <f>ROUND(SUMIF(AA244:AA252,"=35841400",GL244:GL252),2)</f>
        <v>0</v>
      </c>
      <c r="CA254" s="2">
        <f>ROUND(SUMIF(AA244:AA252,"=35841400",GM244:GM252),2)</f>
        <v>9160.94</v>
      </c>
      <c r="CB254" s="2">
        <f>ROUND(SUMIF(AA244:AA252,"=35841400",GN244:GN252),2)</f>
        <v>1878.66</v>
      </c>
      <c r="CC254" s="2">
        <f>ROUND(SUMIF(AA244:AA252,"=35841400",GO244:GO252),2)</f>
        <v>7282.28</v>
      </c>
      <c r="CD254" s="2">
        <f>ROUND(SUMIF(AA244:AA252,"=35841400",GP244:GP252),2)</f>
        <v>0</v>
      </c>
      <c r="CE254" s="2">
        <f>AC254-BX254</f>
        <v>3594.37</v>
      </c>
      <c r="CF254" s="2">
        <f>AC254-BY254</f>
        <v>3594.37</v>
      </c>
      <c r="CG254" s="2">
        <f>BX254-BZ254</f>
        <v>0</v>
      </c>
      <c r="CH254" s="2">
        <f>AC254-BX254-BY254+BZ254</f>
        <v>3594.37</v>
      </c>
      <c r="CI254" s="2">
        <f>BY254-BZ254</f>
        <v>0</v>
      </c>
      <c r="CJ254" s="2">
        <f>ROUND(SUMIF(AA244:AA252,"=35841400",GX244:GX252),2)</f>
        <v>0</v>
      </c>
      <c r="CK254" s="2">
        <f>ROUND(SUMIF(AA244:AA252,"=35841400",GY244:GY252),2)</f>
        <v>0</v>
      </c>
      <c r="CL254" s="2">
        <f>ROUND(SUMIF(AA244:AA252,"=35841400",GZ244:GZ252),2)</f>
        <v>0</v>
      </c>
      <c r="CM254" s="2">
        <f>ROUND(SUMIF(AA244:AA252,"=35841400",HD244:HD252),2)</f>
        <v>1878.66</v>
      </c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  <c r="EL254" s="3"/>
      <c r="EM254" s="3"/>
      <c r="EN254" s="3"/>
      <c r="EO254" s="3"/>
      <c r="EP254" s="3"/>
      <c r="EQ254" s="3"/>
      <c r="ER254" s="3"/>
      <c r="ES254" s="3"/>
      <c r="ET254" s="3"/>
      <c r="EU254" s="3"/>
      <c r="EV254" s="3"/>
      <c r="EW254" s="3"/>
      <c r="EX254" s="3"/>
      <c r="EY254" s="3"/>
      <c r="EZ254" s="3"/>
      <c r="FA254" s="3"/>
      <c r="FB254" s="3"/>
      <c r="FC254" s="3"/>
      <c r="FD254" s="3"/>
      <c r="FE254" s="3"/>
      <c r="FF254" s="3"/>
      <c r="FG254" s="3"/>
      <c r="FH254" s="3"/>
      <c r="FI254" s="3"/>
      <c r="FJ254" s="3"/>
      <c r="FK254" s="3"/>
      <c r="FL254" s="3"/>
      <c r="FM254" s="3"/>
      <c r="FN254" s="3"/>
      <c r="FO254" s="3"/>
      <c r="FP254" s="3"/>
      <c r="FQ254" s="3"/>
      <c r="FR254" s="3"/>
      <c r="FS254" s="3"/>
      <c r="FT254" s="3"/>
      <c r="FU254" s="3"/>
      <c r="FV254" s="3"/>
      <c r="FW254" s="3"/>
      <c r="FX254" s="3"/>
      <c r="FY254" s="3"/>
      <c r="FZ254" s="3"/>
      <c r="GA254" s="3"/>
      <c r="GB254" s="3"/>
      <c r="GC254" s="3"/>
      <c r="GD254" s="3"/>
      <c r="GE254" s="3"/>
      <c r="GF254" s="3"/>
      <c r="GG254" s="3"/>
      <c r="GH254" s="3"/>
      <c r="GI254" s="3"/>
      <c r="GJ254" s="3"/>
      <c r="GK254" s="3"/>
      <c r="GL254" s="3"/>
      <c r="GM254" s="3"/>
      <c r="GN254" s="3"/>
      <c r="GO254" s="3"/>
      <c r="GP254" s="3"/>
      <c r="GQ254" s="3"/>
      <c r="GR254" s="3"/>
      <c r="GS254" s="3"/>
      <c r="GT254" s="3"/>
      <c r="GU254" s="3"/>
      <c r="GV254" s="3"/>
      <c r="GW254" s="3"/>
      <c r="GX254" s="3">
        <v>0</v>
      </c>
    </row>
    <row r="256" spans="1:245">
      <c r="A256" s="4">
        <v>50</v>
      </c>
      <c r="B256" s="4">
        <v>0</v>
      </c>
      <c r="C256" s="4">
        <v>0</v>
      </c>
      <c r="D256" s="4">
        <v>1</v>
      </c>
      <c r="E256" s="4">
        <v>201</v>
      </c>
      <c r="F256" s="4">
        <f>ROUND(Source!O254,O256)</f>
        <v>6971.71</v>
      </c>
      <c r="G256" s="4" t="s">
        <v>54</v>
      </c>
      <c r="H256" s="4" t="s">
        <v>55</v>
      </c>
      <c r="I256" s="4"/>
      <c r="J256" s="4"/>
      <c r="K256" s="4">
        <v>201</v>
      </c>
      <c r="L256" s="4">
        <v>1</v>
      </c>
      <c r="M256" s="4">
        <v>3</v>
      </c>
      <c r="N256" s="4" t="s">
        <v>3</v>
      </c>
      <c r="O256" s="4">
        <v>2</v>
      </c>
      <c r="P256" s="4"/>
      <c r="Q256" s="4"/>
      <c r="R256" s="4"/>
      <c r="S256" s="4"/>
      <c r="T256" s="4"/>
      <c r="U256" s="4"/>
      <c r="V256" s="4"/>
      <c r="W256" s="4">
        <v>6971.71</v>
      </c>
      <c r="X256" s="4">
        <v>1</v>
      </c>
      <c r="Y256" s="4">
        <v>6971.71</v>
      </c>
      <c r="Z256" s="4"/>
      <c r="AA256" s="4"/>
      <c r="AB256" s="4"/>
    </row>
    <row r="257" spans="1:28">
      <c r="A257" s="4">
        <v>50</v>
      </c>
      <c r="B257" s="4">
        <v>0</v>
      </c>
      <c r="C257" s="4">
        <v>0</v>
      </c>
      <c r="D257" s="4">
        <v>1</v>
      </c>
      <c r="E257" s="4">
        <v>202</v>
      </c>
      <c r="F257" s="4">
        <f>ROUND(Source!P254,O257)</f>
        <v>3594.37</v>
      </c>
      <c r="G257" s="4" t="s">
        <v>56</v>
      </c>
      <c r="H257" s="4" t="s">
        <v>57</v>
      </c>
      <c r="I257" s="4"/>
      <c r="J257" s="4"/>
      <c r="K257" s="4">
        <v>202</v>
      </c>
      <c r="L257" s="4">
        <v>2</v>
      </c>
      <c r="M257" s="4">
        <v>3</v>
      </c>
      <c r="N257" s="4" t="s">
        <v>3</v>
      </c>
      <c r="O257" s="4">
        <v>2</v>
      </c>
      <c r="P257" s="4"/>
      <c r="Q257" s="4"/>
      <c r="R257" s="4"/>
      <c r="S257" s="4"/>
      <c r="T257" s="4"/>
      <c r="U257" s="4"/>
      <c r="V257" s="4"/>
      <c r="W257" s="4">
        <v>3594.37</v>
      </c>
      <c r="X257" s="4">
        <v>1</v>
      </c>
      <c r="Y257" s="4">
        <v>3594.37</v>
      </c>
      <c r="Z257" s="4"/>
      <c r="AA257" s="4"/>
      <c r="AB257" s="4"/>
    </row>
    <row r="258" spans="1:28">
      <c r="A258" s="4">
        <v>50</v>
      </c>
      <c r="B258" s="4">
        <v>0</v>
      </c>
      <c r="C258" s="4">
        <v>0</v>
      </c>
      <c r="D258" s="4">
        <v>1</v>
      </c>
      <c r="E258" s="4">
        <v>222</v>
      </c>
      <c r="F258" s="4">
        <f>ROUND(Source!AO254,O258)</f>
        <v>0</v>
      </c>
      <c r="G258" s="4" t="s">
        <v>58</v>
      </c>
      <c r="H258" s="4" t="s">
        <v>59</v>
      </c>
      <c r="I258" s="4"/>
      <c r="J258" s="4"/>
      <c r="K258" s="4">
        <v>222</v>
      </c>
      <c r="L258" s="4">
        <v>3</v>
      </c>
      <c r="M258" s="4">
        <v>3</v>
      </c>
      <c r="N258" s="4" t="s">
        <v>3</v>
      </c>
      <c r="O258" s="4">
        <v>2</v>
      </c>
      <c r="P258" s="4"/>
      <c r="Q258" s="4"/>
      <c r="R258" s="4"/>
      <c r="S258" s="4"/>
      <c r="T258" s="4"/>
      <c r="U258" s="4"/>
      <c r="V258" s="4"/>
      <c r="W258" s="4">
        <v>0</v>
      </c>
      <c r="X258" s="4">
        <v>1</v>
      </c>
      <c r="Y258" s="4">
        <v>0</v>
      </c>
      <c r="Z258" s="4"/>
      <c r="AA258" s="4"/>
      <c r="AB258" s="4"/>
    </row>
    <row r="259" spans="1:28">
      <c r="A259" s="4">
        <v>50</v>
      </c>
      <c r="B259" s="4">
        <v>0</v>
      </c>
      <c r="C259" s="4">
        <v>0</v>
      </c>
      <c r="D259" s="4">
        <v>1</v>
      </c>
      <c r="E259" s="4">
        <v>225</v>
      </c>
      <c r="F259" s="4">
        <f>ROUND(Source!AV254,O259)</f>
        <v>3594.37</v>
      </c>
      <c r="G259" s="4" t="s">
        <v>60</v>
      </c>
      <c r="H259" s="4" t="s">
        <v>61</v>
      </c>
      <c r="I259" s="4"/>
      <c r="J259" s="4"/>
      <c r="K259" s="4">
        <v>225</v>
      </c>
      <c r="L259" s="4">
        <v>4</v>
      </c>
      <c r="M259" s="4">
        <v>3</v>
      </c>
      <c r="N259" s="4" t="s">
        <v>3</v>
      </c>
      <c r="O259" s="4">
        <v>2</v>
      </c>
      <c r="P259" s="4"/>
      <c r="Q259" s="4"/>
      <c r="R259" s="4"/>
      <c r="S259" s="4"/>
      <c r="T259" s="4"/>
      <c r="U259" s="4"/>
      <c r="V259" s="4"/>
      <c r="W259" s="4">
        <v>3594.37</v>
      </c>
      <c r="X259" s="4">
        <v>1</v>
      </c>
      <c r="Y259" s="4">
        <v>3594.37</v>
      </c>
      <c r="Z259" s="4"/>
      <c r="AA259" s="4"/>
      <c r="AB259" s="4"/>
    </row>
    <row r="260" spans="1:28">
      <c r="A260" s="4">
        <v>50</v>
      </c>
      <c r="B260" s="4">
        <v>0</v>
      </c>
      <c r="C260" s="4">
        <v>0</v>
      </c>
      <c r="D260" s="4">
        <v>1</v>
      </c>
      <c r="E260" s="4">
        <v>226</v>
      </c>
      <c r="F260" s="4">
        <f>ROUND(Source!AW254,O260)</f>
        <v>3594.37</v>
      </c>
      <c r="G260" s="4" t="s">
        <v>62</v>
      </c>
      <c r="H260" s="4" t="s">
        <v>63</v>
      </c>
      <c r="I260" s="4"/>
      <c r="J260" s="4"/>
      <c r="K260" s="4">
        <v>226</v>
      </c>
      <c r="L260" s="4">
        <v>5</v>
      </c>
      <c r="M260" s="4">
        <v>3</v>
      </c>
      <c r="N260" s="4" t="s">
        <v>3</v>
      </c>
      <c r="O260" s="4">
        <v>2</v>
      </c>
      <c r="P260" s="4"/>
      <c r="Q260" s="4"/>
      <c r="R260" s="4"/>
      <c r="S260" s="4"/>
      <c r="T260" s="4"/>
      <c r="U260" s="4"/>
      <c r="V260" s="4"/>
      <c r="W260" s="4">
        <v>3594.37</v>
      </c>
      <c r="X260" s="4">
        <v>1</v>
      </c>
      <c r="Y260" s="4">
        <v>3594.37</v>
      </c>
      <c r="Z260" s="4"/>
      <c r="AA260" s="4"/>
      <c r="AB260" s="4"/>
    </row>
    <row r="261" spans="1:28">
      <c r="A261" s="4">
        <v>50</v>
      </c>
      <c r="B261" s="4">
        <v>0</v>
      </c>
      <c r="C261" s="4">
        <v>0</v>
      </c>
      <c r="D261" s="4">
        <v>1</v>
      </c>
      <c r="E261" s="4">
        <v>227</v>
      </c>
      <c r="F261" s="4">
        <f>ROUND(Source!AX254,O261)</f>
        <v>0</v>
      </c>
      <c r="G261" s="4" t="s">
        <v>64</v>
      </c>
      <c r="H261" s="4" t="s">
        <v>65</v>
      </c>
      <c r="I261" s="4"/>
      <c r="J261" s="4"/>
      <c r="K261" s="4">
        <v>227</v>
      </c>
      <c r="L261" s="4">
        <v>6</v>
      </c>
      <c r="M261" s="4">
        <v>3</v>
      </c>
      <c r="N261" s="4" t="s">
        <v>3</v>
      </c>
      <c r="O261" s="4">
        <v>2</v>
      </c>
      <c r="P261" s="4"/>
      <c r="Q261" s="4"/>
      <c r="R261" s="4"/>
      <c r="S261" s="4"/>
      <c r="T261" s="4"/>
      <c r="U261" s="4"/>
      <c r="V261" s="4"/>
      <c r="W261" s="4">
        <v>0</v>
      </c>
      <c r="X261" s="4">
        <v>1</v>
      </c>
      <c r="Y261" s="4">
        <v>0</v>
      </c>
      <c r="Z261" s="4"/>
      <c r="AA261" s="4"/>
      <c r="AB261" s="4"/>
    </row>
    <row r="262" spans="1:28">
      <c r="A262" s="4">
        <v>50</v>
      </c>
      <c r="B262" s="4">
        <v>0</v>
      </c>
      <c r="C262" s="4">
        <v>0</v>
      </c>
      <c r="D262" s="4">
        <v>1</v>
      </c>
      <c r="E262" s="4">
        <v>228</v>
      </c>
      <c r="F262" s="4">
        <f>ROUND(Source!AY254,O262)</f>
        <v>3594.37</v>
      </c>
      <c r="G262" s="4" t="s">
        <v>66</v>
      </c>
      <c r="H262" s="4" t="s">
        <v>67</v>
      </c>
      <c r="I262" s="4"/>
      <c r="J262" s="4"/>
      <c r="K262" s="4">
        <v>228</v>
      </c>
      <c r="L262" s="4">
        <v>7</v>
      </c>
      <c r="M262" s="4">
        <v>3</v>
      </c>
      <c r="N262" s="4" t="s">
        <v>3</v>
      </c>
      <c r="O262" s="4">
        <v>2</v>
      </c>
      <c r="P262" s="4"/>
      <c r="Q262" s="4"/>
      <c r="R262" s="4"/>
      <c r="S262" s="4"/>
      <c r="T262" s="4"/>
      <c r="U262" s="4"/>
      <c r="V262" s="4"/>
      <c r="W262" s="4">
        <v>3594.37</v>
      </c>
      <c r="X262" s="4">
        <v>1</v>
      </c>
      <c r="Y262" s="4">
        <v>3594.37</v>
      </c>
      <c r="Z262" s="4"/>
      <c r="AA262" s="4"/>
      <c r="AB262" s="4"/>
    </row>
    <row r="263" spans="1:28">
      <c r="A263" s="4">
        <v>50</v>
      </c>
      <c r="B263" s="4">
        <v>0</v>
      </c>
      <c r="C263" s="4">
        <v>0</v>
      </c>
      <c r="D263" s="4">
        <v>1</v>
      </c>
      <c r="E263" s="4">
        <v>216</v>
      </c>
      <c r="F263" s="4">
        <f>ROUND(Source!AP254,O263)</f>
        <v>0</v>
      </c>
      <c r="G263" s="4" t="s">
        <v>68</v>
      </c>
      <c r="H263" s="4" t="s">
        <v>69</v>
      </c>
      <c r="I263" s="4"/>
      <c r="J263" s="4"/>
      <c r="K263" s="4">
        <v>216</v>
      </c>
      <c r="L263" s="4">
        <v>8</v>
      </c>
      <c r="M263" s="4">
        <v>3</v>
      </c>
      <c r="N263" s="4" t="s">
        <v>3</v>
      </c>
      <c r="O263" s="4">
        <v>2</v>
      </c>
      <c r="P263" s="4"/>
      <c r="Q263" s="4"/>
      <c r="R263" s="4"/>
      <c r="S263" s="4"/>
      <c r="T263" s="4"/>
      <c r="U263" s="4"/>
      <c r="V263" s="4"/>
      <c r="W263" s="4">
        <v>0</v>
      </c>
      <c r="X263" s="4">
        <v>1</v>
      </c>
      <c r="Y263" s="4">
        <v>0</v>
      </c>
      <c r="Z263" s="4"/>
      <c r="AA263" s="4"/>
      <c r="AB263" s="4"/>
    </row>
    <row r="264" spans="1:28">
      <c r="A264" s="4">
        <v>50</v>
      </c>
      <c r="B264" s="4">
        <v>0</v>
      </c>
      <c r="C264" s="4">
        <v>0</v>
      </c>
      <c r="D264" s="4">
        <v>1</v>
      </c>
      <c r="E264" s="4">
        <v>223</v>
      </c>
      <c r="F264" s="4">
        <f>ROUND(Source!AQ254,O264)</f>
        <v>0</v>
      </c>
      <c r="G264" s="4" t="s">
        <v>70</v>
      </c>
      <c r="H264" s="4" t="s">
        <v>71</v>
      </c>
      <c r="I264" s="4"/>
      <c r="J264" s="4"/>
      <c r="K264" s="4">
        <v>223</v>
      </c>
      <c r="L264" s="4">
        <v>9</v>
      </c>
      <c r="M264" s="4">
        <v>3</v>
      </c>
      <c r="N264" s="4" t="s">
        <v>3</v>
      </c>
      <c r="O264" s="4">
        <v>2</v>
      </c>
      <c r="P264" s="4"/>
      <c r="Q264" s="4"/>
      <c r="R264" s="4"/>
      <c r="S264" s="4"/>
      <c r="T264" s="4"/>
      <c r="U264" s="4"/>
      <c r="V264" s="4"/>
      <c r="W264" s="4">
        <v>0</v>
      </c>
      <c r="X264" s="4">
        <v>1</v>
      </c>
      <c r="Y264" s="4">
        <v>0</v>
      </c>
      <c r="Z264" s="4"/>
      <c r="AA264" s="4"/>
      <c r="AB264" s="4"/>
    </row>
    <row r="265" spans="1:28">
      <c r="A265" s="4">
        <v>50</v>
      </c>
      <c r="B265" s="4">
        <v>0</v>
      </c>
      <c r="C265" s="4">
        <v>0</v>
      </c>
      <c r="D265" s="4">
        <v>1</v>
      </c>
      <c r="E265" s="4">
        <v>229</v>
      </c>
      <c r="F265" s="4">
        <f>ROUND(Source!AZ254,O265)</f>
        <v>0</v>
      </c>
      <c r="G265" s="4" t="s">
        <v>72</v>
      </c>
      <c r="H265" s="4" t="s">
        <v>73</v>
      </c>
      <c r="I265" s="4"/>
      <c r="J265" s="4"/>
      <c r="K265" s="4">
        <v>229</v>
      </c>
      <c r="L265" s="4">
        <v>10</v>
      </c>
      <c r="M265" s="4">
        <v>3</v>
      </c>
      <c r="N265" s="4" t="s">
        <v>3</v>
      </c>
      <c r="O265" s="4">
        <v>2</v>
      </c>
      <c r="P265" s="4"/>
      <c r="Q265" s="4"/>
      <c r="R265" s="4"/>
      <c r="S265" s="4"/>
      <c r="T265" s="4"/>
      <c r="U265" s="4"/>
      <c r="V265" s="4"/>
      <c r="W265" s="4">
        <v>0</v>
      </c>
      <c r="X265" s="4">
        <v>1</v>
      </c>
      <c r="Y265" s="4">
        <v>0</v>
      </c>
      <c r="Z265" s="4"/>
      <c r="AA265" s="4"/>
      <c r="AB265" s="4"/>
    </row>
    <row r="266" spans="1:28">
      <c r="A266" s="4">
        <v>50</v>
      </c>
      <c r="B266" s="4">
        <v>0</v>
      </c>
      <c r="C266" s="4">
        <v>0</v>
      </c>
      <c r="D266" s="4">
        <v>1</v>
      </c>
      <c r="E266" s="4">
        <v>203</v>
      </c>
      <c r="F266" s="4">
        <f>ROUND(Source!Q254,O266)</f>
        <v>1903.52</v>
      </c>
      <c r="G266" s="4" t="s">
        <v>74</v>
      </c>
      <c r="H266" s="4" t="s">
        <v>75</v>
      </c>
      <c r="I266" s="4"/>
      <c r="J266" s="4"/>
      <c r="K266" s="4">
        <v>203</v>
      </c>
      <c r="L266" s="4">
        <v>11</v>
      </c>
      <c r="M266" s="4">
        <v>3</v>
      </c>
      <c r="N266" s="4" t="s">
        <v>3</v>
      </c>
      <c r="O266" s="4">
        <v>2</v>
      </c>
      <c r="P266" s="4"/>
      <c r="Q266" s="4"/>
      <c r="R266" s="4"/>
      <c r="S266" s="4"/>
      <c r="T266" s="4"/>
      <c r="U266" s="4"/>
      <c r="V266" s="4"/>
      <c r="W266" s="4">
        <v>1903.52</v>
      </c>
      <c r="X266" s="4">
        <v>1</v>
      </c>
      <c r="Y266" s="4">
        <v>1903.52</v>
      </c>
      <c r="Z266" s="4"/>
      <c r="AA266" s="4"/>
      <c r="AB266" s="4"/>
    </row>
    <row r="267" spans="1:28">
      <c r="A267" s="4">
        <v>50</v>
      </c>
      <c r="B267" s="4">
        <v>0</v>
      </c>
      <c r="C267" s="4">
        <v>0</v>
      </c>
      <c r="D267" s="4">
        <v>1</v>
      </c>
      <c r="E267" s="4">
        <v>231</v>
      </c>
      <c r="F267" s="4">
        <f>ROUND(Source!BB254,O267)</f>
        <v>0</v>
      </c>
      <c r="G267" s="4" t="s">
        <v>76</v>
      </c>
      <c r="H267" s="4" t="s">
        <v>77</v>
      </c>
      <c r="I267" s="4"/>
      <c r="J267" s="4"/>
      <c r="K267" s="4">
        <v>231</v>
      </c>
      <c r="L267" s="4">
        <v>12</v>
      </c>
      <c r="M267" s="4">
        <v>3</v>
      </c>
      <c r="N267" s="4" t="s">
        <v>3</v>
      </c>
      <c r="O267" s="4">
        <v>2</v>
      </c>
      <c r="P267" s="4"/>
      <c r="Q267" s="4"/>
      <c r="R267" s="4"/>
      <c r="S267" s="4"/>
      <c r="T267" s="4"/>
      <c r="U267" s="4"/>
      <c r="V267" s="4"/>
      <c r="W267" s="4">
        <v>0</v>
      </c>
      <c r="X267" s="4">
        <v>1</v>
      </c>
      <c r="Y267" s="4">
        <v>0</v>
      </c>
      <c r="Z267" s="4"/>
      <c r="AA267" s="4"/>
      <c r="AB267" s="4"/>
    </row>
    <row r="268" spans="1:28">
      <c r="A268" s="4">
        <v>50</v>
      </c>
      <c r="B268" s="4">
        <v>0</v>
      </c>
      <c r="C268" s="4">
        <v>0</v>
      </c>
      <c r="D268" s="4">
        <v>1</v>
      </c>
      <c r="E268" s="4">
        <v>204</v>
      </c>
      <c r="F268" s="4">
        <f>ROUND(Source!R254,O268)</f>
        <v>5.39</v>
      </c>
      <c r="G268" s="4" t="s">
        <v>78</v>
      </c>
      <c r="H268" s="4" t="s">
        <v>79</v>
      </c>
      <c r="I268" s="4"/>
      <c r="J268" s="4"/>
      <c r="K268" s="4">
        <v>204</v>
      </c>
      <c r="L268" s="4">
        <v>13</v>
      </c>
      <c r="M268" s="4">
        <v>3</v>
      </c>
      <c r="N268" s="4" t="s">
        <v>3</v>
      </c>
      <c r="O268" s="4">
        <v>2</v>
      </c>
      <c r="P268" s="4"/>
      <c r="Q268" s="4"/>
      <c r="R268" s="4"/>
      <c r="S268" s="4"/>
      <c r="T268" s="4"/>
      <c r="U268" s="4"/>
      <c r="V268" s="4"/>
      <c r="W268" s="4">
        <v>5.39</v>
      </c>
      <c r="X268" s="4">
        <v>1</v>
      </c>
      <c r="Y268" s="4">
        <v>5.39</v>
      </c>
      <c r="Z268" s="4"/>
      <c r="AA268" s="4"/>
      <c r="AB268" s="4"/>
    </row>
    <row r="269" spans="1:28">
      <c r="A269" s="4">
        <v>50</v>
      </c>
      <c r="B269" s="4">
        <v>0</v>
      </c>
      <c r="C269" s="4">
        <v>0</v>
      </c>
      <c r="D269" s="4">
        <v>1</v>
      </c>
      <c r="E269" s="4">
        <v>205</v>
      </c>
      <c r="F269" s="4">
        <f>ROUND(Source!S254,O269)</f>
        <v>1473.82</v>
      </c>
      <c r="G269" s="4" t="s">
        <v>80</v>
      </c>
      <c r="H269" s="4" t="s">
        <v>81</v>
      </c>
      <c r="I269" s="4"/>
      <c r="J269" s="4"/>
      <c r="K269" s="4">
        <v>205</v>
      </c>
      <c r="L269" s="4">
        <v>14</v>
      </c>
      <c r="M269" s="4">
        <v>3</v>
      </c>
      <c r="N269" s="4" t="s">
        <v>3</v>
      </c>
      <c r="O269" s="4">
        <v>2</v>
      </c>
      <c r="P269" s="4"/>
      <c r="Q269" s="4"/>
      <c r="R269" s="4"/>
      <c r="S269" s="4"/>
      <c r="T269" s="4"/>
      <c r="U269" s="4"/>
      <c r="V269" s="4"/>
      <c r="W269" s="4">
        <v>1473.82</v>
      </c>
      <c r="X269" s="4">
        <v>1</v>
      </c>
      <c r="Y269" s="4">
        <v>1473.82</v>
      </c>
      <c r="Z269" s="4"/>
      <c r="AA269" s="4"/>
      <c r="AB269" s="4"/>
    </row>
    <row r="270" spans="1:28">
      <c r="A270" s="4">
        <v>50</v>
      </c>
      <c r="B270" s="4">
        <v>0</v>
      </c>
      <c r="C270" s="4">
        <v>0</v>
      </c>
      <c r="D270" s="4">
        <v>1</v>
      </c>
      <c r="E270" s="4">
        <v>232</v>
      </c>
      <c r="F270" s="4">
        <f>ROUND(Source!BC254,O270)</f>
        <v>0</v>
      </c>
      <c r="G270" s="4" t="s">
        <v>82</v>
      </c>
      <c r="H270" s="4" t="s">
        <v>83</v>
      </c>
      <c r="I270" s="4"/>
      <c r="J270" s="4"/>
      <c r="K270" s="4">
        <v>232</v>
      </c>
      <c r="L270" s="4">
        <v>15</v>
      </c>
      <c r="M270" s="4">
        <v>3</v>
      </c>
      <c r="N270" s="4" t="s">
        <v>3</v>
      </c>
      <c r="O270" s="4">
        <v>2</v>
      </c>
      <c r="P270" s="4"/>
      <c r="Q270" s="4"/>
      <c r="R270" s="4"/>
      <c r="S270" s="4"/>
      <c r="T270" s="4"/>
      <c r="U270" s="4"/>
      <c r="V270" s="4"/>
      <c r="W270" s="4">
        <v>0</v>
      </c>
      <c r="X270" s="4">
        <v>1</v>
      </c>
      <c r="Y270" s="4">
        <v>0</v>
      </c>
      <c r="Z270" s="4"/>
      <c r="AA270" s="4"/>
      <c r="AB270" s="4"/>
    </row>
    <row r="271" spans="1:28">
      <c r="A271" s="4">
        <v>50</v>
      </c>
      <c r="B271" s="4">
        <v>0</v>
      </c>
      <c r="C271" s="4">
        <v>0</v>
      </c>
      <c r="D271" s="4">
        <v>1</v>
      </c>
      <c r="E271" s="4">
        <v>214</v>
      </c>
      <c r="F271" s="4">
        <f>ROUND(Source!AS254,O271)</f>
        <v>1878.66</v>
      </c>
      <c r="G271" s="4" t="s">
        <v>84</v>
      </c>
      <c r="H271" s="4" t="s">
        <v>85</v>
      </c>
      <c r="I271" s="4"/>
      <c r="J271" s="4"/>
      <c r="K271" s="4">
        <v>214</v>
      </c>
      <c r="L271" s="4">
        <v>16</v>
      </c>
      <c r="M271" s="4">
        <v>3</v>
      </c>
      <c r="N271" s="4" t="s">
        <v>3</v>
      </c>
      <c r="O271" s="4">
        <v>2</v>
      </c>
      <c r="P271" s="4"/>
      <c r="Q271" s="4"/>
      <c r="R271" s="4"/>
      <c r="S271" s="4"/>
      <c r="T271" s="4"/>
      <c r="U271" s="4"/>
      <c r="V271" s="4"/>
      <c r="W271" s="4">
        <v>1878.66</v>
      </c>
      <c r="X271" s="4">
        <v>1</v>
      </c>
      <c r="Y271" s="4">
        <v>1878.66</v>
      </c>
      <c r="Z271" s="4"/>
      <c r="AA271" s="4"/>
      <c r="AB271" s="4"/>
    </row>
    <row r="272" spans="1:28">
      <c r="A272" s="4">
        <v>50</v>
      </c>
      <c r="B272" s="4">
        <v>0</v>
      </c>
      <c r="C272" s="4">
        <v>0</v>
      </c>
      <c r="D272" s="4">
        <v>1</v>
      </c>
      <c r="E272" s="4">
        <v>215</v>
      </c>
      <c r="F272" s="4">
        <f>ROUND(Source!AT254,O272)</f>
        <v>7282.28</v>
      </c>
      <c r="G272" s="4" t="s">
        <v>86</v>
      </c>
      <c r="H272" s="4" t="s">
        <v>87</v>
      </c>
      <c r="I272" s="4"/>
      <c r="J272" s="4"/>
      <c r="K272" s="4">
        <v>215</v>
      </c>
      <c r="L272" s="4">
        <v>17</v>
      </c>
      <c r="M272" s="4">
        <v>3</v>
      </c>
      <c r="N272" s="4" t="s">
        <v>3</v>
      </c>
      <c r="O272" s="4">
        <v>2</v>
      </c>
      <c r="P272" s="4"/>
      <c r="Q272" s="4"/>
      <c r="R272" s="4"/>
      <c r="S272" s="4"/>
      <c r="T272" s="4"/>
      <c r="U272" s="4"/>
      <c r="V272" s="4"/>
      <c r="W272" s="4">
        <v>7282.28</v>
      </c>
      <c r="X272" s="4">
        <v>1</v>
      </c>
      <c r="Y272" s="4">
        <v>7282.28</v>
      </c>
      <c r="Z272" s="4"/>
      <c r="AA272" s="4"/>
      <c r="AB272" s="4"/>
    </row>
    <row r="273" spans="1:206">
      <c r="A273" s="4">
        <v>50</v>
      </c>
      <c r="B273" s="4">
        <v>0</v>
      </c>
      <c r="C273" s="4">
        <v>0</v>
      </c>
      <c r="D273" s="4">
        <v>1</v>
      </c>
      <c r="E273" s="4">
        <v>217</v>
      </c>
      <c r="F273" s="4">
        <f>ROUND(Source!AU254,O273)</f>
        <v>0</v>
      </c>
      <c r="G273" s="4" t="s">
        <v>88</v>
      </c>
      <c r="H273" s="4" t="s">
        <v>89</v>
      </c>
      <c r="I273" s="4"/>
      <c r="J273" s="4"/>
      <c r="K273" s="4">
        <v>217</v>
      </c>
      <c r="L273" s="4">
        <v>18</v>
      </c>
      <c r="M273" s="4">
        <v>3</v>
      </c>
      <c r="N273" s="4" t="s">
        <v>3</v>
      </c>
      <c r="O273" s="4">
        <v>2</v>
      </c>
      <c r="P273" s="4"/>
      <c r="Q273" s="4"/>
      <c r="R273" s="4"/>
      <c r="S273" s="4"/>
      <c r="T273" s="4"/>
      <c r="U273" s="4"/>
      <c r="V273" s="4"/>
      <c r="W273" s="4">
        <v>0</v>
      </c>
      <c r="X273" s="4">
        <v>1</v>
      </c>
      <c r="Y273" s="4">
        <v>0</v>
      </c>
      <c r="Z273" s="4"/>
      <c r="AA273" s="4"/>
      <c r="AB273" s="4"/>
    </row>
    <row r="274" spans="1:206">
      <c r="A274" s="4">
        <v>50</v>
      </c>
      <c r="B274" s="4">
        <v>0</v>
      </c>
      <c r="C274" s="4">
        <v>0</v>
      </c>
      <c r="D274" s="4">
        <v>1</v>
      </c>
      <c r="E274" s="4">
        <v>230</v>
      </c>
      <c r="F274" s="4">
        <f>ROUND(Source!BA254,O274)</f>
        <v>0</v>
      </c>
      <c r="G274" s="4" t="s">
        <v>90</v>
      </c>
      <c r="H274" s="4" t="s">
        <v>91</v>
      </c>
      <c r="I274" s="4"/>
      <c r="J274" s="4"/>
      <c r="K274" s="4">
        <v>230</v>
      </c>
      <c r="L274" s="4">
        <v>19</v>
      </c>
      <c r="M274" s="4">
        <v>3</v>
      </c>
      <c r="N274" s="4" t="s">
        <v>3</v>
      </c>
      <c r="O274" s="4">
        <v>2</v>
      </c>
      <c r="P274" s="4"/>
      <c r="Q274" s="4"/>
      <c r="R274" s="4"/>
      <c r="S274" s="4"/>
      <c r="T274" s="4"/>
      <c r="U274" s="4"/>
      <c r="V274" s="4"/>
      <c r="W274" s="4">
        <v>0</v>
      </c>
      <c r="X274" s="4">
        <v>1</v>
      </c>
      <c r="Y274" s="4">
        <v>0</v>
      </c>
      <c r="Z274" s="4"/>
      <c r="AA274" s="4"/>
      <c r="AB274" s="4"/>
    </row>
    <row r="275" spans="1:206">
      <c r="A275" s="4">
        <v>50</v>
      </c>
      <c r="B275" s="4">
        <v>0</v>
      </c>
      <c r="C275" s="4">
        <v>0</v>
      </c>
      <c r="D275" s="4">
        <v>1</v>
      </c>
      <c r="E275" s="4">
        <v>206</v>
      </c>
      <c r="F275" s="4">
        <f>ROUND(Source!T254,O275)</f>
        <v>0</v>
      </c>
      <c r="G275" s="4" t="s">
        <v>92</v>
      </c>
      <c r="H275" s="4" t="s">
        <v>93</v>
      </c>
      <c r="I275" s="4"/>
      <c r="J275" s="4"/>
      <c r="K275" s="4">
        <v>206</v>
      </c>
      <c r="L275" s="4">
        <v>20</v>
      </c>
      <c r="M275" s="4">
        <v>3</v>
      </c>
      <c r="N275" s="4" t="s">
        <v>3</v>
      </c>
      <c r="O275" s="4">
        <v>2</v>
      </c>
      <c r="P275" s="4"/>
      <c r="Q275" s="4"/>
      <c r="R275" s="4"/>
      <c r="S275" s="4"/>
      <c r="T275" s="4"/>
      <c r="U275" s="4"/>
      <c r="V275" s="4"/>
      <c r="W275" s="4">
        <v>0</v>
      </c>
      <c r="X275" s="4">
        <v>1</v>
      </c>
      <c r="Y275" s="4">
        <v>0</v>
      </c>
      <c r="Z275" s="4"/>
      <c r="AA275" s="4"/>
      <c r="AB275" s="4"/>
    </row>
    <row r="276" spans="1:206">
      <c r="A276" s="4">
        <v>50</v>
      </c>
      <c r="B276" s="4">
        <v>0</v>
      </c>
      <c r="C276" s="4">
        <v>0</v>
      </c>
      <c r="D276" s="4">
        <v>1</v>
      </c>
      <c r="E276" s="4">
        <v>207</v>
      </c>
      <c r="F276" s="4">
        <f>Source!U254</f>
        <v>4.5699899999999998</v>
      </c>
      <c r="G276" s="4" t="s">
        <v>94</v>
      </c>
      <c r="H276" s="4" t="s">
        <v>95</v>
      </c>
      <c r="I276" s="4"/>
      <c r="J276" s="4"/>
      <c r="K276" s="4">
        <v>207</v>
      </c>
      <c r="L276" s="4">
        <v>21</v>
      </c>
      <c r="M276" s="4">
        <v>3</v>
      </c>
      <c r="N276" s="4" t="s">
        <v>3</v>
      </c>
      <c r="O276" s="4">
        <v>-1</v>
      </c>
      <c r="P276" s="4"/>
      <c r="Q276" s="4"/>
      <c r="R276" s="4"/>
      <c r="S276" s="4"/>
      <c r="T276" s="4"/>
      <c r="U276" s="4"/>
      <c r="V276" s="4"/>
      <c r="W276" s="4">
        <v>4.5699899999999998</v>
      </c>
      <c r="X276" s="4">
        <v>1</v>
      </c>
      <c r="Y276" s="4">
        <v>4.5699899999999998</v>
      </c>
      <c r="Z276" s="4"/>
      <c r="AA276" s="4"/>
      <c r="AB276" s="4"/>
    </row>
    <row r="277" spans="1:206">
      <c r="A277" s="4">
        <v>50</v>
      </c>
      <c r="B277" s="4">
        <v>0</v>
      </c>
      <c r="C277" s="4">
        <v>0</v>
      </c>
      <c r="D277" s="4">
        <v>1</v>
      </c>
      <c r="E277" s="4">
        <v>208</v>
      </c>
      <c r="F277" s="4">
        <f>Source!V254</f>
        <v>1.1509999999999999E-2</v>
      </c>
      <c r="G277" s="4" t="s">
        <v>96</v>
      </c>
      <c r="H277" s="4" t="s">
        <v>97</v>
      </c>
      <c r="I277" s="4"/>
      <c r="J277" s="4"/>
      <c r="K277" s="4">
        <v>208</v>
      </c>
      <c r="L277" s="4">
        <v>22</v>
      </c>
      <c r="M277" s="4">
        <v>3</v>
      </c>
      <c r="N277" s="4" t="s">
        <v>3</v>
      </c>
      <c r="O277" s="4">
        <v>-1</v>
      </c>
      <c r="P277" s="4"/>
      <c r="Q277" s="4"/>
      <c r="R277" s="4"/>
      <c r="S277" s="4"/>
      <c r="T277" s="4"/>
      <c r="U277" s="4"/>
      <c r="V277" s="4"/>
      <c r="W277" s="4">
        <v>1.1509999999999999E-2</v>
      </c>
      <c r="X277" s="4">
        <v>1</v>
      </c>
      <c r="Y277" s="4">
        <v>1.1509999999999999E-2</v>
      </c>
      <c r="Z277" s="4"/>
      <c r="AA277" s="4"/>
      <c r="AB277" s="4"/>
    </row>
    <row r="278" spans="1:206">
      <c r="A278" s="4">
        <v>50</v>
      </c>
      <c r="B278" s="4">
        <v>0</v>
      </c>
      <c r="C278" s="4">
        <v>0</v>
      </c>
      <c r="D278" s="4">
        <v>1</v>
      </c>
      <c r="E278" s="4">
        <v>209</v>
      </c>
      <c r="F278" s="4">
        <f>ROUND(Source!W254,O278)</f>
        <v>0.53</v>
      </c>
      <c r="G278" s="4" t="s">
        <v>98</v>
      </c>
      <c r="H278" s="4" t="s">
        <v>99</v>
      </c>
      <c r="I278" s="4"/>
      <c r="J278" s="4"/>
      <c r="K278" s="4">
        <v>209</v>
      </c>
      <c r="L278" s="4">
        <v>23</v>
      </c>
      <c r="M278" s="4">
        <v>3</v>
      </c>
      <c r="N278" s="4" t="s">
        <v>3</v>
      </c>
      <c r="O278" s="4">
        <v>2</v>
      </c>
      <c r="P278" s="4"/>
      <c r="Q278" s="4"/>
      <c r="R278" s="4"/>
      <c r="S278" s="4"/>
      <c r="T278" s="4"/>
      <c r="U278" s="4"/>
      <c r="V278" s="4"/>
      <c r="W278" s="4">
        <v>0.53</v>
      </c>
      <c r="X278" s="4">
        <v>1</v>
      </c>
      <c r="Y278" s="4">
        <v>0.53</v>
      </c>
      <c r="Z278" s="4"/>
      <c r="AA278" s="4"/>
      <c r="AB278" s="4"/>
    </row>
    <row r="279" spans="1:206">
      <c r="A279" s="4">
        <v>50</v>
      </c>
      <c r="B279" s="4">
        <v>0</v>
      </c>
      <c r="C279" s="4">
        <v>0</v>
      </c>
      <c r="D279" s="4">
        <v>1</v>
      </c>
      <c r="E279" s="4">
        <v>233</v>
      </c>
      <c r="F279" s="4">
        <f>ROUND(Source!BD254,O279)</f>
        <v>1878.66</v>
      </c>
      <c r="G279" s="4" t="s">
        <v>100</v>
      </c>
      <c r="H279" s="4" t="s">
        <v>101</v>
      </c>
      <c r="I279" s="4"/>
      <c r="J279" s="4"/>
      <c r="K279" s="4">
        <v>233</v>
      </c>
      <c r="L279" s="4">
        <v>24</v>
      </c>
      <c r="M279" s="4">
        <v>3</v>
      </c>
      <c r="N279" s="4" t="s">
        <v>3</v>
      </c>
      <c r="O279" s="4">
        <v>2</v>
      </c>
      <c r="P279" s="4"/>
      <c r="Q279" s="4"/>
      <c r="R279" s="4"/>
      <c r="S279" s="4"/>
      <c r="T279" s="4"/>
      <c r="U279" s="4"/>
      <c r="V279" s="4"/>
      <c r="W279" s="4">
        <v>1878.66</v>
      </c>
      <c r="X279" s="4">
        <v>1</v>
      </c>
      <c r="Y279" s="4">
        <v>1878.66</v>
      </c>
      <c r="Z279" s="4"/>
      <c r="AA279" s="4"/>
      <c r="AB279" s="4"/>
    </row>
    <row r="280" spans="1:206">
      <c r="A280" s="4">
        <v>50</v>
      </c>
      <c r="B280" s="4">
        <v>0</v>
      </c>
      <c r="C280" s="4">
        <v>0</v>
      </c>
      <c r="D280" s="4">
        <v>1</v>
      </c>
      <c r="E280" s="4">
        <v>210</v>
      </c>
      <c r="F280" s="4">
        <f>ROUND(Source!X254,O280)</f>
        <v>1434.83</v>
      </c>
      <c r="G280" s="4" t="s">
        <v>102</v>
      </c>
      <c r="H280" s="4" t="s">
        <v>103</v>
      </c>
      <c r="I280" s="4"/>
      <c r="J280" s="4"/>
      <c r="K280" s="4">
        <v>210</v>
      </c>
      <c r="L280" s="4">
        <v>25</v>
      </c>
      <c r="M280" s="4">
        <v>3</v>
      </c>
      <c r="N280" s="4" t="s">
        <v>3</v>
      </c>
      <c r="O280" s="4">
        <v>2</v>
      </c>
      <c r="P280" s="4"/>
      <c r="Q280" s="4"/>
      <c r="R280" s="4"/>
      <c r="S280" s="4"/>
      <c r="T280" s="4"/>
      <c r="U280" s="4"/>
      <c r="V280" s="4"/>
      <c r="W280" s="4">
        <v>1434.83</v>
      </c>
      <c r="X280" s="4">
        <v>1</v>
      </c>
      <c r="Y280" s="4">
        <v>1434.83</v>
      </c>
      <c r="Z280" s="4"/>
      <c r="AA280" s="4"/>
      <c r="AB280" s="4"/>
    </row>
    <row r="281" spans="1:206">
      <c r="A281" s="4">
        <v>50</v>
      </c>
      <c r="B281" s="4">
        <v>0</v>
      </c>
      <c r="C281" s="4">
        <v>0</v>
      </c>
      <c r="D281" s="4">
        <v>1</v>
      </c>
      <c r="E281" s="4">
        <v>211</v>
      </c>
      <c r="F281" s="4">
        <f>ROUND(Source!Y254,O281)</f>
        <v>754.4</v>
      </c>
      <c r="G281" s="4" t="s">
        <v>104</v>
      </c>
      <c r="H281" s="4" t="s">
        <v>105</v>
      </c>
      <c r="I281" s="4"/>
      <c r="J281" s="4"/>
      <c r="K281" s="4">
        <v>211</v>
      </c>
      <c r="L281" s="4">
        <v>26</v>
      </c>
      <c r="M281" s="4">
        <v>3</v>
      </c>
      <c r="N281" s="4" t="s">
        <v>3</v>
      </c>
      <c r="O281" s="4">
        <v>2</v>
      </c>
      <c r="P281" s="4"/>
      <c r="Q281" s="4"/>
      <c r="R281" s="4"/>
      <c r="S281" s="4"/>
      <c r="T281" s="4"/>
      <c r="U281" s="4"/>
      <c r="V281" s="4"/>
      <c r="W281" s="4">
        <v>754.4</v>
      </c>
      <c r="X281" s="4">
        <v>1</v>
      </c>
      <c r="Y281" s="4">
        <v>754.4</v>
      </c>
      <c r="Z281" s="4"/>
      <c r="AA281" s="4"/>
      <c r="AB281" s="4"/>
    </row>
    <row r="282" spans="1:206">
      <c r="A282" s="4">
        <v>50</v>
      </c>
      <c r="B282" s="4">
        <v>0</v>
      </c>
      <c r="C282" s="4">
        <v>0</v>
      </c>
      <c r="D282" s="4">
        <v>1</v>
      </c>
      <c r="E282" s="4">
        <v>224</v>
      </c>
      <c r="F282" s="4">
        <f>ROUND(Source!AR254,O282)</f>
        <v>9160.94</v>
      </c>
      <c r="G282" s="4" t="s">
        <v>106</v>
      </c>
      <c r="H282" s="4" t="s">
        <v>107</v>
      </c>
      <c r="I282" s="4"/>
      <c r="J282" s="4"/>
      <c r="K282" s="4">
        <v>224</v>
      </c>
      <c r="L282" s="4">
        <v>27</v>
      </c>
      <c r="M282" s="4">
        <v>3</v>
      </c>
      <c r="N282" s="4" t="s">
        <v>3</v>
      </c>
      <c r="O282" s="4">
        <v>2</v>
      </c>
      <c r="P282" s="4"/>
      <c r="Q282" s="4"/>
      <c r="R282" s="4"/>
      <c r="S282" s="4"/>
      <c r="T282" s="4"/>
      <c r="U282" s="4"/>
      <c r="V282" s="4"/>
      <c r="W282" s="4">
        <v>9160.94</v>
      </c>
      <c r="X282" s="4">
        <v>1</v>
      </c>
      <c r="Y282" s="4">
        <v>9160.94</v>
      </c>
      <c r="Z282" s="4"/>
      <c r="AA282" s="4"/>
      <c r="AB282" s="4"/>
    </row>
    <row r="284" spans="1:206">
      <c r="A284" s="2">
        <v>51</v>
      </c>
      <c r="B284" s="2">
        <f>B20</f>
        <v>1</v>
      </c>
      <c r="C284" s="2">
        <f>A20</f>
        <v>3</v>
      </c>
      <c r="D284" s="2">
        <f>ROW(A20)</f>
        <v>20</v>
      </c>
      <c r="E284" s="2"/>
      <c r="F284" s="2" t="str">
        <f>IF(F20&lt;&gt;"",F20,"")</f>
        <v>Новая локальная смета</v>
      </c>
      <c r="G284" s="2" t="str">
        <f>IF(G20&lt;&gt;"",G20,"")</f>
        <v>Новая локальная смета</v>
      </c>
      <c r="H284" s="2">
        <v>0</v>
      </c>
      <c r="I284" s="2"/>
      <c r="J284" s="2"/>
      <c r="K284" s="2"/>
      <c r="L284" s="2"/>
      <c r="M284" s="2"/>
      <c r="N284" s="2"/>
      <c r="O284" s="2">
        <f t="shared" ref="O284:T284" si="221">ROUND(O35+O121+O159+O210+O254+AB284,2)</f>
        <v>514248.26</v>
      </c>
      <c r="P284" s="2">
        <f t="shared" si="221"/>
        <v>361326.38</v>
      </c>
      <c r="Q284" s="2">
        <f t="shared" si="221"/>
        <v>11583.43</v>
      </c>
      <c r="R284" s="2">
        <f t="shared" si="221"/>
        <v>4562.57</v>
      </c>
      <c r="S284" s="2">
        <f t="shared" si="221"/>
        <v>141338.45000000001</v>
      </c>
      <c r="T284" s="2">
        <f t="shared" si="221"/>
        <v>0</v>
      </c>
      <c r="U284" s="2">
        <f>U35+U121+U159+U210+U254+AH284</f>
        <v>487.56856350000004</v>
      </c>
      <c r="V284" s="2">
        <f>V35+V121+V159+V210+V254+AI284</f>
        <v>12.951281999999999</v>
      </c>
      <c r="W284" s="2">
        <f>ROUND(W35+W121+W159+W210+W254+AJ284,2)</f>
        <v>21.24</v>
      </c>
      <c r="X284" s="2">
        <f>ROUND(X35+X121+X159+X210+X254+AK284,2)</f>
        <v>138209.87</v>
      </c>
      <c r="Y284" s="2">
        <f>ROUND(Y35+Y121+Y159+Y210+Y254+AL284,2)</f>
        <v>70522.62</v>
      </c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>
        <f t="shared" ref="AO284:BD284" si="222">ROUND(AO35+AO121+AO159+AO210+AO254+BX284,2)</f>
        <v>0</v>
      </c>
      <c r="AP284" s="2">
        <f t="shared" si="222"/>
        <v>0</v>
      </c>
      <c r="AQ284" s="2">
        <f t="shared" si="222"/>
        <v>0</v>
      </c>
      <c r="AR284" s="2">
        <f t="shared" si="222"/>
        <v>722980.75</v>
      </c>
      <c r="AS284" s="2">
        <f t="shared" si="222"/>
        <v>715698.47</v>
      </c>
      <c r="AT284" s="2">
        <f t="shared" si="222"/>
        <v>7282.28</v>
      </c>
      <c r="AU284" s="2">
        <f t="shared" si="222"/>
        <v>0</v>
      </c>
      <c r="AV284" s="2">
        <f t="shared" si="222"/>
        <v>361326.38</v>
      </c>
      <c r="AW284" s="2">
        <f t="shared" si="222"/>
        <v>361326.38</v>
      </c>
      <c r="AX284" s="2">
        <f t="shared" si="222"/>
        <v>0</v>
      </c>
      <c r="AY284" s="2">
        <f t="shared" si="222"/>
        <v>361326.38</v>
      </c>
      <c r="AZ284" s="2">
        <f t="shared" si="222"/>
        <v>0</v>
      </c>
      <c r="BA284" s="2">
        <f t="shared" si="222"/>
        <v>0</v>
      </c>
      <c r="BB284" s="2">
        <f t="shared" si="222"/>
        <v>0</v>
      </c>
      <c r="BC284" s="2">
        <f t="shared" si="222"/>
        <v>0</v>
      </c>
      <c r="BD284" s="2">
        <f t="shared" si="222"/>
        <v>1878.66</v>
      </c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  <c r="CT284" s="2"/>
      <c r="CU284" s="2"/>
      <c r="CV284" s="2"/>
      <c r="CW284" s="2"/>
      <c r="CX284" s="2"/>
      <c r="CY284" s="2"/>
      <c r="CZ284" s="2"/>
      <c r="DA284" s="2"/>
      <c r="DB284" s="2"/>
      <c r="DC284" s="2"/>
      <c r="DD284" s="2"/>
      <c r="DE284" s="2"/>
      <c r="DF284" s="2"/>
      <c r="DG284" s="3"/>
      <c r="DH284" s="3"/>
      <c r="DI284" s="3"/>
      <c r="DJ284" s="3"/>
      <c r="DK284" s="3"/>
      <c r="DL284" s="3"/>
      <c r="DM284" s="3"/>
      <c r="DN284" s="3"/>
      <c r="DO284" s="3"/>
      <c r="DP284" s="3"/>
      <c r="DQ284" s="3"/>
      <c r="DR284" s="3"/>
      <c r="DS284" s="3"/>
      <c r="DT284" s="3"/>
      <c r="DU284" s="3"/>
      <c r="DV284" s="3"/>
      <c r="DW284" s="3"/>
      <c r="DX284" s="3"/>
      <c r="DY284" s="3"/>
      <c r="DZ284" s="3"/>
      <c r="EA284" s="3"/>
      <c r="EB284" s="3"/>
      <c r="EC284" s="3"/>
      <c r="ED284" s="3"/>
      <c r="EE284" s="3"/>
      <c r="EF284" s="3"/>
      <c r="EG284" s="3"/>
      <c r="EH284" s="3"/>
      <c r="EI284" s="3"/>
      <c r="EJ284" s="3"/>
      <c r="EK284" s="3"/>
      <c r="EL284" s="3"/>
      <c r="EM284" s="3"/>
      <c r="EN284" s="3"/>
      <c r="EO284" s="3"/>
      <c r="EP284" s="3"/>
      <c r="EQ284" s="3"/>
      <c r="ER284" s="3"/>
      <c r="ES284" s="3"/>
      <c r="ET284" s="3"/>
      <c r="EU284" s="3"/>
      <c r="EV284" s="3"/>
      <c r="EW284" s="3"/>
      <c r="EX284" s="3"/>
      <c r="EY284" s="3"/>
      <c r="EZ284" s="3"/>
      <c r="FA284" s="3"/>
      <c r="FB284" s="3"/>
      <c r="FC284" s="3"/>
      <c r="FD284" s="3"/>
      <c r="FE284" s="3"/>
      <c r="FF284" s="3"/>
      <c r="FG284" s="3"/>
      <c r="FH284" s="3"/>
      <c r="FI284" s="3"/>
      <c r="FJ284" s="3"/>
      <c r="FK284" s="3"/>
      <c r="FL284" s="3"/>
      <c r="FM284" s="3"/>
      <c r="FN284" s="3"/>
      <c r="FO284" s="3"/>
      <c r="FP284" s="3"/>
      <c r="FQ284" s="3"/>
      <c r="FR284" s="3"/>
      <c r="FS284" s="3"/>
      <c r="FT284" s="3"/>
      <c r="FU284" s="3"/>
      <c r="FV284" s="3"/>
      <c r="FW284" s="3"/>
      <c r="FX284" s="3"/>
      <c r="FY284" s="3"/>
      <c r="FZ284" s="3"/>
      <c r="GA284" s="3"/>
      <c r="GB284" s="3"/>
      <c r="GC284" s="3"/>
      <c r="GD284" s="3"/>
      <c r="GE284" s="3"/>
      <c r="GF284" s="3"/>
      <c r="GG284" s="3"/>
      <c r="GH284" s="3"/>
      <c r="GI284" s="3"/>
      <c r="GJ284" s="3"/>
      <c r="GK284" s="3"/>
      <c r="GL284" s="3"/>
      <c r="GM284" s="3"/>
      <c r="GN284" s="3"/>
      <c r="GO284" s="3"/>
      <c r="GP284" s="3"/>
      <c r="GQ284" s="3"/>
      <c r="GR284" s="3"/>
      <c r="GS284" s="3"/>
      <c r="GT284" s="3"/>
      <c r="GU284" s="3"/>
      <c r="GV284" s="3"/>
      <c r="GW284" s="3"/>
      <c r="GX284" s="3">
        <v>0</v>
      </c>
    </row>
    <row r="286" spans="1:206">
      <c r="A286" s="4">
        <v>50</v>
      </c>
      <c r="B286" s="4">
        <v>0</v>
      </c>
      <c r="C286" s="4">
        <v>0</v>
      </c>
      <c r="D286" s="4">
        <v>1</v>
      </c>
      <c r="E286" s="4">
        <v>201</v>
      </c>
      <c r="F286" s="4">
        <f>ROUND(Source!O284,O286)</f>
        <v>514248.26</v>
      </c>
      <c r="G286" s="4" t="s">
        <v>54</v>
      </c>
      <c r="H286" s="4" t="s">
        <v>55</v>
      </c>
      <c r="I286" s="4"/>
      <c r="J286" s="4"/>
      <c r="K286" s="4">
        <v>201</v>
      </c>
      <c r="L286" s="4">
        <v>1</v>
      </c>
      <c r="M286" s="4">
        <v>3</v>
      </c>
      <c r="N286" s="4" t="s">
        <v>3</v>
      </c>
      <c r="O286" s="4">
        <v>2</v>
      </c>
      <c r="P286" s="4"/>
      <c r="Q286" s="4"/>
      <c r="R286" s="4"/>
      <c r="S286" s="4"/>
      <c r="T286" s="4"/>
      <c r="U286" s="4"/>
      <c r="V286" s="4"/>
      <c r="W286" s="4">
        <v>514248.26</v>
      </c>
      <c r="X286" s="4">
        <v>1</v>
      </c>
      <c r="Y286" s="4">
        <v>514248.26</v>
      </c>
      <c r="Z286" s="4"/>
      <c r="AA286" s="4"/>
      <c r="AB286" s="4"/>
    </row>
    <row r="287" spans="1:206">
      <c r="A287" s="4">
        <v>50</v>
      </c>
      <c r="B287" s="4">
        <v>0</v>
      </c>
      <c r="C287" s="4">
        <v>0</v>
      </c>
      <c r="D287" s="4">
        <v>1</v>
      </c>
      <c r="E287" s="4">
        <v>202</v>
      </c>
      <c r="F287" s="4">
        <f>ROUND(Source!P284,O287)</f>
        <v>361326.38</v>
      </c>
      <c r="G287" s="4" t="s">
        <v>56</v>
      </c>
      <c r="H287" s="4" t="s">
        <v>57</v>
      </c>
      <c r="I287" s="4"/>
      <c r="J287" s="4"/>
      <c r="K287" s="4">
        <v>202</v>
      </c>
      <c r="L287" s="4">
        <v>2</v>
      </c>
      <c r="M287" s="4">
        <v>3</v>
      </c>
      <c r="N287" s="4" t="s">
        <v>3</v>
      </c>
      <c r="O287" s="4">
        <v>2</v>
      </c>
      <c r="P287" s="4"/>
      <c r="Q287" s="4"/>
      <c r="R287" s="4"/>
      <c r="S287" s="4"/>
      <c r="T287" s="4"/>
      <c r="U287" s="4"/>
      <c r="V287" s="4"/>
      <c r="W287" s="4">
        <v>361326.38</v>
      </c>
      <c r="X287" s="4">
        <v>1</v>
      </c>
      <c r="Y287" s="4">
        <v>361326.38</v>
      </c>
      <c r="Z287" s="4"/>
      <c r="AA287" s="4"/>
      <c r="AB287" s="4"/>
    </row>
    <row r="288" spans="1:206">
      <c r="A288" s="4">
        <v>50</v>
      </c>
      <c r="B288" s="4">
        <v>0</v>
      </c>
      <c r="C288" s="4">
        <v>0</v>
      </c>
      <c r="D288" s="4">
        <v>1</v>
      </c>
      <c r="E288" s="4">
        <v>222</v>
      </c>
      <c r="F288" s="4">
        <f>ROUND(Source!AO284,O288)</f>
        <v>0</v>
      </c>
      <c r="G288" s="4" t="s">
        <v>58</v>
      </c>
      <c r="H288" s="4" t="s">
        <v>59</v>
      </c>
      <c r="I288" s="4"/>
      <c r="J288" s="4"/>
      <c r="K288" s="4">
        <v>222</v>
      </c>
      <c r="L288" s="4">
        <v>3</v>
      </c>
      <c r="M288" s="4">
        <v>3</v>
      </c>
      <c r="N288" s="4" t="s">
        <v>3</v>
      </c>
      <c r="O288" s="4">
        <v>2</v>
      </c>
      <c r="P288" s="4"/>
      <c r="Q288" s="4"/>
      <c r="R288" s="4"/>
      <c r="S288" s="4"/>
      <c r="T288" s="4"/>
      <c r="U288" s="4"/>
      <c r="V288" s="4"/>
      <c r="W288" s="4">
        <v>0</v>
      </c>
      <c r="X288" s="4">
        <v>1</v>
      </c>
      <c r="Y288" s="4">
        <v>0</v>
      </c>
      <c r="Z288" s="4"/>
      <c r="AA288" s="4"/>
      <c r="AB288" s="4"/>
    </row>
    <row r="289" spans="1:28">
      <c r="A289" s="4">
        <v>50</v>
      </c>
      <c r="B289" s="4">
        <v>0</v>
      </c>
      <c r="C289" s="4">
        <v>0</v>
      </c>
      <c r="D289" s="4">
        <v>1</v>
      </c>
      <c r="E289" s="4">
        <v>225</v>
      </c>
      <c r="F289" s="4">
        <f>ROUND(Source!AV284,O289)</f>
        <v>361326.38</v>
      </c>
      <c r="G289" s="4" t="s">
        <v>60</v>
      </c>
      <c r="H289" s="4" t="s">
        <v>61</v>
      </c>
      <c r="I289" s="4"/>
      <c r="J289" s="4"/>
      <c r="K289" s="4">
        <v>225</v>
      </c>
      <c r="L289" s="4">
        <v>4</v>
      </c>
      <c r="M289" s="4">
        <v>3</v>
      </c>
      <c r="N289" s="4" t="s">
        <v>3</v>
      </c>
      <c r="O289" s="4">
        <v>2</v>
      </c>
      <c r="P289" s="4"/>
      <c r="Q289" s="4"/>
      <c r="R289" s="4"/>
      <c r="S289" s="4"/>
      <c r="T289" s="4"/>
      <c r="U289" s="4"/>
      <c r="V289" s="4"/>
      <c r="W289" s="4">
        <v>361326.38</v>
      </c>
      <c r="X289" s="4">
        <v>1</v>
      </c>
      <c r="Y289" s="4">
        <v>361326.38</v>
      </c>
      <c r="Z289" s="4"/>
      <c r="AA289" s="4"/>
      <c r="AB289" s="4"/>
    </row>
    <row r="290" spans="1:28">
      <c r="A290" s="4">
        <v>50</v>
      </c>
      <c r="B290" s="4">
        <v>0</v>
      </c>
      <c r="C290" s="4">
        <v>0</v>
      </c>
      <c r="D290" s="4">
        <v>1</v>
      </c>
      <c r="E290" s="4">
        <v>226</v>
      </c>
      <c r="F290" s="4">
        <f>ROUND(Source!AW284,O290)</f>
        <v>361326.38</v>
      </c>
      <c r="G290" s="4" t="s">
        <v>62</v>
      </c>
      <c r="H290" s="4" t="s">
        <v>63</v>
      </c>
      <c r="I290" s="4"/>
      <c r="J290" s="4"/>
      <c r="K290" s="4">
        <v>226</v>
      </c>
      <c r="L290" s="4">
        <v>5</v>
      </c>
      <c r="M290" s="4">
        <v>3</v>
      </c>
      <c r="N290" s="4" t="s">
        <v>3</v>
      </c>
      <c r="O290" s="4">
        <v>2</v>
      </c>
      <c r="P290" s="4"/>
      <c r="Q290" s="4"/>
      <c r="R290" s="4"/>
      <c r="S290" s="4"/>
      <c r="T290" s="4"/>
      <c r="U290" s="4"/>
      <c r="V290" s="4"/>
      <c r="W290" s="4">
        <v>361326.38</v>
      </c>
      <c r="X290" s="4">
        <v>1</v>
      </c>
      <c r="Y290" s="4">
        <v>361326.38</v>
      </c>
      <c r="Z290" s="4"/>
      <c r="AA290" s="4"/>
      <c r="AB290" s="4"/>
    </row>
    <row r="291" spans="1:28">
      <c r="A291" s="4">
        <v>50</v>
      </c>
      <c r="B291" s="4">
        <v>0</v>
      </c>
      <c r="C291" s="4">
        <v>0</v>
      </c>
      <c r="D291" s="4">
        <v>1</v>
      </c>
      <c r="E291" s="4">
        <v>227</v>
      </c>
      <c r="F291" s="4">
        <f>ROUND(Source!AX284,O291)</f>
        <v>0</v>
      </c>
      <c r="G291" s="4" t="s">
        <v>64</v>
      </c>
      <c r="H291" s="4" t="s">
        <v>65</v>
      </c>
      <c r="I291" s="4"/>
      <c r="J291" s="4"/>
      <c r="K291" s="4">
        <v>227</v>
      </c>
      <c r="L291" s="4">
        <v>6</v>
      </c>
      <c r="M291" s="4">
        <v>3</v>
      </c>
      <c r="N291" s="4" t="s">
        <v>3</v>
      </c>
      <c r="O291" s="4">
        <v>2</v>
      </c>
      <c r="P291" s="4"/>
      <c r="Q291" s="4"/>
      <c r="R291" s="4"/>
      <c r="S291" s="4"/>
      <c r="T291" s="4"/>
      <c r="U291" s="4"/>
      <c r="V291" s="4"/>
      <c r="W291" s="4">
        <v>0</v>
      </c>
      <c r="X291" s="4">
        <v>1</v>
      </c>
      <c r="Y291" s="4">
        <v>0</v>
      </c>
      <c r="Z291" s="4"/>
      <c r="AA291" s="4"/>
      <c r="AB291" s="4"/>
    </row>
    <row r="292" spans="1:28">
      <c r="A292" s="4">
        <v>50</v>
      </c>
      <c r="B292" s="4">
        <v>0</v>
      </c>
      <c r="C292" s="4">
        <v>0</v>
      </c>
      <c r="D292" s="4">
        <v>1</v>
      </c>
      <c r="E292" s="4">
        <v>228</v>
      </c>
      <c r="F292" s="4">
        <f>ROUND(Source!AY284,O292)</f>
        <v>361326.38</v>
      </c>
      <c r="G292" s="4" t="s">
        <v>66</v>
      </c>
      <c r="H292" s="4" t="s">
        <v>67</v>
      </c>
      <c r="I292" s="4"/>
      <c r="J292" s="4"/>
      <c r="K292" s="4">
        <v>228</v>
      </c>
      <c r="L292" s="4">
        <v>7</v>
      </c>
      <c r="M292" s="4">
        <v>3</v>
      </c>
      <c r="N292" s="4" t="s">
        <v>3</v>
      </c>
      <c r="O292" s="4">
        <v>2</v>
      </c>
      <c r="P292" s="4"/>
      <c r="Q292" s="4"/>
      <c r="R292" s="4"/>
      <c r="S292" s="4"/>
      <c r="T292" s="4"/>
      <c r="U292" s="4"/>
      <c r="V292" s="4"/>
      <c r="W292" s="4">
        <v>361326.38</v>
      </c>
      <c r="X292" s="4">
        <v>1</v>
      </c>
      <c r="Y292" s="4">
        <v>361326.38</v>
      </c>
      <c r="Z292" s="4"/>
      <c r="AA292" s="4"/>
      <c r="AB292" s="4"/>
    </row>
    <row r="293" spans="1:28">
      <c r="A293" s="4">
        <v>50</v>
      </c>
      <c r="B293" s="4">
        <v>0</v>
      </c>
      <c r="C293" s="4">
        <v>0</v>
      </c>
      <c r="D293" s="4">
        <v>1</v>
      </c>
      <c r="E293" s="4">
        <v>216</v>
      </c>
      <c r="F293" s="4">
        <f>ROUND(Source!AP284,O293)</f>
        <v>0</v>
      </c>
      <c r="G293" s="4" t="s">
        <v>68</v>
      </c>
      <c r="H293" s="4" t="s">
        <v>69</v>
      </c>
      <c r="I293" s="4"/>
      <c r="J293" s="4"/>
      <c r="K293" s="4">
        <v>216</v>
      </c>
      <c r="L293" s="4">
        <v>8</v>
      </c>
      <c r="M293" s="4">
        <v>3</v>
      </c>
      <c r="N293" s="4" t="s">
        <v>3</v>
      </c>
      <c r="O293" s="4">
        <v>2</v>
      </c>
      <c r="P293" s="4"/>
      <c r="Q293" s="4"/>
      <c r="R293" s="4"/>
      <c r="S293" s="4"/>
      <c r="T293" s="4"/>
      <c r="U293" s="4"/>
      <c r="V293" s="4"/>
      <c r="W293" s="4">
        <v>0</v>
      </c>
      <c r="X293" s="4">
        <v>1</v>
      </c>
      <c r="Y293" s="4">
        <v>0</v>
      </c>
      <c r="Z293" s="4"/>
      <c r="AA293" s="4"/>
      <c r="AB293" s="4"/>
    </row>
    <row r="294" spans="1:28">
      <c r="A294" s="4">
        <v>50</v>
      </c>
      <c r="B294" s="4">
        <v>0</v>
      </c>
      <c r="C294" s="4">
        <v>0</v>
      </c>
      <c r="D294" s="4">
        <v>1</v>
      </c>
      <c r="E294" s="4">
        <v>223</v>
      </c>
      <c r="F294" s="4">
        <f>ROUND(Source!AQ284,O294)</f>
        <v>0</v>
      </c>
      <c r="G294" s="4" t="s">
        <v>70</v>
      </c>
      <c r="H294" s="4" t="s">
        <v>71</v>
      </c>
      <c r="I294" s="4"/>
      <c r="J294" s="4"/>
      <c r="K294" s="4">
        <v>223</v>
      </c>
      <c r="L294" s="4">
        <v>9</v>
      </c>
      <c r="M294" s="4">
        <v>3</v>
      </c>
      <c r="N294" s="4" t="s">
        <v>3</v>
      </c>
      <c r="O294" s="4">
        <v>2</v>
      </c>
      <c r="P294" s="4"/>
      <c r="Q294" s="4"/>
      <c r="R294" s="4"/>
      <c r="S294" s="4"/>
      <c r="T294" s="4"/>
      <c r="U294" s="4"/>
      <c r="V294" s="4"/>
      <c r="W294" s="4">
        <v>0</v>
      </c>
      <c r="X294" s="4">
        <v>1</v>
      </c>
      <c r="Y294" s="4">
        <v>0</v>
      </c>
      <c r="Z294" s="4"/>
      <c r="AA294" s="4"/>
      <c r="AB294" s="4"/>
    </row>
    <row r="295" spans="1:28">
      <c r="A295" s="4">
        <v>50</v>
      </c>
      <c r="B295" s="4">
        <v>0</v>
      </c>
      <c r="C295" s="4">
        <v>0</v>
      </c>
      <c r="D295" s="4">
        <v>1</v>
      </c>
      <c r="E295" s="4">
        <v>229</v>
      </c>
      <c r="F295" s="4">
        <f>ROUND(Source!AZ284,O295)</f>
        <v>0</v>
      </c>
      <c r="G295" s="4" t="s">
        <v>72</v>
      </c>
      <c r="H295" s="4" t="s">
        <v>73</v>
      </c>
      <c r="I295" s="4"/>
      <c r="J295" s="4"/>
      <c r="K295" s="4">
        <v>229</v>
      </c>
      <c r="L295" s="4">
        <v>10</v>
      </c>
      <c r="M295" s="4">
        <v>3</v>
      </c>
      <c r="N295" s="4" t="s">
        <v>3</v>
      </c>
      <c r="O295" s="4">
        <v>2</v>
      </c>
      <c r="P295" s="4"/>
      <c r="Q295" s="4"/>
      <c r="R295" s="4"/>
      <c r="S295" s="4"/>
      <c r="T295" s="4"/>
      <c r="U295" s="4"/>
      <c r="V295" s="4"/>
      <c r="W295" s="4">
        <v>0</v>
      </c>
      <c r="X295" s="4">
        <v>1</v>
      </c>
      <c r="Y295" s="4">
        <v>0</v>
      </c>
      <c r="Z295" s="4"/>
      <c r="AA295" s="4"/>
      <c r="AB295" s="4"/>
    </row>
    <row r="296" spans="1:28">
      <c r="A296" s="4">
        <v>50</v>
      </c>
      <c r="B296" s="4">
        <v>0</v>
      </c>
      <c r="C296" s="4">
        <v>0</v>
      </c>
      <c r="D296" s="4">
        <v>1</v>
      </c>
      <c r="E296" s="4">
        <v>203</v>
      </c>
      <c r="F296" s="4">
        <f>ROUND(Source!Q284,O296)</f>
        <v>11583.43</v>
      </c>
      <c r="G296" s="4" t="s">
        <v>74</v>
      </c>
      <c r="H296" s="4" t="s">
        <v>75</v>
      </c>
      <c r="I296" s="4"/>
      <c r="J296" s="4"/>
      <c r="K296" s="4">
        <v>203</v>
      </c>
      <c r="L296" s="4">
        <v>11</v>
      </c>
      <c r="M296" s="4">
        <v>3</v>
      </c>
      <c r="N296" s="4" t="s">
        <v>3</v>
      </c>
      <c r="O296" s="4">
        <v>2</v>
      </c>
      <c r="P296" s="4"/>
      <c r="Q296" s="4"/>
      <c r="R296" s="4"/>
      <c r="S296" s="4"/>
      <c r="T296" s="4"/>
      <c r="U296" s="4"/>
      <c r="V296" s="4"/>
      <c r="W296" s="4">
        <v>11583.43</v>
      </c>
      <c r="X296" s="4">
        <v>1</v>
      </c>
      <c r="Y296" s="4">
        <v>11583.43</v>
      </c>
      <c r="Z296" s="4"/>
      <c r="AA296" s="4"/>
      <c r="AB296" s="4"/>
    </row>
    <row r="297" spans="1:28">
      <c r="A297" s="4">
        <v>50</v>
      </c>
      <c r="B297" s="4">
        <v>0</v>
      </c>
      <c r="C297" s="4">
        <v>0</v>
      </c>
      <c r="D297" s="4">
        <v>1</v>
      </c>
      <c r="E297" s="4">
        <v>231</v>
      </c>
      <c r="F297" s="4">
        <f>ROUND(Source!BB284,O297)</f>
        <v>0</v>
      </c>
      <c r="G297" s="4" t="s">
        <v>76</v>
      </c>
      <c r="H297" s="4" t="s">
        <v>77</v>
      </c>
      <c r="I297" s="4"/>
      <c r="J297" s="4"/>
      <c r="K297" s="4">
        <v>231</v>
      </c>
      <c r="L297" s="4">
        <v>12</v>
      </c>
      <c r="M297" s="4">
        <v>3</v>
      </c>
      <c r="N297" s="4" t="s">
        <v>3</v>
      </c>
      <c r="O297" s="4">
        <v>2</v>
      </c>
      <c r="P297" s="4"/>
      <c r="Q297" s="4"/>
      <c r="R297" s="4"/>
      <c r="S297" s="4"/>
      <c r="T297" s="4"/>
      <c r="U297" s="4"/>
      <c r="V297" s="4"/>
      <c r="W297" s="4">
        <v>0</v>
      </c>
      <c r="X297" s="4">
        <v>1</v>
      </c>
      <c r="Y297" s="4">
        <v>0</v>
      </c>
      <c r="Z297" s="4"/>
      <c r="AA297" s="4"/>
      <c r="AB297" s="4"/>
    </row>
    <row r="298" spans="1:28">
      <c r="A298" s="4">
        <v>50</v>
      </c>
      <c r="B298" s="4">
        <v>0</v>
      </c>
      <c r="C298" s="4">
        <v>0</v>
      </c>
      <c r="D298" s="4">
        <v>1</v>
      </c>
      <c r="E298" s="4">
        <v>204</v>
      </c>
      <c r="F298" s="4">
        <f>ROUND(Source!R284,O298)</f>
        <v>4562.57</v>
      </c>
      <c r="G298" s="4" t="s">
        <v>78</v>
      </c>
      <c r="H298" s="4" t="s">
        <v>79</v>
      </c>
      <c r="I298" s="4"/>
      <c r="J298" s="4"/>
      <c r="K298" s="4">
        <v>204</v>
      </c>
      <c r="L298" s="4">
        <v>13</v>
      </c>
      <c r="M298" s="4">
        <v>3</v>
      </c>
      <c r="N298" s="4" t="s">
        <v>3</v>
      </c>
      <c r="O298" s="4">
        <v>2</v>
      </c>
      <c r="P298" s="4"/>
      <c r="Q298" s="4"/>
      <c r="R298" s="4"/>
      <c r="S298" s="4"/>
      <c r="T298" s="4"/>
      <c r="U298" s="4"/>
      <c r="V298" s="4"/>
      <c r="W298" s="4">
        <v>4562.57</v>
      </c>
      <c r="X298" s="4">
        <v>1</v>
      </c>
      <c r="Y298" s="4">
        <v>4562.57</v>
      </c>
      <c r="Z298" s="4"/>
      <c r="AA298" s="4"/>
      <c r="AB298" s="4"/>
    </row>
    <row r="299" spans="1:28">
      <c r="A299" s="4">
        <v>50</v>
      </c>
      <c r="B299" s="4">
        <v>0</v>
      </c>
      <c r="C299" s="4">
        <v>0</v>
      </c>
      <c r="D299" s="4">
        <v>1</v>
      </c>
      <c r="E299" s="4">
        <v>205</v>
      </c>
      <c r="F299" s="4">
        <f>ROUND(Source!S284,O299)</f>
        <v>141338.45000000001</v>
      </c>
      <c r="G299" s="4" t="s">
        <v>80</v>
      </c>
      <c r="H299" s="4" t="s">
        <v>81</v>
      </c>
      <c r="I299" s="4"/>
      <c r="J299" s="4"/>
      <c r="K299" s="4">
        <v>205</v>
      </c>
      <c r="L299" s="4">
        <v>14</v>
      </c>
      <c r="M299" s="4">
        <v>3</v>
      </c>
      <c r="N299" s="4" t="s">
        <v>3</v>
      </c>
      <c r="O299" s="4">
        <v>2</v>
      </c>
      <c r="P299" s="4"/>
      <c r="Q299" s="4"/>
      <c r="R299" s="4"/>
      <c r="S299" s="4"/>
      <c r="T299" s="4"/>
      <c r="U299" s="4"/>
      <c r="V299" s="4"/>
      <c r="W299" s="4">
        <v>141338.45000000001</v>
      </c>
      <c r="X299" s="4">
        <v>1</v>
      </c>
      <c r="Y299" s="4">
        <v>141338.45000000001</v>
      </c>
      <c r="Z299" s="4"/>
      <c r="AA299" s="4"/>
      <c r="AB299" s="4"/>
    </row>
    <row r="300" spans="1:28">
      <c r="A300" s="4">
        <v>50</v>
      </c>
      <c r="B300" s="4">
        <v>0</v>
      </c>
      <c r="C300" s="4">
        <v>0</v>
      </c>
      <c r="D300" s="4">
        <v>1</v>
      </c>
      <c r="E300" s="4">
        <v>232</v>
      </c>
      <c r="F300" s="4">
        <f>ROUND(Source!BC284,O300)</f>
        <v>0</v>
      </c>
      <c r="G300" s="4" t="s">
        <v>82</v>
      </c>
      <c r="H300" s="4" t="s">
        <v>83</v>
      </c>
      <c r="I300" s="4"/>
      <c r="J300" s="4"/>
      <c r="K300" s="4">
        <v>232</v>
      </c>
      <c r="L300" s="4">
        <v>15</v>
      </c>
      <c r="M300" s="4">
        <v>3</v>
      </c>
      <c r="N300" s="4" t="s">
        <v>3</v>
      </c>
      <c r="O300" s="4">
        <v>2</v>
      </c>
      <c r="P300" s="4"/>
      <c r="Q300" s="4"/>
      <c r="R300" s="4"/>
      <c r="S300" s="4"/>
      <c r="T300" s="4"/>
      <c r="U300" s="4"/>
      <c r="V300" s="4"/>
      <c r="W300" s="4">
        <v>0</v>
      </c>
      <c r="X300" s="4">
        <v>1</v>
      </c>
      <c r="Y300" s="4">
        <v>0</v>
      </c>
      <c r="Z300" s="4"/>
      <c r="AA300" s="4"/>
      <c r="AB300" s="4"/>
    </row>
    <row r="301" spans="1:28">
      <c r="A301" s="4">
        <v>50</v>
      </c>
      <c r="B301" s="4">
        <v>0</v>
      </c>
      <c r="C301" s="4">
        <v>0</v>
      </c>
      <c r="D301" s="4">
        <v>1</v>
      </c>
      <c r="E301" s="4">
        <v>214</v>
      </c>
      <c r="F301" s="4">
        <f>ROUND(Source!AS284,O301)</f>
        <v>715698.47</v>
      </c>
      <c r="G301" s="4" t="s">
        <v>84</v>
      </c>
      <c r="H301" s="4" t="s">
        <v>85</v>
      </c>
      <c r="I301" s="4"/>
      <c r="J301" s="4"/>
      <c r="K301" s="4">
        <v>214</v>
      </c>
      <c r="L301" s="4">
        <v>16</v>
      </c>
      <c r="M301" s="4">
        <v>3</v>
      </c>
      <c r="N301" s="4" t="s">
        <v>3</v>
      </c>
      <c r="O301" s="4">
        <v>2</v>
      </c>
      <c r="P301" s="4"/>
      <c r="Q301" s="4"/>
      <c r="R301" s="4"/>
      <c r="S301" s="4"/>
      <c r="T301" s="4"/>
      <c r="U301" s="4"/>
      <c r="V301" s="4"/>
      <c r="W301" s="4">
        <v>715698.47</v>
      </c>
      <c r="X301" s="4">
        <v>1</v>
      </c>
      <c r="Y301" s="4">
        <v>715698.47</v>
      </c>
      <c r="Z301" s="4"/>
      <c r="AA301" s="4"/>
      <c r="AB301" s="4"/>
    </row>
    <row r="302" spans="1:28">
      <c r="A302" s="4">
        <v>50</v>
      </c>
      <c r="B302" s="4">
        <v>0</v>
      </c>
      <c r="C302" s="4">
        <v>0</v>
      </c>
      <c r="D302" s="4">
        <v>1</v>
      </c>
      <c r="E302" s="4">
        <v>215</v>
      </c>
      <c r="F302" s="4">
        <f>ROUND(Source!AT284,O302)</f>
        <v>7282.28</v>
      </c>
      <c r="G302" s="4" t="s">
        <v>86</v>
      </c>
      <c r="H302" s="4" t="s">
        <v>87</v>
      </c>
      <c r="I302" s="4"/>
      <c r="J302" s="4"/>
      <c r="K302" s="4">
        <v>215</v>
      </c>
      <c r="L302" s="4">
        <v>17</v>
      </c>
      <c r="M302" s="4">
        <v>3</v>
      </c>
      <c r="N302" s="4" t="s">
        <v>3</v>
      </c>
      <c r="O302" s="4">
        <v>2</v>
      </c>
      <c r="P302" s="4"/>
      <c r="Q302" s="4"/>
      <c r="R302" s="4"/>
      <c r="S302" s="4"/>
      <c r="T302" s="4"/>
      <c r="U302" s="4"/>
      <c r="V302" s="4"/>
      <c r="W302" s="4">
        <v>7282.28</v>
      </c>
      <c r="X302" s="4">
        <v>1</v>
      </c>
      <c r="Y302" s="4">
        <v>7282.28</v>
      </c>
      <c r="Z302" s="4"/>
      <c r="AA302" s="4"/>
      <c r="AB302" s="4"/>
    </row>
    <row r="303" spans="1:28">
      <c r="A303" s="4">
        <v>50</v>
      </c>
      <c r="B303" s="4">
        <v>0</v>
      </c>
      <c r="C303" s="4">
        <v>0</v>
      </c>
      <c r="D303" s="4">
        <v>1</v>
      </c>
      <c r="E303" s="4">
        <v>217</v>
      </c>
      <c r="F303" s="4">
        <f>ROUND(Source!AU284,O303)</f>
        <v>0</v>
      </c>
      <c r="G303" s="4" t="s">
        <v>88</v>
      </c>
      <c r="H303" s="4" t="s">
        <v>89</v>
      </c>
      <c r="I303" s="4"/>
      <c r="J303" s="4"/>
      <c r="K303" s="4">
        <v>217</v>
      </c>
      <c r="L303" s="4">
        <v>18</v>
      </c>
      <c r="M303" s="4">
        <v>3</v>
      </c>
      <c r="N303" s="4" t="s">
        <v>3</v>
      </c>
      <c r="O303" s="4">
        <v>2</v>
      </c>
      <c r="P303" s="4"/>
      <c r="Q303" s="4"/>
      <c r="R303" s="4"/>
      <c r="S303" s="4"/>
      <c r="T303" s="4"/>
      <c r="U303" s="4"/>
      <c r="V303" s="4"/>
      <c r="W303" s="4">
        <v>0</v>
      </c>
      <c r="X303" s="4">
        <v>1</v>
      </c>
      <c r="Y303" s="4">
        <v>0</v>
      </c>
      <c r="Z303" s="4"/>
      <c r="AA303" s="4"/>
      <c r="AB303" s="4"/>
    </row>
    <row r="304" spans="1:28">
      <c r="A304" s="4">
        <v>50</v>
      </c>
      <c r="B304" s="4">
        <v>0</v>
      </c>
      <c r="C304" s="4">
        <v>0</v>
      </c>
      <c r="D304" s="4">
        <v>1</v>
      </c>
      <c r="E304" s="4">
        <v>230</v>
      </c>
      <c r="F304" s="4">
        <f>ROUND(Source!BA284,O304)</f>
        <v>0</v>
      </c>
      <c r="G304" s="4" t="s">
        <v>90</v>
      </c>
      <c r="H304" s="4" t="s">
        <v>91</v>
      </c>
      <c r="I304" s="4"/>
      <c r="J304" s="4"/>
      <c r="K304" s="4">
        <v>230</v>
      </c>
      <c r="L304" s="4">
        <v>19</v>
      </c>
      <c r="M304" s="4">
        <v>3</v>
      </c>
      <c r="N304" s="4" t="s">
        <v>3</v>
      </c>
      <c r="O304" s="4">
        <v>2</v>
      </c>
      <c r="P304" s="4"/>
      <c r="Q304" s="4"/>
      <c r="R304" s="4"/>
      <c r="S304" s="4"/>
      <c r="T304" s="4"/>
      <c r="U304" s="4"/>
      <c r="V304" s="4"/>
      <c r="W304" s="4">
        <v>0</v>
      </c>
      <c r="X304" s="4">
        <v>1</v>
      </c>
      <c r="Y304" s="4">
        <v>0</v>
      </c>
      <c r="Z304" s="4"/>
      <c r="AA304" s="4"/>
      <c r="AB304" s="4"/>
    </row>
    <row r="305" spans="1:206">
      <c r="A305" s="4">
        <v>50</v>
      </c>
      <c r="B305" s="4">
        <v>0</v>
      </c>
      <c r="C305" s="4">
        <v>0</v>
      </c>
      <c r="D305" s="4">
        <v>1</v>
      </c>
      <c r="E305" s="4">
        <v>206</v>
      </c>
      <c r="F305" s="4">
        <f>ROUND(Source!T284,O305)</f>
        <v>0</v>
      </c>
      <c r="G305" s="4" t="s">
        <v>92</v>
      </c>
      <c r="H305" s="4" t="s">
        <v>93</v>
      </c>
      <c r="I305" s="4"/>
      <c r="J305" s="4"/>
      <c r="K305" s="4">
        <v>206</v>
      </c>
      <c r="L305" s="4">
        <v>20</v>
      </c>
      <c r="M305" s="4">
        <v>3</v>
      </c>
      <c r="N305" s="4" t="s">
        <v>3</v>
      </c>
      <c r="O305" s="4">
        <v>2</v>
      </c>
      <c r="P305" s="4"/>
      <c r="Q305" s="4"/>
      <c r="R305" s="4"/>
      <c r="S305" s="4"/>
      <c r="T305" s="4"/>
      <c r="U305" s="4"/>
      <c r="V305" s="4"/>
      <c r="W305" s="4">
        <v>0</v>
      </c>
      <c r="X305" s="4">
        <v>1</v>
      </c>
      <c r="Y305" s="4">
        <v>0</v>
      </c>
      <c r="Z305" s="4"/>
      <c r="AA305" s="4"/>
      <c r="AB305" s="4"/>
    </row>
    <row r="306" spans="1:206">
      <c r="A306" s="4">
        <v>50</v>
      </c>
      <c r="B306" s="4">
        <v>0</v>
      </c>
      <c r="C306" s="4">
        <v>0</v>
      </c>
      <c r="D306" s="4">
        <v>1</v>
      </c>
      <c r="E306" s="4">
        <v>207</v>
      </c>
      <c r="F306" s="4">
        <f>Source!U284</f>
        <v>487.56856350000004</v>
      </c>
      <c r="G306" s="4" t="s">
        <v>94</v>
      </c>
      <c r="H306" s="4" t="s">
        <v>95</v>
      </c>
      <c r="I306" s="4"/>
      <c r="J306" s="4"/>
      <c r="K306" s="4">
        <v>207</v>
      </c>
      <c r="L306" s="4">
        <v>21</v>
      </c>
      <c r="M306" s="4">
        <v>3</v>
      </c>
      <c r="N306" s="4" t="s">
        <v>3</v>
      </c>
      <c r="O306" s="4">
        <v>-1</v>
      </c>
      <c r="P306" s="4"/>
      <c r="Q306" s="4"/>
      <c r="R306" s="4"/>
      <c r="S306" s="4"/>
      <c r="T306" s="4"/>
      <c r="U306" s="4"/>
      <c r="V306" s="4"/>
      <c r="W306" s="4">
        <v>487.56856349999993</v>
      </c>
      <c r="X306" s="4">
        <v>1</v>
      </c>
      <c r="Y306" s="4">
        <v>487.56856349999993</v>
      </c>
      <c r="Z306" s="4"/>
      <c r="AA306" s="4"/>
      <c r="AB306" s="4"/>
    </row>
    <row r="307" spans="1:206">
      <c r="A307" s="4">
        <v>50</v>
      </c>
      <c r="B307" s="4">
        <v>0</v>
      </c>
      <c r="C307" s="4">
        <v>0</v>
      </c>
      <c r="D307" s="4">
        <v>1</v>
      </c>
      <c r="E307" s="4">
        <v>208</v>
      </c>
      <c r="F307" s="4">
        <f>Source!V284</f>
        <v>12.951281999999999</v>
      </c>
      <c r="G307" s="4" t="s">
        <v>96</v>
      </c>
      <c r="H307" s="4" t="s">
        <v>97</v>
      </c>
      <c r="I307" s="4"/>
      <c r="J307" s="4"/>
      <c r="K307" s="4">
        <v>208</v>
      </c>
      <c r="L307" s="4">
        <v>22</v>
      </c>
      <c r="M307" s="4">
        <v>3</v>
      </c>
      <c r="N307" s="4" t="s">
        <v>3</v>
      </c>
      <c r="O307" s="4">
        <v>-1</v>
      </c>
      <c r="P307" s="4"/>
      <c r="Q307" s="4"/>
      <c r="R307" s="4"/>
      <c r="S307" s="4"/>
      <c r="T307" s="4"/>
      <c r="U307" s="4"/>
      <c r="V307" s="4"/>
      <c r="W307" s="4">
        <v>12.951281999999996</v>
      </c>
      <c r="X307" s="4">
        <v>1</v>
      </c>
      <c r="Y307" s="4">
        <v>12.951281999999996</v>
      </c>
      <c r="Z307" s="4"/>
      <c r="AA307" s="4"/>
      <c r="AB307" s="4"/>
    </row>
    <row r="308" spans="1:206">
      <c r="A308" s="4">
        <v>50</v>
      </c>
      <c r="B308" s="4">
        <v>0</v>
      </c>
      <c r="C308" s="4">
        <v>0</v>
      </c>
      <c r="D308" s="4">
        <v>1</v>
      </c>
      <c r="E308" s="4">
        <v>209</v>
      </c>
      <c r="F308" s="4">
        <f>ROUND(Source!W284,O308)</f>
        <v>21.24</v>
      </c>
      <c r="G308" s="4" t="s">
        <v>98</v>
      </c>
      <c r="H308" s="4" t="s">
        <v>99</v>
      </c>
      <c r="I308" s="4"/>
      <c r="J308" s="4"/>
      <c r="K308" s="4">
        <v>209</v>
      </c>
      <c r="L308" s="4">
        <v>23</v>
      </c>
      <c r="M308" s="4">
        <v>3</v>
      </c>
      <c r="N308" s="4" t="s">
        <v>3</v>
      </c>
      <c r="O308" s="4">
        <v>2</v>
      </c>
      <c r="P308" s="4"/>
      <c r="Q308" s="4"/>
      <c r="R308" s="4"/>
      <c r="S308" s="4"/>
      <c r="T308" s="4"/>
      <c r="U308" s="4"/>
      <c r="V308" s="4"/>
      <c r="W308" s="4">
        <v>21.24</v>
      </c>
      <c r="X308" s="4">
        <v>1</v>
      </c>
      <c r="Y308" s="4">
        <v>21.24</v>
      </c>
      <c r="Z308" s="4"/>
      <c r="AA308" s="4"/>
      <c r="AB308" s="4"/>
    </row>
    <row r="309" spans="1:206">
      <c r="A309" s="4">
        <v>50</v>
      </c>
      <c r="B309" s="4">
        <v>0</v>
      </c>
      <c r="C309" s="4">
        <v>0</v>
      </c>
      <c r="D309" s="4">
        <v>1</v>
      </c>
      <c r="E309" s="4">
        <v>233</v>
      </c>
      <c r="F309" s="4">
        <f>ROUND(Source!BD284,O309)</f>
        <v>1878.66</v>
      </c>
      <c r="G309" s="4" t="s">
        <v>100</v>
      </c>
      <c r="H309" s="4" t="s">
        <v>101</v>
      </c>
      <c r="I309" s="4"/>
      <c r="J309" s="4"/>
      <c r="K309" s="4">
        <v>233</v>
      </c>
      <c r="L309" s="4">
        <v>24</v>
      </c>
      <c r="M309" s="4">
        <v>3</v>
      </c>
      <c r="N309" s="4" t="s">
        <v>3</v>
      </c>
      <c r="O309" s="4">
        <v>2</v>
      </c>
      <c r="P309" s="4"/>
      <c r="Q309" s="4"/>
      <c r="R309" s="4"/>
      <c r="S309" s="4"/>
      <c r="T309" s="4"/>
      <c r="U309" s="4"/>
      <c r="V309" s="4"/>
      <c r="W309" s="4">
        <v>1878.66</v>
      </c>
      <c r="X309" s="4">
        <v>1</v>
      </c>
      <c r="Y309" s="4">
        <v>1878.66</v>
      </c>
      <c r="Z309" s="4"/>
      <c r="AA309" s="4"/>
      <c r="AB309" s="4"/>
    </row>
    <row r="310" spans="1:206">
      <c r="A310" s="4">
        <v>50</v>
      </c>
      <c r="B310" s="4">
        <v>0</v>
      </c>
      <c r="C310" s="4">
        <v>0</v>
      </c>
      <c r="D310" s="4">
        <v>1</v>
      </c>
      <c r="E310" s="4">
        <v>210</v>
      </c>
      <c r="F310" s="4">
        <f>ROUND(Source!X284,O310)</f>
        <v>138209.87</v>
      </c>
      <c r="G310" s="4" t="s">
        <v>102</v>
      </c>
      <c r="H310" s="4" t="s">
        <v>103</v>
      </c>
      <c r="I310" s="4"/>
      <c r="J310" s="4"/>
      <c r="K310" s="4">
        <v>210</v>
      </c>
      <c r="L310" s="4">
        <v>25</v>
      </c>
      <c r="M310" s="4">
        <v>3</v>
      </c>
      <c r="N310" s="4" t="s">
        <v>3</v>
      </c>
      <c r="O310" s="4">
        <v>2</v>
      </c>
      <c r="P310" s="4"/>
      <c r="Q310" s="4"/>
      <c r="R310" s="4"/>
      <c r="S310" s="4"/>
      <c r="T310" s="4"/>
      <c r="U310" s="4"/>
      <c r="V310" s="4"/>
      <c r="W310" s="4">
        <v>138209.87</v>
      </c>
      <c r="X310" s="4">
        <v>1</v>
      </c>
      <c r="Y310" s="4">
        <v>138209.87</v>
      </c>
      <c r="Z310" s="4"/>
      <c r="AA310" s="4"/>
      <c r="AB310" s="4"/>
    </row>
    <row r="311" spans="1:206">
      <c r="A311" s="4">
        <v>50</v>
      </c>
      <c r="B311" s="4">
        <v>0</v>
      </c>
      <c r="C311" s="4">
        <v>0</v>
      </c>
      <c r="D311" s="4">
        <v>1</v>
      </c>
      <c r="E311" s="4">
        <v>211</v>
      </c>
      <c r="F311" s="4">
        <f>ROUND(Source!Y284,O311)</f>
        <v>70522.62</v>
      </c>
      <c r="G311" s="4" t="s">
        <v>104</v>
      </c>
      <c r="H311" s="4" t="s">
        <v>105</v>
      </c>
      <c r="I311" s="4"/>
      <c r="J311" s="4"/>
      <c r="K311" s="4">
        <v>211</v>
      </c>
      <c r="L311" s="4">
        <v>26</v>
      </c>
      <c r="M311" s="4">
        <v>3</v>
      </c>
      <c r="N311" s="4" t="s">
        <v>3</v>
      </c>
      <c r="O311" s="4">
        <v>2</v>
      </c>
      <c r="P311" s="4"/>
      <c r="Q311" s="4"/>
      <c r="R311" s="4"/>
      <c r="S311" s="4"/>
      <c r="T311" s="4"/>
      <c r="U311" s="4"/>
      <c r="V311" s="4"/>
      <c r="W311" s="4">
        <v>70522.62</v>
      </c>
      <c r="X311" s="4">
        <v>1</v>
      </c>
      <c r="Y311" s="4">
        <v>70522.62</v>
      </c>
      <c r="Z311" s="4"/>
      <c r="AA311" s="4"/>
      <c r="AB311" s="4"/>
    </row>
    <row r="312" spans="1:206">
      <c r="A312" s="4">
        <v>50</v>
      </c>
      <c r="B312" s="4">
        <v>0</v>
      </c>
      <c r="C312" s="4">
        <v>0</v>
      </c>
      <c r="D312" s="4">
        <v>1</v>
      </c>
      <c r="E312" s="4">
        <v>224</v>
      </c>
      <c r="F312" s="4">
        <f>ROUND(Source!AR284,O312)</f>
        <v>722980.75</v>
      </c>
      <c r="G312" s="4" t="s">
        <v>106</v>
      </c>
      <c r="H312" s="4" t="s">
        <v>107</v>
      </c>
      <c r="I312" s="4"/>
      <c r="J312" s="4"/>
      <c r="K312" s="4">
        <v>224</v>
      </c>
      <c r="L312" s="4">
        <v>27</v>
      </c>
      <c r="M312" s="4">
        <v>3</v>
      </c>
      <c r="N312" s="4" t="s">
        <v>3</v>
      </c>
      <c r="O312" s="4">
        <v>2</v>
      </c>
      <c r="P312" s="4"/>
      <c r="Q312" s="4"/>
      <c r="R312" s="4"/>
      <c r="S312" s="4"/>
      <c r="T312" s="4"/>
      <c r="U312" s="4"/>
      <c r="V312" s="4"/>
      <c r="W312" s="4">
        <v>722980.75</v>
      </c>
      <c r="X312" s="4">
        <v>1</v>
      </c>
      <c r="Y312" s="4">
        <v>722980.75</v>
      </c>
      <c r="Z312" s="4"/>
      <c r="AA312" s="4"/>
      <c r="AB312" s="4"/>
    </row>
    <row r="314" spans="1:206">
      <c r="A314" s="2">
        <v>51</v>
      </c>
      <c r="B314" s="2">
        <f>B12</f>
        <v>369</v>
      </c>
      <c r="C314" s="2">
        <f>A12</f>
        <v>1</v>
      </c>
      <c r="D314" s="2">
        <f>ROW(A12)</f>
        <v>12</v>
      </c>
      <c r="E314" s="2"/>
      <c r="F314" s="2" t="str">
        <f>IF(F12&lt;&gt;"",F12,"")</f>
        <v>Новый объект</v>
      </c>
      <c r="G314" s="2" t="str">
        <f>IF(G12&lt;&gt;"",G12,"")</f>
        <v>Кабинет ЛФК  Ильинский Погост 2021.</v>
      </c>
      <c r="H314" s="2">
        <v>0</v>
      </c>
      <c r="I314" s="2"/>
      <c r="J314" s="2"/>
      <c r="K314" s="2"/>
      <c r="L314" s="2"/>
      <c r="M314" s="2"/>
      <c r="N314" s="2"/>
      <c r="O314" s="2">
        <f t="shared" ref="O314:T314" si="223">ROUND(O284,2)</f>
        <v>514248.26</v>
      </c>
      <c r="P314" s="2">
        <f t="shared" si="223"/>
        <v>361326.38</v>
      </c>
      <c r="Q314" s="2">
        <f t="shared" si="223"/>
        <v>11583.43</v>
      </c>
      <c r="R314" s="2">
        <f t="shared" si="223"/>
        <v>4562.57</v>
      </c>
      <c r="S314" s="2">
        <f t="shared" si="223"/>
        <v>141338.45000000001</v>
      </c>
      <c r="T314" s="2">
        <f t="shared" si="223"/>
        <v>0</v>
      </c>
      <c r="U314" s="2">
        <f>U284</f>
        <v>487.56856350000004</v>
      </c>
      <c r="V314" s="2">
        <f>V284</f>
        <v>12.951281999999999</v>
      </c>
      <c r="W314" s="2">
        <f>ROUND(W284,2)</f>
        <v>21.24</v>
      </c>
      <c r="X314" s="2">
        <f>ROUND(X284,2)</f>
        <v>138209.87</v>
      </c>
      <c r="Y314" s="2">
        <f>ROUND(Y284,2)</f>
        <v>70522.62</v>
      </c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>
        <f t="shared" ref="AO314:BD314" si="224">ROUND(AO284,2)</f>
        <v>0</v>
      </c>
      <c r="AP314" s="2">
        <f t="shared" si="224"/>
        <v>0</v>
      </c>
      <c r="AQ314" s="2">
        <f t="shared" si="224"/>
        <v>0</v>
      </c>
      <c r="AR314" s="2">
        <f t="shared" si="224"/>
        <v>722980.75</v>
      </c>
      <c r="AS314" s="2">
        <f t="shared" si="224"/>
        <v>715698.47</v>
      </c>
      <c r="AT314" s="2">
        <f t="shared" si="224"/>
        <v>7282.28</v>
      </c>
      <c r="AU314" s="2">
        <f t="shared" si="224"/>
        <v>0</v>
      </c>
      <c r="AV314" s="2">
        <f t="shared" si="224"/>
        <v>361326.38</v>
      </c>
      <c r="AW314" s="2">
        <f t="shared" si="224"/>
        <v>361326.38</v>
      </c>
      <c r="AX314" s="2">
        <f t="shared" si="224"/>
        <v>0</v>
      </c>
      <c r="AY314" s="2">
        <f t="shared" si="224"/>
        <v>361326.38</v>
      </c>
      <c r="AZ314" s="2">
        <f t="shared" si="224"/>
        <v>0</v>
      </c>
      <c r="BA314" s="2">
        <f t="shared" si="224"/>
        <v>0</v>
      </c>
      <c r="BB314" s="2">
        <f t="shared" si="224"/>
        <v>0</v>
      </c>
      <c r="BC314" s="2">
        <f t="shared" si="224"/>
        <v>0</v>
      </c>
      <c r="BD314" s="2">
        <f t="shared" si="224"/>
        <v>1878.66</v>
      </c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  <c r="CS314" s="2"/>
      <c r="CT314" s="2"/>
      <c r="CU314" s="2"/>
      <c r="CV314" s="2"/>
      <c r="CW314" s="2"/>
      <c r="CX314" s="2"/>
      <c r="CY314" s="2"/>
      <c r="CZ314" s="2"/>
      <c r="DA314" s="2"/>
      <c r="DB314" s="2"/>
      <c r="DC314" s="2"/>
      <c r="DD314" s="2"/>
      <c r="DE314" s="2"/>
      <c r="DF314" s="2"/>
      <c r="DG314" s="3"/>
      <c r="DH314" s="3"/>
      <c r="DI314" s="3"/>
      <c r="DJ314" s="3"/>
      <c r="DK314" s="3"/>
      <c r="DL314" s="3"/>
      <c r="DM314" s="3"/>
      <c r="DN314" s="3"/>
      <c r="DO314" s="3"/>
      <c r="DP314" s="3"/>
      <c r="DQ314" s="3"/>
      <c r="DR314" s="3"/>
      <c r="DS314" s="3"/>
      <c r="DT314" s="3"/>
      <c r="DU314" s="3"/>
      <c r="DV314" s="3"/>
      <c r="DW314" s="3"/>
      <c r="DX314" s="3"/>
      <c r="DY314" s="3"/>
      <c r="DZ314" s="3"/>
      <c r="EA314" s="3"/>
      <c r="EB314" s="3"/>
      <c r="EC314" s="3"/>
      <c r="ED314" s="3"/>
      <c r="EE314" s="3"/>
      <c r="EF314" s="3"/>
      <c r="EG314" s="3"/>
      <c r="EH314" s="3"/>
      <c r="EI314" s="3"/>
      <c r="EJ314" s="3"/>
      <c r="EK314" s="3"/>
      <c r="EL314" s="3"/>
      <c r="EM314" s="3"/>
      <c r="EN314" s="3"/>
      <c r="EO314" s="3"/>
      <c r="EP314" s="3"/>
      <c r="EQ314" s="3"/>
      <c r="ER314" s="3"/>
      <c r="ES314" s="3"/>
      <c r="ET314" s="3"/>
      <c r="EU314" s="3"/>
      <c r="EV314" s="3"/>
      <c r="EW314" s="3"/>
      <c r="EX314" s="3"/>
      <c r="EY314" s="3"/>
      <c r="EZ314" s="3"/>
      <c r="FA314" s="3"/>
      <c r="FB314" s="3"/>
      <c r="FC314" s="3"/>
      <c r="FD314" s="3"/>
      <c r="FE314" s="3"/>
      <c r="FF314" s="3"/>
      <c r="FG314" s="3"/>
      <c r="FH314" s="3"/>
      <c r="FI314" s="3"/>
      <c r="FJ314" s="3"/>
      <c r="FK314" s="3"/>
      <c r="FL314" s="3"/>
      <c r="FM314" s="3"/>
      <c r="FN314" s="3"/>
      <c r="FO314" s="3"/>
      <c r="FP314" s="3"/>
      <c r="FQ314" s="3"/>
      <c r="FR314" s="3"/>
      <c r="FS314" s="3"/>
      <c r="FT314" s="3"/>
      <c r="FU314" s="3"/>
      <c r="FV314" s="3"/>
      <c r="FW314" s="3"/>
      <c r="FX314" s="3"/>
      <c r="FY314" s="3"/>
      <c r="FZ314" s="3"/>
      <c r="GA314" s="3"/>
      <c r="GB314" s="3"/>
      <c r="GC314" s="3"/>
      <c r="GD314" s="3"/>
      <c r="GE314" s="3"/>
      <c r="GF314" s="3"/>
      <c r="GG314" s="3"/>
      <c r="GH314" s="3"/>
      <c r="GI314" s="3"/>
      <c r="GJ314" s="3"/>
      <c r="GK314" s="3"/>
      <c r="GL314" s="3"/>
      <c r="GM314" s="3"/>
      <c r="GN314" s="3"/>
      <c r="GO314" s="3"/>
      <c r="GP314" s="3"/>
      <c r="GQ314" s="3"/>
      <c r="GR314" s="3"/>
      <c r="GS314" s="3"/>
      <c r="GT314" s="3"/>
      <c r="GU314" s="3"/>
      <c r="GV314" s="3"/>
      <c r="GW314" s="3"/>
      <c r="GX314" s="3">
        <v>0</v>
      </c>
    </row>
    <row r="316" spans="1:206">
      <c r="A316" s="4">
        <v>50</v>
      </c>
      <c r="B316" s="4">
        <v>0</v>
      </c>
      <c r="C316" s="4">
        <v>0</v>
      </c>
      <c r="D316" s="4">
        <v>1</v>
      </c>
      <c r="E316" s="4">
        <v>201</v>
      </c>
      <c r="F316" s="4">
        <f>ROUND(Source!O314,O316)</f>
        <v>514248.26</v>
      </c>
      <c r="G316" s="4" t="s">
        <v>54</v>
      </c>
      <c r="H316" s="4" t="s">
        <v>55</v>
      </c>
      <c r="I316" s="4"/>
      <c r="J316" s="4"/>
      <c r="K316" s="4">
        <v>201</v>
      </c>
      <c r="L316" s="4">
        <v>1</v>
      </c>
      <c r="M316" s="4">
        <v>3</v>
      </c>
      <c r="N316" s="4" t="s">
        <v>3</v>
      </c>
      <c r="O316" s="4">
        <v>2</v>
      </c>
      <c r="P316" s="4"/>
      <c r="Q316" s="4"/>
      <c r="R316" s="4"/>
      <c r="S316" s="4"/>
      <c r="T316" s="4"/>
      <c r="U316" s="4"/>
      <c r="V316" s="4"/>
      <c r="W316" s="4">
        <v>514248.26</v>
      </c>
      <c r="X316" s="4">
        <v>1</v>
      </c>
      <c r="Y316" s="4">
        <v>514248.26</v>
      </c>
      <c r="Z316" s="4"/>
      <c r="AA316" s="4"/>
      <c r="AB316" s="4"/>
    </row>
    <row r="317" spans="1:206">
      <c r="A317" s="4">
        <v>50</v>
      </c>
      <c r="B317" s="4">
        <v>0</v>
      </c>
      <c r="C317" s="4">
        <v>0</v>
      </c>
      <c r="D317" s="4">
        <v>1</v>
      </c>
      <c r="E317" s="4">
        <v>202</v>
      </c>
      <c r="F317" s="4">
        <f>ROUND(Source!P314,O317)</f>
        <v>361326.38</v>
      </c>
      <c r="G317" s="4" t="s">
        <v>56</v>
      </c>
      <c r="H317" s="4" t="s">
        <v>57</v>
      </c>
      <c r="I317" s="4"/>
      <c r="J317" s="4"/>
      <c r="K317" s="4">
        <v>202</v>
      </c>
      <c r="L317" s="4">
        <v>2</v>
      </c>
      <c r="M317" s="4">
        <v>3</v>
      </c>
      <c r="N317" s="4" t="s">
        <v>3</v>
      </c>
      <c r="O317" s="4">
        <v>2</v>
      </c>
      <c r="P317" s="4"/>
      <c r="Q317" s="4"/>
      <c r="R317" s="4"/>
      <c r="S317" s="4"/>
      <c r="T317" s="4"/>
      <c r="U317" s="4"/>
      <c r="V317" s="4"/>
      <c r="W317" s="4">
        <v>361326.38</v>
      </c>
      <c r="X317" s="4">
        <v>1</v>
      </c>
      <c r="Y317" s="4">
        <v>361326.38</v>
      </c>
      <c r="Z317" s="4"/>
      <c r="AA317" s="4"/>
      <c r="AB317" s="4"/>
    </row>
    <row r="318" spans="1:206">
      <c r="A318" s="4">
        <v>50</v>
      </c>
      <c r="B318" s="4">
        <v>0</v>
      </c>
      <c r="C318" s="4">
        <v>0</v>
      </c>
      <c r="D318" s="4">
        <v>1</v>
      </c>
      <c r="E318" s="4">
        <v>222</v>
      </c>
      <c r="F318" s="4">
        <f>ROUND(Source!AO314,O318)</f>
        <v>0</v>
      </c>
      <c r="G318" s="4" t="s">
        <v>58</v>
      </c>
      <c r="H318" s="4" t="s">
        <v>59</v>
      </c>
      <c r="I318" s="4"/>
      <c r="J318" s="4"/>
      <c r="K318" s="4">
        <v>222</v>
      </c>
      <c r="L318" s="4">
        <v>3</v>
      </c>
      <c r="M318" s="4">
        <v>3</v>
      </c>
      <c r="N318" s="4" t="s">
        <v>3</v>
      </c>
      <c r="O318" s="4">
        <v>2</v>
      </c>
      <c r="P318" s="4"/>
      <c r="Q318" s="4"/>
      <c r="R318" s="4"/>
      <c r="S318" s="4"/>
      <c r="T318" s="4"/>
      <c r="U318" s="4"/>
      <c r="V318" s="4"/>
      <c r="W318" s="4">
        <v>0</v>
      </c>
      <c r="X318" s="4">
        <v>1</v>
      </c>
      <c r="Y318" s="4">
        <v>0</v>
      </c>
      <c r="Z318" s="4"/>
      <c r="AA318" s="4"/>
      <c r="AB318" s="4"/>
    </row>
    <row r="319" spans="1:206">
      <c r="A319" s="4">
        <v>50</v>
      </c>
      <c r="B319" s="4">
        <v>0</v>
      </c>
      <c r="C319" s="4">
        <v>0</v>
      </c>
      <c r="D319" s="4">
        <v>1</v>
      </c>
      <c r="E319" s="4">
        <v>225</v>
      </c>
      <c r="F319" s="4">
        <f>ROUND(Source!AV314,O319)</f>
        <v>361326.38</v>
      </c>
      <c r="G319" s="4" t="s">
        <v>60</v>
      </c>
      <c r="H319" s="4" t="s">
        <v>61</v>
      </c>
      <c r="I319" s="4"/>
      <c r="J319" s="4"/>
      <c r="K319" s="4">
        <v>225</v>
      </c>
      <c r="L319" s="4">
        <v>4</v>
      </c>
      <c r="M319" s="4">
        <v>3</v>
      </c>
      <c r="N319" s="4" t="s">
        <v>3</v>
      </c>
      <c r="O319" s="4">
        <v>2</v>
      </c>
      <c r="P319" s="4"/>
      <c r="Q319" s="4"/>
      <c r="R319" s="4"/>
      <c r="S319" s="4"/>
      <c r="T319" s="4"/>
      <c r="U319" s="4"/>
      <c r="V319" s="4"/>
      <c r="W319" s="4">
        <v>361326.38</v>
      </c>
      <c r="X319" s="4">
        <v>1</v>
      </c>
      <c r="Y319" s="4">
        <v>361326.38</v>
      </c>
      <c r="Z319" s="4"/>
      <c r="AA319" s="4"/>
      <c r="AB319" s="4"/>
    </row>
    <row r="320" spans="1:206">
      <c r="A320" s="4">
        <v>50</v>
      </c>
      <c r="B320" s="4">
        <v>0</v>
      </c>
      <c r="C320" s="4">
        <v>0</v>
      </c>
      <c r="D320" s="4">
        <v>1</v>
      </c>
      <c r="E320" s="4">
        <v>226</v>
      </c>
      <c r="F320" s="4">
        <f>ROUND(Source!AW314,O320)</f>
        <v>361326.38</v>
      </c>
      <c r="G320" s="4" t="s">
        <v>62</v>
      </c>
      <c r="H320" s="4" t="s">
        <v>63</v>
      </c>
      <c r="I320" s="4"/>
      <c r="J320" s="4"/>
      <c r="K320" s="4">
        <v>226</v>
      </c>
      <c r="L320" s="4">
        <v>5</v>
      </c>
      <c r="M320" s="4">
        <v>3</v>
      </c>
      <c r="N320" s="4" t="s">
        <v>3</v>
      </c>
      <c r="O320" s="4">
        <v>2</v>
      </c>
      <c r="P320" s="4"/>
      <c r="Q320" s="4"/>
      <c r="R320" s="4"/>
      <c r="S320" s="4"/>
      <c r="T320" s="4"/>
      <c r="U320" s="4"/>
      <c r="V320" s="4"/>
      <c r="W320" s="4">
        <v>361326.38</v>
      </c>
      <c r="X320" s="4">
        <v>1</v>
      </c>
      <c r="Y320" s="4">
        <v>361326.38</v>
      </c>
      <c r="Z320" s="4"/>
      <c r="AA320" s="4"/>
      <c r="AB320" s="4"/>
    </row>
    <row r="321" spans="1:28">
      <c r="A321" s="4">
        <v>50</v>
      </c>
      <c r="B321" s="4">
        <v>0</v>
      </c>
      <c r="C321" s="4">
        <v>0</v>
      </c>
      <c r="D321" s="4">
        <v>1</v>
      </c>
      <c r="E321" s="4">
        <v>227</v>
      </c>
      <c r="F321" s="4">
        <f>ROUND(Source!AX314,O321)</f>
        <v>0</v>
      </c>
      <c r="G321" s="4" t="s">
        <v>64</v>
      </c>
      <c r="H321" s="4" t="s">
        <v>65</v>
      </c>
      <c r="I321" s="4"/>
      <c r="J321" s="4"/>
      <c r="K321" s="4">
        <v>227</v>
      </c>
      <c r="L321" s="4">
        <v>6</v>
      </c>
      <c r="M321" s="4">
        <v>3</v>
      </c>
      <c r="N321" s="4" t="s">
        <v>3</v>
      </c>
      <c r="O321" s="4">
        <v>2</v>
      </c>
      <c r="P321" s="4"/>
      <c r="Q321" s="4"/>
      <c r="R321" s="4"/>
      <c r="S321" s="4"/>
      <c r="T321" s="4"/>
      <c r="U321" s="4"/>
      <c r="V321" s="4"/>
      <c r="W321" s="4">
        <v>0</v>
      </c>
      <c r="X321" s="4">
        <v>1</v>
      </c>
      <c r="Y321" s="4">
        <v>0</v>
      </c>
      <c r="Z321" s="4"/>
      <c r="AA321" s="4"/>
      <c r="AB321" s="4"/>
    </row>
    <row r="322" spans="1:28">
      <c r="A322" s="4">
        <v>50</v>
      </c>
      <c r="B322" s="4">
        <v>0</v>
      </c>
      <c r="C322" s="4">
        <v>0</v>
      </c>
      <c r="D322" s="4">
        <v>1</v>
      </c>
      <c r="E322" s="4">
        <v>228</v>
      </c>
      <c r="F322" s="4">
        <f>ROUND(Source!AY314,O322)</f>
        <v>361326.38</v>
      </c>
      <c r="G322" s="4" t="s">
        <v>66</v>
      </c>
      <c r="H322" s="4" t="s">
        <v>67</v>
      </c>
      <c r="I322" s="4"/>
      <c r="J322" s="4"/>
      <c r="K322" s="4">
        <v>228</v>
      </c>
      <c r="L322" s="4">
        <v>7</v>
      </c>
      <c r="M322" s="4">
        <v>3</v>
      </c>
      <c r="N322" s="4" t="s">
        <v>3</v>
      </c>
      <c r="O322" s="4">
        <v>2</v>
      </c>
      <c r="P322" s="4"/>
      <c r="Q322" s="4"/>
      <c r="R322" s="4"/>
      <c r="S322" s="4"/>
      <c r="T322" s="4"/>
      <c r="U322" s="4"/>
      <c r="V322" s="4"/>
      <c r="W322" s="4">
        <v>361326.38</v>
      </c>
      <c r="X322" s="4">
        <v>1</v>
      </c>
      <c r="Y322" s="4">
        <v>361326.38</v>
      </c>
      <c r="Z322" s="4"/>
      <c r="AA322" s="4"/>
      <c r="AB322" s="4"/>
    </row>
    <row r="323" spans="1:28">
      <c r="A323" s="4">
        <v>50</v>
      </c>
      <c r="B323" s="4">
        <v>0</v>
      </c>
      <c r="C323" s="4">
        <v>0</v>
      </c>
      <c r="D323" s="4">
        <v>1</v>
      </c>
      <c r="E323" s="4">
        <v>216</v>
      </c>
      <c r="F323" s="4">
        <f>ROUND(Source!AP314,O323)</f>
        <v>0</v>
      </c>
      <c r="G323" s="4" t="s">
        <v>68</v>
      </c>
      <c r="H323" s="4" t="s">
        <v>69</v>
      </c>
      <c r="I323" s="4"/>
      <c r="J323" s="4"/>
      <c r="K323" s="4">
        <v>216</v>
      </c>
      <c r="L323" s="4">
        <v>8</v>
      </c>
      <c r="M323" s="4">
        <v>3</v>
      </c>
      <c r="N323" s="4" t="s">
        <v>3</v>
      </c>
      <c r="O323" s="4">
        <v>2</v>
      </c>
      <c r="P323" s="4"/>
      <c r="Q323" s="4"/>
      <c r="R323" s="4"/>
      <c r="S323" s="4"/>
      <c r="T323" s="4"/>
      <c r="U323" s="4"/>
      <c r="V323" s="4"/>
      <c r="W323" s="4">
        <v>0</v>
      </c>
      <c r="X323" s="4">
        <v>1</v>
      </c>
      <c r="Y323" s="4">
        <v>0</v>
      </c>
      <c r="Z323" s="4"/>
      <c r="AA323" s="4"/>
      <c r="AB323" s="4"/>
    </row>
    <row r="324" spans="1:28">
      <c r="A324" s="4">
        <v>50</v>
      </c>
      <c r="B324" s="4">
        <v>0</v>
      </c>
      <c r="C324" s="4">
        <v>0</v>
      </c>
      <c r="D324" s="4">
        <v>1</v>
      </c>
      <c r="E324" s="4">
        <v>223</v>
      </c>
      <c r="F324" s="4">
        <f>ROUND(Source!AQ314,O324)</f>
        <v>0</v>
      </c>
      <c r="G324" s="4" t="s">
        <v>70</v>
      </c>
      <c r="H324" s="4" t="s">
        <v>71</v>
      </c>
      <c r="I324" s="4"/>
      <c r="J324" s="4"/>
      <c r="K324" s="4">
        <v>223</v>
      </c>
      <c r="L324" s="4">
        <v>9</v>
      </c>
      <c r="M324" s="4">
        <v>3</v>
      </c>
      <c r="N324" s="4" t="s">
        <v>3</v>
      </c>
      <c r="O324" s="4">
        <v>2</v>
      </c>
      <c r="P324" s="4"/>
      <c r="Q324" s="4"/>
      <c r="R324" s="4"/>
      <c r="S324" s="4"/>
      <c r="T324" s="4"/>
      <c r="U324" s="4"/>
      <c r="V324" s="4"/>
      <c r="W324" s="4">
        <v>0</v>
      </c>
      <c r="X324" s="4">
        <v>1</v>
      </c>
      <c r="Y324" s="4">
        <v>0</v>
      </c>
      <c r="Z324" s="4"/>
      <c r="AA324" s="4"/>
      <c r="AB324" s="4"/>
    </row>
    <row r="325" spans="1:28">
      <c r="A325" s="4">
        <v>50</v>
      </c>
      <c r="B325" s="4">
        <v>0</v>
      </c>
      <c r="C325" s="4">
        <v>0</v>
      </c>
      <c r="D325" s="4">
        <v>1</v>
      </c>
      <c r="E325" s="4">
        <v>229</v>
      </c>
      <c r="F325" s="4">
        <f>ROUND(Source!AZ314,O325)</f>
        <v>0</v>
      </c>
      <c r="G325" s="4" t="s">
        <v>72</v>
      </c>
      <c r="H325" s="4" t="s">
        <v>73</v>
      </c>
      <c r="I325" s="4"/>
      <c r="J325" s="4"/>
      <c r="K325" s="4">
        <v>229</v>
      </c>
      <c r="L325" s="4">
        <v>10</v>
      </c>
      <c r="M325" s="4">
        <v>3</v>
      </c>
      <c r="N325" s="4" t="s">
        <v>3</v>
      </c>
      <c r="O325" s="4">
        <v>2</v>
      </c>
      <c r="P325" s="4"/>
      <c r="Q325" s="4"/>
      <c r="R325" s="4"/>
      <c r="S325" s="4"/>
      <c r="T325" s="4"/>
      <c r="U325" s="4"/>
      <c r="V325" s="4"/>
      <c r="W325" s="4">
        <v>0</v>
      </c>
      <c r="X325" s="4">
        <v>1</v>
      </c>
      <c r="Y325" s="4">
        <v>0</v>
      </c>
      <c r="Z325" s="4"/>
      <c r="AA325" s="4"/>
      <c r="AB325" s="4"/>
    </row>
    <row r="326" spans="1:28">
      <c r="A326" s="4">
        <v>50</v>
      </c>
      <c r="B326" s="4">
        <v>0</v>
      </c>
      <c r="C326" s="4">
        <v>0</v>
      </c>
      <c r="D326" s="4">
        <v>1</v>
      </c>
      <c r="E326" s="4">
        <v>203</v>
      </c>
      <c r="F326" s="4">
        <f>ROUND(Source!Q314,O326)</f>
        <v>11583.43</v>
      </c>
      <c r="G326" s="4" t="s">
        <v>74</v>
      </c>
      <c r="H326" s="4" t="s">
        <v>75</v>
      </c>
      <c r="I326" s="4"/>
      <c r="J326" s="4"/>
      <c r="K326" s="4">
        <v>203</v>
      </c>
      <c r="L326" s="4">
        <v>11</v>
      </c>
      <c r="M326" s="4">
        <v>3</v>
      </c>
      <c r="N326" s="4" t="s">
        <v>3</v>
      </c>
      <c r="O326" s="4">
        <v>2</v>
      </c>
      <c r="P326" s="4"/>
      <c r="Q326" s="4"/>
      <c r="R326" s="4"/>
      <c r="S326" s="4"/>
      <c r="T326" s="4"/>
      <c r="U326" s="4"/>
      <c r="V326" s="4"/>
      <c r="W326" s="4">
        <v>11583.43</v>
      </c>
      <c r="X326" s="4">
        <v>1</v>
      </c>
      <c r="Y326" s="4">
        <v>11583.43</v>
      </c>
      <c r="Z326" s="4"/>
      <c r="AA326" s="4"/>
      <c r="AB326" s="4"/>
    </row>
    <row r="327" spans="1:28">
      <c r="A327" s="4">
        <v>50</v>
      </c>
      <c r="B327" s="4">
        <v>0</v>
      </c>
      <c r="C327" s="4">
        <v>0</v>
      </c>
      <c r="D327" s="4">
        <v>1</v>
      </c>
      <c r="E327" s="4">
        <v>231</v>
      </c>
      <c r="F327" s="4">
        <f>ROUND(Source!BB314,O327)</f>
        <v>0</v>
      </c>
      <c r="G327" s="4" t="s">
        <v>76</v>
      </c>
      <c r="H327" s="4" t="s">
        <v>77</v>
      </c>
      <c r="I327" s="4"/>
      <c r="J327" s="4"/>
      <c r="K327" s="4">
        <v>231</v>
      </c>
      <c r="L327" s="4">
        <v>12</v>
      </c>
      <c r="M327" s="4">
        <v>3</v>
      </c>
      <c r="N327" s="4" t="s">
        <v>3</v>
      </c>
      <c r="O327" s="4">
        <v>2</v>
      </c>
      <c r="P327" s="4"/>
      <c r="Q327" s="4"/>
      <c r="R327" s="4"/>
      <c r="S327" s="4"/>
      <c r="T327" s="4"/>
      <c r="U327" s="4"/>
      <c r="V327" s="4"/>
      <c r="W327" s="4">
        <v>0</v>
      </c>
      <c r="X327" s="4">
        <v>1</v>
      </c>
      <c r="Y327" s="4">
        <v>0</v>
      </c>
      <c r="Z327" s="4"/>
      <c r="AA327" s="4"/>
      <c r="AB327" s="4"/>
    </row>
    <row r="328" spans="1:28">
      <c r="A328" s="4">
        <v>50</v>
      </c>
      <c r="B328" s="4">
        <v>0</v>
      </c>
      <c r="C328" s="4">
        <v>0</v>
      </c>
      <c r="D328" s="4">
        <v>1</v>
      </c>
      <c r="E328" s="4">
        <v>204</v>
      </c>
      <c r="F328" s="4">
        <f>ROUND(Source!R314,O328)</f>
        <v>4562.57</v>
      </c>
      <c r="G328" s="4" t="s">
        <v>78</v>
      </c>
      <c r="H328" s="4" t="s">
        <v>79</v>
      </c>
      <c r="I328" s="4"/>
      <c r="J328" s="4"/>
      <c r="K328" s="4">
        <v>204</v>
      </c>
      <c r="L328" s="4">
        <v>13</v>
      </c>
      <c r="M328" s="4">
        <v>3</v>
      </c>
      <c r="N328" s="4" t="s">
        <v>3</v>
      </c>
      <c r="O328" s="4">
        <v>2</v>
      </c>
      <c r="P328" s="4"/>
      <c r="Q328" s="4"/>
      <c r="R328" s="4"/>
      <c r="S328" s="4"/>
      <c r="T328" s="4"/>
      <c r="U328" s="4"/>
      <c r="V328" s="4"/>
      <c r="W328" s="4">
        <v>4562.57</v>
      </c>
      <c r="X328" s="4">
        <v>1</v>
      </c>
      <c r="Y328" s="4">
        <v>4562.57</v>
      </c>
      <c r="Z328" s="4"/>
      <c r="AA328" s="4"/>
      <c r="AB328" s="4"/>
    </row>
    <row r="329" spans="1:28">
      <c r="A329" s="4">
        <v>50</v>
      </c>
      <c r="B329" s="4">
        <v>0</v>
      </c>
      <c r="C329" s="4">
        <v>0</v>
      </c>
      <c r="D329" s="4">
        <v>1</v>
      </c>
      <c r="E329" s="4">
        <v>205</v>
      </c>
      <c r="F329" s="4">
        <f>ROUND(Source!S314,O329)</f>
        <v>141338.45000000001</v>
      </c>
      <c r="G329" s="4" t="s">
        <v>80</v>
      </c>
      <c r="H329" s="4" t="s">
        <v>81</v>
      </c>
      <c r="I329" s="4"/>
      <c r="J329" s="4"/>
      <c r="K329" s="4">
        <v>205</v>
      </c>
      <c r="L329" s="4">
        <v>14</v>
      </c>
      <c r="M329" s="4">
        <v>3</v>
      </c>
      <c r="N329" s="4" t="s">
        <v>3</v>
      </c>
      <c r="O329" s="4">
        <v>2</v>
      </c>
      <c r="P329" s="4"/>
      <c r="Q329" s="4"/>
      <c r="R329" s="4"/>
      <c r="S329" s="4"/>
      <c r="T329" s="4"/>
      <c r="U329" s="4"/>
      <c r="V329" s="4"/>
      <c r="W329" s="4">
        <v>141338.45000000001</v>
      </c>
      <c r="X329" s="4">
        <v>1</v>
      </c>
      <c r="Y329" s="4">
        <v>141338.45000000001</v>
      </c>
      <c r="Z329" s="4"/>
      <c r="AA329" s="4"/>
      <c r="AB329" s="4"/>
    </row>
    <row r="330" spans="1:28">
      <c r="A330" s="4">
        <v>50</v>
      </c>
      <c r="B330" s="4">
        <v>0</v>
      </c>
      <c r="C330" s="4">
        <v>0</v>
      </c>
      <c r="D330" s="4">
        <v>1</v>
      </c>
      <c r="E330" s="4">
        <v>232</v>
      </c>
      <c r="F330" s="4">
        <f>ROUND(Source!BC314,O330)</f>
        <v>0</v>
      </c>
      <c r="G330" s="4" t="s">
        <v>82</v>
      </c>
      <c r="H330" s="4" t="s">
        <v>83</v>
      </c>
      <c r="I330" s="4"/>
      <c r="J330" s="4"/>
      <c r="K330" s="4">
        <v>232</v>
      </c>
      <c r="L330" s="4">
        <v>15</v>
      </c>
      <c r="M330" s="4">
        <v>3</v>
      </c>
      <c r="N330" s="4" t="s">
        <v>3</v>
      </c>
      <c r="O330" s="4">
        <v>2</v>
      </c>
      <c r="P330" s="4"/>
      <c r="Q330" s="4"/>
      <c r="R330" s="4"/>
      <c r="S330" s="4"/>
      <c r="T330" s="4"/>
      <c r="U330" s="4"/>
      <c r="V330" s="4"/>
      <c r="W330" s="4">
        <v>0</v>
      </c>
      <c r="X330" s="4">
        <v>1</v>
      </c>
      <c r="Y330" s="4">
        <v>0</v>
      </c>
      <c r="Z330" s="4"/>
      <c r="AA330" s="4"/>
      <c r="AB330" s="4"/>
    </row>
    <row r="331" spans="1:28">
      <c r="A331" s="4">
        <v>50</v>
      </c>
      <c r="B331" s="4">
        <v>0</v>
      </c>
      <c r="C331" s="4">
        <v>0</v>
      </c>
      <c r="D331" s="4">
        <v>1</v>
      </c>
      <c r="E331" s="4">
        <v>214</v>
      </c>
      <c r="F331" s="4">
        <f>ROUND(Source!AS314,O331)</f>
        <v>715698.47</v>
      </c>
      <c r="G331" s="4" t="s">
        <v>84</v>
      </c>
      <c r="H331" s="4" t="s">
        <v>85</v>
      </c>
      <c r="I331" s="4"/>
      <c r="J331" s="4"/>
      <c r="K331" s="4">
        <v>214</v>
      </c>
      <c r="L331" s="4">
        <v>16</v>
      </c>
      <c r="M331" s="4">
        <v>3</v>
      </c>
      <c r="N331" s="4" t="s">
        <v>3</v>
      </c>
      <c r="O331" s="4">
        <v>2</v>
      </c>
      <c r="P331" s="4"/>
      <c r="Q331" s="4"/>
      <c r="R331" s="4"/>
      <c r="S331" s="4"/>
      <c r="T331" s="4"/>
      <c r="U331" s="4"/>
      <c r="V331" s="4"/>
      <c r="W331" s="4">
        <v>715698.47</v>
      </c>
      <c r="X331" s="4">
        <v>1</v>
      </c>
      <c r="Y331" s="4">
        <v>715698.47</v>
      </c>
      <c r="Z331" s="4"/>
      <c r="AA331" s="4"/>
      <c r="AB331" s="4"/>
    </row>
    <row r="332" spans="1:28">
      <c r="A332" s="4">
        <v>50</v>
      </c>
      <c r="B332" s="4">
        <v>0</v>
      </c>
      <c r="C332" s="4">
        <v>0</v>
      </c>
      <c r="D332" s="4">
        <v>1</v>
      </c>
      <c r="E332" s="4">
        <v>215</v>
      </c>
      <c r="F332" s="4">
        <f>ROUND(Source!AT314,O332)</f>
        <v>7282.28</v>
      </c>
      <c r="G332" s="4" t="s">
        <v>86</v>
      </c>
      <c r="H332" s="4" t="s">
        <v>87</v>
      </c>
      <c r="I332" s="4"/>
      <c r="J332" s="4"/>
      <c r="K332" s="4">
        <v>215</v>
      </c>
      <c r="L332" s="4">
        <v>17</v>
      </c>
      <c r="M332" s="4">
        <v>3</v>
      </c>
      <c r="N332" s="4" t="s">
        <v>3</v>
      </c>
      <c r="O332" s="4">
        <v>2</v>
      </c>
      <c r="P332" s="4"/>
      <c r="Q332" s="4"/>
      <c r="R332" s="4"/>
      <c r="S332" s="4"/>
      <c r="T332" s="4"/>
      <c r="U332" s="4"/>
      <c r="V332" s="4"/>
      <c r="W332" s="4">
        <v>7282.28</v>
      </c>
      <c r="X332" s="4">
        <v>1</v>
      </c>
      <c r="Y332" s="4">
        <v>7282.28</v>
      </c>
      <c r="Z332" s="4"/>
      <c r="AA332" s="4"/>
      <c r="AB332" s="4"/>
    </row>
    <row r="333" spans="1:28">
      <c r="A333" s="4">
        <v>50</v>
      </c>
      <c r="B333" s="4">
        <v>0</v>
      </c>
      <c r="C333" s="4">
        <v>0</v>
      </c>
      <c r="D333" s="4">
        <v>1</v>
      </c>
      <c r="E333" s="4">
        <v>217</v>
      </c>
      <c r="F333" s="4">
        <f>ROUND(Source!AU314,O333)</f>
        <v>0</v>
      </c>
      <c r="G333" s="4" t="s">
        <v>88</v>
      </c>
      <c r="H333" s="4" t="s">
        <v>89</v>
      </c>
      <c r="I333" s="4"/>
      <c r="J333" s="4"/>
      <c r="K333" s="4">
        <v>217</v>
      </c>
      <c r="L333" s="4">
        <v>18</v>
      </c>
      <c r="M333" s="4">
        <v>3</v>
      </c>
      <c r="N333" s="4" t="s">
        <v>3</v>
      </c>
      <c r="O333" s="4">
        <v>2</v>
      </c>
      <c r="P333" s="4"/>
      <c r="Q333" s="4"/>
      <c r="R333" s="4"/>
      <c r="S333" s="4"/>
      <c r="T333" s="4"/>
      <c r="U333" s="4"/>
      <c r="V333" s="4"/>
      <c r="W333" s="4">
        <v>0</v>
      </c>
      <c r="X333" s="4">
        <v>1</v>
      </c>
      <c r="Y333" s="4">
        <v>0</v>
      </c>
      <c r="Z333" s="4"/>
      <c r="AA333" s="4"/>
      <c r="AB333" s="4"/>
    </row>
    <row r="334" spans="1:28">
      <c r="A334" s="4">
        <v>50</v>
      </c>
      <c r="B334" s="4">
        <v>0</v>
      </c>
      <c r="C334" s="4">
        <v>0</v>
      </c>
      <c r="D334" s="4">
        <v>1</v>
      </c>
      <c r="E334" s="4">
        <v>230</v>
      </c>
      <c r="F334" s="4">
        <f>ROUND(Source!BA314,O334)</f>
        <v>0</v>
      </c>
      <c r="G334" s="4" t="s">
        <v>90</v>
      </c>
      <c r="H334" s="4" t="s">
        <v>91</v>
      </c>
      <c r="I334" s="4"/>
      <c r="J334" s="4"/>
      <c r="K334" s="4">
        <v>230</v>
      </c>
      <c r="L334" s="4">
        <v>19</v>
      </c>
      <c r="M334" s="4">
        <v>3</v>
      </c>
      <c r="N334" s="4" t="s">
        <v>3</v>
      </c>
      <c r="O334" s="4">
        <v>2</v>
      </c>
      <c r="P334" s="4"/>
      <c r="Q334" s="4"/>
      <c r="R334" s="4"/>
      <c r="S334" s="4"/>
      <c r="T334" s="4"/>
      <c r="U334" s="4"/>
      <c r="V334" s="4"/>
      <c r="W334" s="4">
        <v>0</v>
      </c>
      <c r="X334" s="4">
        <v>1</v>
      </c>
      <c r="Y334" s="4">
        <v>0</v>
      </c>
      <c r="Z334" s="4"/>
      <c r="AA334" s="4"/>
      <c r="AB334" s="4"/>
    </row>
    <row r="335" spans="1:28">
      <c r="A335" s="4">
        <v>50</v>
      </c>
      <c r="B335" s="4">
        <v>0</v>
      </c>
      <c r="C335" s="4">
        <v>0</v>
      </c>
      <c r="D335" s="4">
        <v>1</v>
      </c>
      <c r="E335" s="4">
        <v>206</v>
      </c>
      <c r="F335" s="4">
        <f>ROUND(Source!T314,O335)</f>
        <v>0</v>
      </c>
      <c r="G335" s="4" t="s">
        <v>92</v>
      </c>
      <c r="H335" s="4" t="s">
        <v>93</v>
      </c>
      <c r="I335" s="4"/>
      <c r="J335" s="4"/>
      <c r="K335" s="4">
        <v>206</v>
      </c>
      <c r="L335" s="4">
        <v>20</v>
      </c>
      <c r="M335" s="4">
        <v>3</v>
      </c>
      <c r="N335" s="4" t="s">
        <v>3</v>
      </c>
      <c r="O335" s="4">
        <v>2</v>
      </c>
      <c r="P335" s="4"/>
      <c r="Q335" s="4"/>
      <c r="R335" s="4"/>
      <c r="S335" s="4"/>
      <c r="T335" s="4"/>
      <c r="U335" s="4"/>
      <c r="V335" s="4"/>
      <c r="W335" s="4">
        <v>0</v>
      </c>
      <c r="X335" s="4">
        <v>1</v>
      </c>
      <c r="Y335" s="4">
        <v>0</v>
      </c>
      <c r="Z335" s="4"/>
      <c r="AA335" s="4"/>
      <c r="AB335" s="4"/>
    </row>
    <row r="336" spans="1:28">
      <c r="A336" s="4">
        <v>50</v>
      </c>
      <c r="B336" s="4">
        <v>0</v>
      </c>
      <c r="C336" s="4">
        <v>0</v>
      </c>
      <c r="D336" s="4">
        <v>1</v>
      </c>
      <c r="E336" s="4">
        <v>207</v>
      </c>
      <c r="F336" s="4">
        <f>Source!U314</f>
        <v>487.56856350000004</v>
      </c>
      <c r="G336" s="4" t="s">
        <v>94</v>
      </c>
      <c r="H336" s="4" t="s">
        <v>95</v>
      </c>
      <c r="I336" s="4"/>
      <c r="J336" s="4"/>
      <c r="K336" s="4">
        <v>207</v>
      </c>
      <c r="L336" s="4">
        <v>21</v>
      </c>
      <c r="M336" s="4">
        <v>3</v>
      </c>
      <c r="N336" s="4" t="s">
        <v>3</v>
      </c>
      <c r="O336" s="4">
        <v>-1</v>
      </c>
      <c r="P336" s="4"/>
      <c r="Q336" s="4"/>
      <c r="R336" s="4"/>
      <c r="S336" s="4"/>
      <c r="T336" s="4"/>
      <c r="U336" s="4"/>
      <c r="V336" s="4"/>
      <c r="W336" s="4">
        <v>487.56856349999993</v>
      </c>
      <c r="X336" s="4">
        <v>1</v>
      </c>
      <c r="Y336" s="4">
        <v>487.56856349999993</v>
      </c>
      <c r="Z336" s="4"/>
      <c r="AA336" s="4"/>
      <c r="AB336" s="4"/>
    </row>
    <row r="337" spans="1:28">
      <c r="A337" s="4">
        <v>50</v>
      </c>
      <c r="B337" s="4">
        <v>0</v>
      </c>
      <c r="C337" s="4">
        <v>0</v>
      </c>
      <c r="D337" s="4">
        <v>1</v>
      </c>
      <c r="E337" s="4">
        <v>208</v>
      </c>
      <c r="F337" s="4">
        <f>Source!V314</f>
        <v>12.951281999999999</v>
      </c>
      <c r="G337" s="4" t="s">
        <v>96</v>
      </c>
      <c r="H337" s="4" t="s">
        <v>97</v>
      </c>
      <c r="I337" s="4"/>
      <c r="J337" s="4"/>
      <c r="K337" s="4">
        <v>208</v>
      </c>
      <c r="L337" s="4">
        <v>22</v>
      </c>
      <c r="M337" s="4">
        <v>3</v>
      </c>
      <c r="N337" s="4" t="s">
        <v>3</v>
      </c>
      <c r="O337" s="4">
        <v>-1</v>
      </c>
      <c r="P337" s="4"/>
      <c r="Q337" s="4"/>
      <c r="R337" s="4"/>
      <c r="S337" s="4"/>
      <c r="T337" s="4"/>
      <c r="U337" s="4"/>
      <c r="V337" s="4"/>
      <c r="W337" s="4">
        <v>12.951281999999996</v>
      </c>
      <c r="X337" s="4">
        <v>1</v>
      </c>
      <c r="Y337" s="4">
        <v>12.951281999999996</v>
      </c>
      <c r="Z337" s="4"/>
      <c r="AA337" s="4"/>
      <c r="AB337" s="4"/>
    </row>
    <row r="338" spans="1:28">
      <c r="A338" s="4">
        <v>50</v>
      </c>
      <c r="B338" s="4">
        <v>0</v>
      </c>
      <c r="C338" s="4">
        <v>0</v>
      </c>
      <c r="D338" s="4">
        <v>1</v>
      </c>
      <c r="E338" s="4">
        <v>209</v>
      </c>
      <c r="F338" s="4">
        <f>ROUND(Source!W314,O338)</f>
        <v>21.24</v>
      </c>
      <c r="G338" s="4" t="s">
        <v>98</v>
      </c>
      <c r="H338" s="4" t="s">
        <v>99</v>
      </c>
      <c r="I338" s="4"/>
      <c r="J338" s="4"/>
      <c r="K338" s="4">
        <v>209</v>
      </c>
      <c r="L338" s="4">
        <v>23</v>
      </c>
      <c r="M338" s="4">
        <v>3</v>
      </c>
      <c r="N338" s="4" t="s">
        <v>3</v>
      </c>
      <c r="O338" s="4">
        <v>2</v>
      </c>
      <c r="P338" s="4"/>
      <c r="Q338" s="4"/>
      <c r="R338" s="4"/>
      <c r="S338" s="4"/>
      <c r="T338" s="4"/>
      <c r="U338" s="4"/>
      <c r="V338" s="4"/>
      <c r="W338" s="4">
        <v>21.24</v>
      </c>
      <c r="X338" s="4">
        <v>1</v>
      </c>
      <c r="Y338" s="4">
        <v>21.24</v>
      </c>
      <c r="Z338" s="4"/>
      <c r="AA338" s="4"/>
      <c r="AB338" s="4"/>
    </row>
    <row r="339" spans="1:28">
      <c r="A339" s="4">
        <v>50</v>
      </c>
      <c r="B339" s="4">
        <v>0</v>
      </c>
      <c r="C339" s="4">
        <v>0</v>
      </c>
      <c r="D339" s="4">
        <v>1</v>
      </c>
      <c r="E339" s="4">
        <v>233</v>
      </c>
      <c r="F339" s="4">
        <f>ROUND(Source!BD314,O339)</f>
        <v>1878.66</v>
      </c>
      <c r="G339" s="4" t="s">
        <v>100</v>
      </c>
      <c r="H339" s="4" t="s">
        <v>101</v>
      </c>
      <c r="I339" s="4"/>
      <c r="J339" s="4"/>
      <c r="K339" s="4">
        <v>233</v>
      </c>
      <c r="L339" s="4">
        <v>24</v>
      </c>
      <c r="M339" s="4">
        <v>3</v>
      </c>
      <c r="N339" s="4" t="s">
        <v>3</v>
      </c>
      <c r="O339" s="4">
        <v>2</v>
      </c>
      <c r="P339" s="4"/>
      <c r="Q339" s="4"/>
      <c r="R339" s="4"/>
      <c r="S339" s="4"/>
      <c r="T339" s="4"/>
      <c r="U339" s="4"/>
      <c r="V339" s="4"/>
      <c r="W339" s="4">
        <v>1878.66</v>
      </c>
      <c r="X339" s="4">
        <v>1</v>
      </c>
      <c r="Y339" s="4">
        <v>1878.66</v>
      </c>
      <c r="Z339" s="4"/>
      <c r="AA339" s="4"/>
      <c r="AB339" s="4"/>
    </row>
    <row r="340" spans="1:28">
      <c r="A340" s="4">
        <v>50</v>
      </c>
      <c r="B340" s="4">
        <v>0</v>
      </c>
      <c r="C340" s="4">
        <v>0</v>
      </c>
      <c r="D340" s="4">
        <v>1</v>
      </c>
      <c r="E340" s="4">
        <v>210</v>
      </c>
      <c r="F340" s="4">
        <f>ROUND(Source!X314,O340)</f>
        <v>138209.87</v>
      </c>
      <c r="G340" s="4" t="s">
        <v>102</v>
      </c>
      <c r="H340" s="4" t="s">
        <v>103</v>
      </c>
      <c r="I340" s="4"/>
      <c r="J340" s="4"/>
      <c r="K340" s="4">
        <v>210</v>
      </c>
      <c r="L340" s="4">
        <v>25</v>
      </c>
      <c r="M340" s="4">
        <v>3</v>
      </c>
      <c r="N340" s="4" t="s">
        <v>3</v>
      </c>
      <c r="O340" s="4">
        <v>2</v>
      </c>
      <c r="P340" s="4"/>
      <c r="Q340" s="4"/>
      <c r="R340" s="4"/>
      <c r="S340" s="4"/>
      <c r="T340" s="4"/>
      <c r="U340" s="4"/>
      <c r="V340" s="4"/>
      <c r="W340" s="4">
        <v>138209.87</v>
      </c>
      <c r="X340" s="4">
        <v>1</v>
      </c>
      <c r="Y340" s="4">
        <v>138209.87</v>
      </c>
      <c r="Z340" s="4"/>
      <c r="AA340" s="4"/>
      <c r="AB340" s="4"/>
    </row>
    <row r="341" spans="1:28">
      <c r="A341" s="4">
        <v>50</v>
      </c>
      <c r="B341" s="4">
        <v>0</v>
      </c>
      <c r="C341" s="4">
        <v>0</v>
      </c>
      <c r="D341" s="4">
        <v>1</v>
      </c>
      <c r="E341" s="4">
        <v>211</v>
      </c>
      <c r="F341" s="4">
        <f>ROUND(Source!Y314,O341)</f>
        <v>70522.62</v>
      </c>
      <c r="G341" s="4" t="s">
        <v>104</v>
      </c>
      <c r="H341" s="4" t="s">
        <v>105</v>
      </c>
      <c r="I341" s="4"/>
      <c r="J341" s="4"/>
      <c r="K341" s="4">
        <v>211</v>
      </c>
      <c r="L341" s="4">
        <v>26</v>
      </c>
      <c r="M341" s="4">
        <v>3</v>
      </c>
      <c r="N341" s="4" t="s">
        <v>3</v>
      </c>
      <c r="O341" s="4">
        <v>2</v>
      </c>
      <c r="P341" s="4"/>
      <c r="Q341" s="4"/>
      <c r="R341" s="4"/>
      <c r="S341" s="4"/>
      <c r="T341" s="4"/>
      <c r="U341" s="4"/>
      <c r="V341" s="4"/>
      <c r="W341" s="4">
        <v>70522.62</v>
      </c>
      <c r="X341" s="4">
        <v>1</v>
      </c>
      <c r="Y341" s="4">
        <v>70522.62</v>
      </c>
      <c r="Z341" s="4"/>
      <c r="AA341" s="4"/>
      <c r="AB341" s="4"/>
    </row>
    <row r="342" spans="1:28">
      <c r="A342" s="4">
        <v>50</v>
      </c>
      <c r="B342" s="4">
        <v>0</v>
      </c>
      <c r="C342" s="4">
        <v>0</v>
      </c>
      <c r="D342" s="4">
        <v>1</v>
      </c>
      <c r="E342" s="4">
        <v>224</v>
      </c>
      <c r="F342" s="4">
        <f>ROUND(Source!AR314,O342)</f>
        <v>722980.75</v>
      </c>
      <c r="G342" s="4" t="s">
        <v>106</v>
      </c>
      <c r="H342" s="4" t="s">
        <v>107</v>
      </c>
      <c r="I342" s="4"/>
      <c r="J342" s="4"/>
      <c r="K342" s="4">
        <v>224</v>
      </c>
      <c r="L342" s="4">
        <v>27</v>
      </c>
      <c r="M342" s="4">
        <v>3</v>
      </c>
      <c r="N342" s="4" t="s">
        <v>3</v>
      </c>
      <c r="O342" s="4">
        <v>2</v>
      </c>
      <c r="P342" s="4"/>
      <c r="Q342" s="4"/>
      <c r="R342" s="4"/>
      <c r="S342" s="4"/>
      <c r="T342" s="4"/>
      <c r="U342" s="4"/>
      <c r="V342" s="4"/>
      <c r="W342" s="4">
        <v>722980.75</v>
      </c>
      <c r="X342" s="4">
        <v>1</v>
      </c>
      <c r="Y342" s="4">
        <v>722980.75</v>
      </c>
      <c r="Z342" s="4"/>
      <c r="AA342" s="4"/>
      <c r="AB342" s="4"/>
    </row>
    <row r="343" spans="1:28">
      <c r="A343" s="4">
        <v>50</v>
      </c>
      <c r="B343" s="4">
        <v>1</v>
      </c>
      <c r="C343" s="4">
        <v>0</v>
      </c>
      <c r="D343" s="4">
        <v>2</v>
      </c>
      <c r="E343" s="4">
        <v>0</v>
      </c>
      <c r="F343" s="4">
        <f>ROUND(F342*0.2,O343)</f>
        <v>144596.15</v>
      </c>
      <c r="G343" s="4" t="s">
        <v>293</v>
      </c>
      <c r="H343" s="4" t="s">
        <v>294</v>
      </c>
      <c r="I343" s="4"/>
      <c r="J343" s="4"/>
      <c r="K343" s="4">
        <v>212</v>
      </c>
      <c r="L343" s="4">
        <v>28</v>
      </c>
      <c r="M343" s="4">
        <v>0</v>
      </c>
      <c r="N343" s="4" t="s">
        <v>3</v>
      </c>
      <c r="O343" s="4">
        <v>2</v>
      </c>
      <c r="P343" s="4"/>
      <c r="Q343" s="4"/>
      <c r="R343" s="4"/>
      <c r="S343" s="4"/>
      <c r="T343" s="4"/>
      <c r="U343" s="4"/>
      <c r="V343" s="4"/>
      <c r="W343" s="4">
        <v>144596.15</v>
      </c>
      <c r="X343" s="4">
        <v>1</v>
      </c>
      <c r="Y343" s="4">
        <v>144596.15</v>
      </c>
      <c r="Z343" s="4"/>
      <c r="AA343" s="4"/>
      <c r="AB343" s="4"/>
    </row>
    <row r="344" spans="1:28">
      <c r="A344" s="4">
        <v>50</v>
      </c>
      <c r="B344" s="4">
        <v>1</v>
      </c>
      <c r="C344" s="4">
        <v>0</v>
      </c>
      <c r="D344" s="4">
        <v>2</v>
      </c>
      <c r="E344" s="4">
        <v>213</v>
      </c>
      <c r="F344" s="4">
        <f>ROUND(F342+F343,O344)</f>
        <v>867576.9</v>
      </c>
      <c r="G344" s="4" t="s">
        <v>295</v>
      </c>
      <c r="H344" s="4" t="s">
        <v>296</v>
      </c>
      <c r="I344" s="4"/>
      <c r="J344" s="4"/>
      <c r="K344" s="4">
        <v>212</v>
      </c>
      <c r="L344" s="4">
        <v>29</v>
      </c>
      <c r="M344" s="4">
        <v>0</v>
      </c>
      <c r="N344" s="4" t="s">
        <v>3</v>
      </c>
      <c r="O344" s="4">
        <v>2</v>
      </c>
      <c r="P344" s="4"/>
      <c r="Q344" s="4"/>
      <c r="R344" s="4"/>
      <c r="S344" s="4"/>
      <c r="T344" s="4"/>
      <c r="U344" s="4"/>
      <c r="V344" s="4"/>
      <c r="W344" s="4">
        <v>867576.9</v>
      </c>
      <c r="X344" s="4">
        <v>1</v>
      </c>
      <c r="Y344" s="4">
        <v>867576.9</v>
      </c>
      <c r="Z344" s="4"/>
      <c r="AA344" s="4"/>
      <c r="AB344" s="4"/>
    </row>
    <row r="347" spans="1:28">
      <c r="A347">
        <v>70</v>
      </c>
      <c r="B347">
        <v>1</v>
      </c>
      <c r="D347">
        <v>1</v>
      </c>
      <c r="E347" t="s">
        <v>297</v>
      </c>
      <c r="F347" t="s">
        <v>298</v>
      </c>
      <c r="G347">
        <v>1</v>
      </c>
      <c r="H347">
        <v>0</v>
      </c>
      <c r="I347" t="s">
        <v>3</v>
      </c>
      <c r="J347">
        <v>1</v>
      </c>
      <c r="K347">
        <v>0</v>
      </c>
      <c r="L347" t="s">
        <v>3</v>
      </c>
      <c r="M347" t="s">
        <v>3</v>
      </c>
      <c r="N347">
        <v>0</v>
      </c>
      <c r="P347" t="s">
        <v>299</v>
      </c>
    </row>
    <row r="348" spans="1:28">
      <c r="A348">
        <v>70</v>
      </c>
      <c r="B348">
        <v>1</v>
      </c>
      <c r="D348">
        <v>2</v>
      </c>
      <c r="E348" t="s">
        <v>300</v>
      </c>
      <c r="F348" t="s">
        <v>301</v>
      </c>
      <c r="G348">
        <v>0</v>
      </c>
      <c r="H348">
        <v>0</v>
      </c>
      <c r="I348" t="s">
        <v>3</v>
      </c>
      <c r="J348">
        <v>1</v>
      </c>
      <c r="K348">
        <v>0</v>
      </c>
      <c r="L348" t="s">
        <v>3</v>
      </c>
      <c r="M348" t="s">
        <v>3</v>
      </c>
      <c r="N348">
        <v>0</v>
      </c>
      <c r="P348" t="s">
        <v>302</v>
      </c>
    </row>
    <row r="349" spans="1:28">
      <c r="A349">
        <v>70</v>
      </c>
      <c r="B349">
        <v>1</v>
      </c>
      <c r="D349">
        <v>3</v>
      </c>
      <c r="E349" t="s">
        <v>303</v>
      </c>
      <c r="F349" t="s">
        <v>304</v>
      </c>
      <c r="G349">
        <v>0</v>
      </c>
      <c r="H349">
        <v>0</v>
      </c>
      <c r="I349" t="s">
        <v>3</v>
      </c>
      <c r="J349">
        <v>1</v>
      </c>
      <c r="K349">
        <v>0</v>
      </c>
      <c r="L349" t="s">
        <v>3</v>
      </c>
      <c r="M349" t="s">
        <v>3</v>
      </c>
      <c r="N349">
        <v>0</v>
      </c>
      <c r="P349" t="s">
        <v>305</v>
      </c>
    </row>
    <row r="350" spans="1:28">
      <c r="A350">
        <v>70</v>
      </c>
      <c r="B350">
        <v>1</v>
      </c>
      <c r="D350">
        <v>4</v>
      </c>
      <c r="E350" t="s">
        <v>306</v>
      </c>
      <c r="F350" t="s">
        <v>307</v>
      </c>
      <c r="G350">
        <v>1</v>
      </c>
      <c r="H350">
        <v>0</v>
      </c>
      <c r="I350" t="s">
        <v>3</v>
      </c>
      <c r="J350">
        <v>2</v>
      </c>
      <c r="K350">
        <v>0</v>
      </c>
      <c r="L350" t="s">
        <v>3</v>
      </c>
      <c r="M350" t="s">
        <v>3</v>
      </c>
      <c r="N350">
        <v>0</v>
      </c>
      <c r="P350" t="s">
        <v>3</v>
      </c>
    </row>
    <row r="351" spans="1:28">
      <c r="A351">
        <v>70</v>
      </c>
      <c r="B351">
        <v>1</v>
      </c>
      <c r="D351">
        <v>5</v>
      </c>
      <c r="E351" t="s">
        <v>308</v>
      </c>
      <c r="F351" t="s">
        <v>309</v>
      </c>
      <c r="G351">
        <v>0</v>
      </c>
      <c r="H351">
        <v>0</v>
      </c>
      <c r="I351" t="s">
        <v>3</v>
      </c>
      <c r="J351">
        <v>2</v>
      </c>
      <c r="K351">
        <v>0</v>
      </c>
      <c r="L351" t="s">
        <v>3</v>
      </c>
      <c r="M351" t="s">
        <v>3</v>
      </c>
      <c r="N351">
        <v>0</v>
      </c>
      <c r="P351" t="s">
        <v>3</v>
      </c>
    </row>
    <row r="352" spans="1:28">
      <c r="A352">
        <v>70</v>
      </c>
      <c r="B352">
        <v>1</v>
      </c>
      <c r="D352">
        <v>6</v>
      </c>
      <c r="E352" t="s">
        <v>310</v>
      </c>
      <c r="F352" t="s">
        <v>311</v>
      </c>
      <c r="G352">
        <v>0</v>
      </c>
      <c r="H352">
        <v>0</v>
      </c>
      <c r="I352" t="s">
        <v>3</v>
      </c>
      <c r="J352">
        <v>2</v>
      </c>
      <c r="K352">
        <v>0</v>
      </c>
      <c r="L352" t="s">
        <v>3</v>
      </c>
      <c r="M352" t="s">
        <v>3</v>
      </c>
      <c r="N352">
        <v>0</v>
      </c>
      <c r="P352" t="s">
        <v>3</v>
      </c>
    </row>
    <row r="353" spans="1:16">
      <c r="A353">
        <v>70</v>
      </c>
      <c r="B353">
        <v>1</v>
      </c>
      <c r="D353">
        <v>7</v>
      </c>
      <c r="E353" t="s">
        <v>312</v>
      </c>
      <c r="F353" t="s">
        <v>313</v>
      </c>
      <c r="G353">
        <v>0</v>
      </c>
      <c r="H353">
        <v>0</v>
      </c>
      <c r="I353" t="s">
        <v>314</v>
      </c>
      <c r="J353">
        <v>0</v>
      </c>
      <c r="K353">
        <v>0</v>
      </c>
      <c r="L353" t="s">
        <v>3</v>
      </c>
      <c r="M353" t="s">
        <v>3</v>
      </c>
      <c r="N353">
        <v>0</v>
      </c>
      <c r="P353" t="s">
        <v>315</v>
      </c>
    </row>
    <row r="354" spans="1:16">
      <c r="A354">
        <v>70</v>
      </c>
      <c r="B354">
        <v>1</v>
      </c>
      <c r="D354">
        <v>8</v>
      </c>
      <c r="E354" t="s">
        <v>316</v>
      </c>
      <c r="F354" t="s">
        <v>317</v>
      </c>
      <c r="G354">
        <v>0</v>
      </c>
      <c r="H354">
        <v>0</v>
      </c>
      <c r="I354" t="s">
        <v>318</v>
      </c>
      <c r="J354">
        <v>0</v>
      </c>
      <c r="K354">
        <v>0</v>
      </c>
      <c r="L354" t="s">
        <v>3</v>
      </c>
      <c r="M354" t="s">
        <v>3</v>
      </c>
      <c r="N354">
        <v>0</v>
      </c>
      <c r="P354" t="s">
        <v>316</v>
      </c>
    </row>
    <row r="355" spans="1:16">
      <c r="A355">
        <v>70</v>
      </c>
      <c r="B355">
        <v>1</v>
      </c>
      <c r="D355">
        <v>9</v>
      </c>
      <c r="E355" t="s">
        <v>319</v>
      </c>
      <c r="F355" t="s">
        <v>320</v>
      </c>
      <c r="G355">
        <v>0</v>
      </c>
      <c r="H355">
        <v>0</v>
      </c>
      <c r="I355" t="s">
        <v>321</v>
      </c>
      <c r="J355">
        <v>0</v>
      </c>
      <c r="K355">
        <v>0</v>
      </c>
      <c r="L355" t="s">
        <v>3</v>
      </c>
      <c r="M355" t="s">
        <v>3</v>
      </c>
      <c r="N355">
        <v>0</v>
      </c>
      <c r="P355" t="s">
        <v>322</v>
      </c>
    </row>
    <row r="356" spans="1:16">
      <c r="A356">
        <v>70</v>
      </c>
      <c r="B356">
        <v>1</v>
      </c>
      <c r="D356">
        <v>10</v>
      </c>
      <c r="E356" t="s">
        <v>323</v>
      </c>
      <c r="F356" t="s">
        <v>324</v>
      </c>
      <c r="G356">
        <v>0</v>
      </c>
      <c r="H356">
        <v>0</v>
      </c>
      <c r="I356" t="s">
        <v>325</v>
      </c>
      <c r="J356">
        <v>0</v>
      </c>
      <c r="K356">
        <v>0</v>
      </c>
      <c r="L356" t="s">
        <v>3</v>
      </c>
      <c r="M356" t="s">
        <v>3</v>
      </c>
      <c r="N356">
        <v>0</v>
      </c>
      <c r="P356" t="s">
        <v>326</v>
      </c>
    </row>
    <row r="357" spans="1:16">
      <c r="A357">
        <v>70</v>
      </c>
      <c r="B357">
        <v>1</v>
      </c>
      <c r="D357">
        <v>11</v>
      </c>
      <c r="E357" t="s">
        <v>327</v>
      </c>
      <c r="F357" t="s">
        <v>328</v>
      </c>
      <c r="G357">
        <v>0</v>
      </c>
      <c r="H357">
        <v>0</v>
      </c>
      <c r="I357" t="s">
        <v>329</v>
      </c>
      <c r="J357">
        <v>0</v>
      </c>
      <c r="K357">
        <v>0</v>
      </c>
      <c r="L357" t="s">
        <v>3</v>
      </c>
      <c r="M357" t="s">
        <v>3</v>
      </c>
      <c r="N357">
        <v>0</v>
      </c>
      <c r="P357" t="s">
        <v>330</v>
      </c>
    </row>
    <row r="358" spans="1:16">
      <c r="A358">
        <v>70</v>
      </c>
      <c r="B358">
        <v>1</v>
      </c>
      <c r="D358">
        <v>12</v>
      </c>
      <c r="E358" t="s">
        <v>331</v>
      </c>
      <c r="F358" t="s">
        <v>332</v>
      </c>
      <c r="G358">
        <v>0</v>
      </c>
      <c r="H358">
        <v>0</v>
      </c>
      <c r="I358" t="s">
        <v>3</v>
      </c>
      <c r="J358">
        <v>0</v>
      </c>
      <c r="K358">
        <v>0</v>
      </c>
      <c r="L358" t="s">
        <v>3</v>
      </c>
      <c r="M358" t="s">
        <v>3</v>
      </c>
      <c r="N358">
        <v>0</v>
      </c>
      <c r="P358" t="s">
        <v>333</v>
      </c>
    </row>
    <row r="359" spans="1:16">
      <c r="A359">
        <v>70</v>
      </c>
      <c r="B359">
        <v>1</v>
      </c>
      <c r="D359">
        <v>13</v>
      </c>
      <c r="E359" t="s">
        <v>334</v>
      </c>
      <c r="F359" t="s">
        <v>335</v>
      </c>
      <c r="G359">
        <v>0</v>
      </c>
      <c r="H359">
        <v>0</v>
      </c>
      <c r="I359" t="s">
        <v>3</v>
      </c>
      <c r="J359">
        <v>0</v>
      </c>
      <c r="K359">
        <v>0</v>
      </c>
      <c r="L359" t="s">
        <v>3</v>
      </c>
      <c r="M359" t="s">
        <v>3</v>
      </c>
      <c r="N359">
        <v>0</v>
      </c>
      <c r="P359" t="s">
        <v>3</v>
      </c>
    </row>
    <row r="360" spans="1:16">
      <c r="A360">
        <v>70</v>
      </c>
      <c r="B360">
        <v>1</v>
      </c>
      <c r="D360">
        <v>1</v>
      </c>
      <c r="E360" t="s">
        <v>336</v>
      </c>
      <c r="F360" t="s">
        <v>337</v>
      </c>
      <c r="G360">
        <v>0.9</v>
      </c>
      <c r="H360">
        <v>1</v>
      </c>
      <c r="I360" t="s">
        <v>338</v>
      </c>
      <c r="J360">
        <v>0</v>
      </c>
      <c r="K360">
        <v>0</v>
      </c>
      <c r="L360" t="s">
        <v>3</v>
      </c>
      <c r="M360" t="s">
        <v>3</v>
      </c>
      <c r="N360">
        <v>1</v>
      </c>
      <c r="P360" t="s">
        <v>339</v>
      </c>
    </row>
    <row r="361" spans="1:16">
      <c r="A361">
        <v>70</v>
      </c>
      <c r="B361">
        <v>1</v>
      </c>
      <c r="D361">
        <v>2</v>
      </c>
      <c r="E361" t="s">
        <v>340</v>
      </c>
      <c r="F361" t="s">
        <v>341</v>
      </c>
      <c r="G361">
        <v>0.85</v>
      </c>
      <c r="H361">
        <v>1</v>
      </c>
      <c r="I361" t="s">
        <v>342</v>
      </c>
      <c r="J361">
        <v>0</v>
      </c>
      <c r="K361">
        <v>0</v>
      </c>
      <c r="L361" t="s">
        <v>3</v>
      </c>
      <c r="M361" t="s">
        <v>3</v>
      </c>
      <c r="N361">
        <v>1</v>
      </c>
      <c r="P361" t="s">
        <v>343</v>
      </c>
    </row>
    <row r="362" spans="1:16">
      <c r="A362">
        <v>70</v>
      </c>
      <c r="B362">
        <v>1</v>
      </c>
      <c r="D362">
        <v>3</v>
      </c>
      <c r="E362" t="s">
        <v>344</v>
      </c>
      <c r="F362" t="s">
        <v>345</v>
      </c>
      <c r="G362">
        <v>1.03</v>
      </c>
      <c r="H362">
        <v>0</v>
      </c>
      <c r="I362" t="s">
        <v>3</v>
      </c>
      <c r="J362">
        <v>0</v>
      </c>
      <c r="K362">
        <v>0</v>
      </c>
      <c r="L362" t="s">
        <v>3</v>
      </c>
      <c r="M362" t="s">
        <v>3</v>
      </c>
      <c r="N362">
        <v>0</v>
      </c>
      <c r="P362" t="s">
        <v>346</v>
      </c>
    </row>
    <row r="363" spans="1:16">
      <c r="A363">
        <v>70</v>
      </c>
      <c r="B363">
        <v>1</v>
      </c>
      <c r="D363">
        <v>4</v>
      </c>
      <c r="E363" t="s">
        <v>347</v>
      </c>
      <c r="F363" t="s">
        <v>348</v>
      </c>
      <c r="G363">
        <v>1.0900000000000001</v>
      </c>
      <c r="H363">
        <v>0</v>
      </c>
      <c r="I363" t="s">
        <v>3</v>
      </c>
      <c r="J363">
        <v>0</v>
      </c>
      <c r="K363">
        <v>0</v>
      </c>
      <c r="L363" t="s">
        <v>3</v>
      </c>
      <c r="M363" t="s">
        <v>3</v>
      </c>
      <c r="N363">
        <v>0</v>
      </c>
      <c r="P363" t="s">
        <v>349</v>
      </c>
    </row>
    <row r="364" spans="1:16">
      <c r="A364">
        <v>70</v>
      </c>
      <c r="B364">
        <v>1</v>
      </c>
      <c r="D364">
        <v>5</v>
      </c>
      <c r="E364" t="s">
        <v>350</v>
      </c>
      <c r="F364" t="s">
        <v>351</v>
      </c>
      <c r="G364">
        <v>7</v>
      </c>
      <c r="H364">
        <v>0</v>
      </c>
      <c r="I364" t="s">
        <v>3</v>
      </c>
      <c r="J364">
        <v>0</v>
      </c>
      <c r="K364">
        <v>0</v>
      </c>
      <c r="L364" t="s">
        <v>3</v>
      </c>
      <c r="M364" t="s">
        <v>3</v>
      </c>
      <c r="N364">
        <v>0</v>
      </c>
      <c r="P364" t="s">
        <v>3</v>
      </c>
    </row>
    <row r="365" spans="1:16">
      <c r="A365">
        <v>70</v>
      </c>
      <c r="B365">
        <v>1</v>
      </c>
      <c r="D365">
        <v>6</v>
      </c>
      <c r="E365" t="s">
        <v>352</v>
      </c>
      <c r="F365" t="s">
        <v>3</v>
      </c>
      <c r="G365">
        <v>2</v>
      </c>
      <c r="H365">
        <v>0</v>
      </c>
      <c r="I365" t="s">
        <v>3</v>
      </c>
      <c r="J365">
        <v>0</v>
      </c>
      <c r="K365">
        <v>0</v>
      </c>
      <c r="L365" t="s">
        <v>3</v>
      </c>
      <c r="M365" t="s">
        <v>3</v>
      </c>
      <c r="N365">
        <v>0</v>
      </c>
      <c r="P365" t="s">
        <v>3</v>
      </c>
    </row>
    <row r="367" spans="1:16">
      <c r="A367">
        <v>-1</v>
      </c>
    </row>
    <row r="369" spans="1:40">
      <c r="A369" s="3">
        <v>75</v>
      </c>
      <c r="B369" s="3" t="s">
        <v>353</v>
      </c>
      <c r="C369" s="3">
        <v>2021</v>
      </c>
      <c r="D369" s="3">
        <v>0</v>
      </c>
      <c r="E369" s="3">
        <v>7</v>
      </c>
      <c r="F369" s="3"/>
      <c r="G369" s="3">
        <v>0</v>
      </c>
      <c r="H369" s="3">
        <v>1</v>
      </c>
      <c r="I369" s="3">
        <v>0</v>
      </c>
      <c r="J369" s="3">
        <v>3</v>
      </c>
      <c r="K369" s="3">
        <v>0</v>
      </c>
      <c r="L369" s="3">
        <v>0</v>
      </c>
      <c r="M369" s="3">
        <v>0</v>
      </c>
      <c r="N369" s="3">
        <v>35841400</v>
      </c>
      <c r="O369" s="3">
        <v>1</v>
      </c>
    </row>
    <row r="370" spans="1:40">
      <c r="A370" s="5">
        <v>1</v>
      </c>
      <c r="B370" s="5" t="s">
        <v>354</v>
      </c>
      <c r="C370" s="5" t="s">
        <v>355</v>
      </c>
      <c r="D370" s="5">
        <v>2021</v>
      </c>
      <c r="E370" s="5">
        <v>6</v>
      </c>
      <c r="F370" s="5">
        <v>1</v>
      </c>
      <c r="G370" s="5">
        <v>1</v>
      </c>
      <c r="H370" s="5">
        <v>0</v>
      </c>
      <c r="I370" s="5">
        <v>2</v>
      </c>
      <c r="J370" s="5">
        <v>1</v>
      </c>
      <c r="K370" s="5">
        <v>1</v>
      </c>
      <c r="L370" s="5">
        <v>1</v>
      </c>
      <c r="M370" s="5">
        <v>1</v>
      </c>
      <c r="N370" s="5">
        <v>1</v>
      </c>
      <c r="O370" s="5">
        <v>1</v>
      </c>
      <c r="P370" s="5">
        <v>1</v>
      </c>
      <c r="Q370" s="5">
        <v>1</v>
      </c>
      <c r="R370" s="5" t="s">
        <v>3</v>
      </c>
      <c r="S370" s="5" t="s">
        <v>3</v>
      </c>
      <c r="T370" s="5" t="s">
        <v>3</v>
      </c>
      <c r="U370" s="5" t="s">
        <v>3</v>
      </c>
      <c r="V370" s="5" t="s">
        <v>3</v>
      </c>
      <c r="W370" s="5" t="s">
        <v>3</v>
      </c>
      <c r="X370" s="5" t="s">
        <v>3</v>
      </c>
      <c r="Y370" s="5" t="s">
        <v>3</v>
      </c>
      <c r="Z370" s="5" t="s">
        <v>3</v>
      </c>
      <c r="AA370" s="5" t="s">
        <v>3</v>
      </c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>
        <v>35841401</v>
      </c>
    </row>
    <row r="371" spans="1:40">
      <c r="A371" s="5">
        <v>2</v>
      </c>
      <c r="B371" s="5" t="s">
        <v>356</v>
      </c>
      <c r="C371" s="5" t="s">
        <v>357</v>
      </c>
      <c r="D371" s="5">
        <v>0</v>
      </c>
      <c r="E371" s="5">
        <v>0</v>
      </c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>
        <v>35841402</v>
      </c>
    </row>
    <row r="375" spans="1:40">
      <c r="A375">
        <v>65</v>
      </c>
      <c r="C375">
        <v>1</v>
      </c>
      <c r="D375">
        <v>0</v>
      </c>
      <c r="E375">
        <v>245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C55"/>
  <sheetViews>
    <sheetView workbookViewId="0"/>
  </sheetViews>
  <sheetFormatPr defaultColWidth="9.140625" defaultRowHeight="12.75"/>
  <cols>
    <col min="1" max="256" width="9.140625" customWidth="1"/>
  </cols>
  <sheetData>
    <row r="1" spans="1:133">
      <c r="A1">
        <v>0</v>
      </c>
      <c r="B1" t="s">
        <v>0</v>
      </c>
      <c r="D1" t="s">
        <v>358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58436</v>
      </c>
      <c r="M1">
        <v>10</v>
      </c>
      <c r="N1">
        <v>11</v>
      </c>
      <c r="O1">
        <v>3</v>
      </c>
      <c r="P1">
        <v>2</v>
      </c>
      <c r="Q1">
        <v>5</v>
      </c>
    </row>
    <row r="12" spans="1:133">
      <c r="A12" s="1">
        <v>1</v>
      </c>
      <c r="B12" s="1">
        <v>53</v>
      </c>
      <c r="C12" s="1">
        <v>0</v>
      </c>
      <c r="D12" s="1"/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3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6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 t="s">
        <v>8</v>
      </c>
      <c r="BZ12" s="1" t="s">
        <v>9</v>
      </c>
      <c r="CA12" s="1" t="s">
        <v>10</v>
      </c>
      <c r="CB12" s="1" t="s">
        <v>10</v>
      </c>
      <c r="CC12" s="1" t="s">
        <v>10</v>
      </c>
      <c r="CD12" s="1" t="s">
        <v>10</v>
      </c>
      <c r="CE12" s="1" t="s">
        <v>11</v>
      </c>
      <c r="CF12" s="1">
        <v>0</v>
      </c>
      <c r="CG12" s="1">
        <v>0</v>
      </c>
      <c r="CH12" s="1">
        <v>8200</v>
      </c>
      <c r="CI12" s="1" t="s">
        <v>3</v>
      </c>
      <c r="CJ12" s="1" t="s">
        <v>3</v>
      </c>
      <c r="CK12" s="1">
        <v>1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4" spans="1:133">
      <c r="A14" s="1">
        <v>22</v>
      </c>
      <c r="B14" s="1">
        <v>0</v>
      </c>
      <c r="C14" s="1">
        <v>0</v>
      </c>
      <c r="D14" s="1">
        <v>35841400</v>
      </c>
      <c r="E14" s="1">
        <v>0</v>
      </c>
      <c r="F14" s="1">
        <v>3</v>
      </c>
      <c r="G14" s="1"/>
      <c r="H14" s="1"/>
      <c r="I14" s="1"/>
      <c r="J14" s="1"/>
      <c r="K14" s="1"/>
      <c r="L14" s="1"/>
      <c r="M14" s="1"/>
      <c r="N14" s="1"/>
      <c r="O14" s="1"/>
    </row>
    <row r="16" spans="1:133">
      <c r="A16" s="6">
        <v>3</v>
      </c>
      <c r="B16" s="6">
        <v>1</v>
      </c>
      <c r="C16" s="6" t="s">
        <v>12</v>
      </c>
      <c r="D16" s="6" t="s">
        <v>12</v>
      </c>
      <c r="E16" s="7">
        <f>(Source!F301)/1000</f>
        <v>715.69846999999993</v>
      </c>
      <c r="F16" s="7">
        <f>(Source!F302)/1000</f>
        <v>7.2822800000000001</v>
      </c>
      <c r="G16" s="7">
        <f>(Source!F293)/1000</f>
        <v>0</v>
      </c>
      <c r="H16" s="7">
        <f>(Source!F303)/1000+(Source!F304)/1000</f>
        <v>0</v>
      </c>
      <c r="I16" s="7">
        <f>E16+F16+G16+H16</f>
        <v>722.98074999999994</v>
      </c>
      <c r="J16" s="7">
        <f>(Source!F299)/1000</f>
        <v>141.33845000000002</v>
      </c>
      <c r="AI16" s="6">
        <v>0</v>
      </c>
      <c r="AJ16" s="6">
        <v>0</v>
      </c>
      <c r="AK16" s="6" t="s">
        <v>3</v>
      </c>
      <c r="AL16" s="6" t="s">
        <v>3</v>
      </c>
      <c r="AM16" s="6" t="s">
        <v>3</v>
      </c>
      <c r="AN16" s="6">
        <v>0</v>
      </c>
      <c r="AO16" s="6" t="s">
        <v>3</v>
      </c>
      <c r="AP16" s="6" t="s">
        <v>3</v>
      </c>
      <c r="AT16" s="7">
        <v>514248.26</v>
      </c>
      <c r="AU16" s="7">
        <v>361326.38</v>
      </c>
      <c r="AV16" s="7">
        <v>0</v>
      </c>
      <c r="AW16" s="7">
        <v>0</v>
      </c>
      <c r="AX16" s="7">
        <v>0</v>
      </c>
      <c r="AY16" s="7">
        <v>11583.43</v>
      </c>
      <c r="AZ16" s="7">
        <v>4562.57</v>
      </c>
      <c r="BA16" s="7">
        <v>141338.45000000001</v>
      </c>
      <c r="BB16" s="7">
        <v>715698.47</v>
      </c>
      <c r="BC16" s="7">
        <v>7282.28</v>
      </c>
      <c r="BD16" s="7">
        <v>0</v>
      </c>
      <c r="BE16" s="7">
        <v>0</v>
      </c>
      <c r="BF16" s="7">
        <v>487.56856349999993</v>
      </c>
      <c r="BG16" s="7">
        <v>12.951281999999996</v>
      </c>
      <c r="BH16" s="7">
        <v>21.24</v>
      </c>
      <c r="BI16" s="7">
        <v>138209.87</v>
      </c>
      <c r="BJ16" s="7">
        <v>70522.62</v>
      </c>
      <c r="BK16" s="7">
        <v>722980.75</v>
      </c>
    </row>
    <row r="18" spans="1:19">
      <c r="A18">
        <v>51</v>
      </c>
      <c r="E18" s="8">
        <f>SUMIF(A16:A17,3,E16:E17)</f>
        <v>715.69846999999993</v>
      </c>
      <c r="F18" s="8">
        <f>SUMIF(A16:A17,3,F16:F17)</f>
        <v>7.2822800000000001</v>
      </c>
      <c r="G18" s="8">
        <f>SUMIF(A16:A17,3,G16:G17)</f>
        <v>0</v>
      </c>
      <c r="H18" s="8">
        <f>SUMIF(A16:A17,3,H16:H17)</f>
        <v>0</v>
      </c>
      <c r="I18" s="8">
        <f>SUMIF(A16:A17,3,I16:I17)</f>
        <v>722.98074999999994</v>
      </c>
      <c r="J18" s="8">
        <f>SUMIF(A16:A17,3,J16:J17)</f>
        <v>141.33845000000002</v>
      </c>
      <c r="K18" s="8"/>
      <c r="L18" s="8"/>
      <c r="M18" s="8"/>
      <c r="N18" s="8"/>
      <c r="O18" s="8"/>
      <c r="P18" s="8"/>
      <c r="Q18" s="8"/>
      <c r="R18" s="8"/>
      <c r="S18" s="8"/>
    </row>
    <row r="20" spans="1:19">
      <c r="A20" s="4">
        <v>50</v>
      </c>
      <c r="B20" s="4">
        <v>0</v>
      </c>
      <c r="C20" s="4">
        <v>0</v>
      </c>
      <c r="D20" s="4">
        <v>1</v>
      </c>
      <c r="E20" s="4">
        <v>201</v>
      </c>
      <c r="F20" s="4">
        <v>514248.26</v>
      </c>
      <c r="G20" s="4" t="s">
        <v>54</v>
      </c>
      <c r="H20" s="4" t="s">
        <v>55</v>
      </c>
      <c r="I20" s="4"/>
      <c r="J20" s="4"/>
      <c r="K20" s="4">
        <v>201</v>
      </c>
      <c r="L20" s="4">
        <v>1</v>
      </c>
      <c r="M20" s="4">
        <v>3</v>
      </c>
      <c r="N20" s="4" t="s">
        <v>3</v>
      </c>
      <c r="O20" s="4">
        <v>2</v>
      </c>
      <c r="P20" s="4"/>
    </row>
    <row r="21" spans="1:19">
      <c r="A21" s="4">
        <v>50</v>
      </c>
      <c r="B21" s="4">
        <v>0</v>
      </c>
      <c r="C21" s="4">
        <v>0</v>
      </c>
      <c r="D21" s="4">
        <v>1</v>
      </c>
      <c r="E21" s="4">
        <v>202</v>
      </c>
      <c r="F21" s="4">
        <v>361326.38</v>
      </c>
      <c r="G21" s="4" t="s">
        <v>56</v>
      </c>
      <c r="H21" s="4" t="s">
        <v>57</v>
      </c>
      <c r="I21" s="4"/>
      <c r="J21" s="4"/>
      <c r="K21" s="4">
        <v>202</v>
      </c>
      <c r="L21" s="4">
        <v>2</v>
      </c>
      <c r="M21" s="4">
        <v>3</v>
      </c>
      <c r="N21" s="4" t="s">
        <v>3</v>
      </c>
      <c r="O21" s="4">
        <v>2</v>
      </c>
      <c r="P21" s="4"/>
    </row>
    <row r="22" spans="1:19">
      <c r="A22" s="4">
        <v>50</v>
      </c>
      <c r="B22" s="4">
        <v>0</v>
      </c>
      <c r="C22" s="4">
        <v>0</v>
      </c>
      <c r="D22" s="4">
        <v>1</v>
      </c>
      <c r="E22" s="4">
        <v>222</v>
      </c>
      <c r="F22" s="4">
        <v>0</v>
      </c>
      <c r="G22" s="4" t="s">
        <v>58</v>
      </c>
      <c r="H22" s="4" t="s">
        <v>59</v>
      </c>
      <c r="I22" s="4"/>
      <c r="J22" s="4"/>
      <c r="K22" s="4">
        <v>222</v>
      </c>
      <c r="L22" s="4">
        <v>3</v>
      </c>
      <c r="M22" s="4">
        <v>3</v>
      </c>
      <c r="N22" s="4" t="s">
        <v>3</v>
      </c>
      <c r="O22" s="4">
        <v>2</v>
      </c>
      <c r="P22" s="4"/>
    </row>
    <row r="23" spans="1:19">
      <c r="A23" s="4">
        <v>50</v>
      </c>
      <c r="B23" s="4">
        <v>0</v>
      </c>
      <c r="C23" s="4">
        <v>0</v>
      </c>
      <c r="D23" s="4">
        <v>1</v>
      </c>
      <c r="E23" s="4">
        <v>225</v>
      </c>
      <c r="F23" s="4">
        <v>361326.38</v>
      </c>
      <c r="G23" s="4" t="s">
        <v>60</v>
      </c>
      <c r="H23" s="4" t="s">
        <v>61</v>
      </c>
      <c r="I23" s="4"/>
      <c r="J23" s="4"/>
      <c r="K23" s="4">
        <v>225</v>
      </c>
      <c r="L23" s="4">
        <v>4</v>
      </c>
      <c r="M23" s="4">
        <v>3</v>
      </c>
      <c r="N23" s="4" t="s">
        <v>3</v>
      </c>
      <c r="O23" s="4">
        <v>2</v>
      </c>
      <c r="P23" s="4"/>
    </row>
    <row r="24" spans="1:19">
      <c r="A24" s="4">
        <v>50</v>
      </c>
      <c r="B24" s="4">
        <v>0</v>
      </c>
      <c r="C24" s="4">
        <v>0</v>
      </c>
      <c r="D24" s="4">
        <v>1</v>
      </c>
      <c r="E24" s="4">
        <v>226</v>
      </c>
      <c r="F24" s="4">
        <v>361326.38</v>
      </c>
      <c r="G24" s="4" t="s">
        <v>62</v>
      </c>
      <c r="H24" s="4" t="s">
        <v>63</v>
      </c>
      <c r="I24" s="4"/>
      <c r="J24" s="4"/>
      <c r="K24" s="4">
        <v>226</v>
      </c>
      <c r="L24" s="4">
        <v>5</v>
      </c>
      <c r="M24" s="4">
        <v>3</v>
      </c>
      <c r="N24" s="4" t="s">
        <v>3</v>
      </c>
      <c r="O24" s="4">
        <v>2</v>
      </c>
      <c r="P24" s="4"/>
    </row>
    <row r="25" spans="1:19">
      <c r="A25" s="4">
        <v>50</v>
      </c>
      <c r="B25" s="4">
        <v>0</v>
      </c>
      <c r="C25" s="4">
        <v>0</v>
      </c>
      <c r="D25" s="4">
        <v>1</v>
      </c>
      <c r="E25" s="4">
        <v>227</v>
      </c>
      <c r="F25" s="4">
        <v>0</v>
      </c>
      <c r="G25" s="4" t="s">
        <v>64</v>
      </c>
      <c r="H25" s="4" t="s">
        <v>65</v>
      </c>
      <c r="I25" s="4"/>
      <c r="J25" s="4"/>
      <c r="K25" s="4">
        <v>227</v>
      </c>
      <c r="L25" s="4">
        <v>6</v>
      </c>
      <c r="M25" s="4">
        <v>3</v>
      </c>
      <c r="N25" s="4" t="s">
        <v>3</v>
      </c>
      <c r="O25" s="4">
        <v>2</v>
      </c>
      <c r="P25" s="4"/>
    </row>
    <row r="26" spans="1:19">
      <c r="A26" s="4">
        <v>50</v>
      </c>
      <c r="B26" s="4">
        <v>0</v>
      </c>
      <c r="C26" s="4">
        <v>0</v>
      </c>
      <c r="D26" s="4">
        <v>1</v>
      </c>
      <c r="E26" s="4">
        <v>228</v>
      </c>
      <c r="F26" s="4">
        <v>361326.38</v>
      </c>
      <c r="G26" s="4" t="s">
        <v>66</v>
      </c>
      <c r="H26" s="4" t="s">
        <v>67</v>
      </c>
      <c r="I26" s="4"/>
      <c r="J26" s="4"/>
      <c r="K26" s="4">
        <v>228</v>
      </c>
      <c r="L26" s="4">
        <v>7</v>
      </c>
      <c r="M26" s="4">
        <v>3</v>
      </c>
      <c r="N26" s="4" t="s">
        <v>3</v>
      </c>
      <c r="O26" s="4">
        <v>2</v>
      </c>
      <c r="P26" s="4"/>
    </row>
    <row r="27" spans="1:19">
      <c r="A27" s="4">
        <v>50</v>
      </c>
      <c r="B27" s="4">
        <v>0</v>
      </c>
      <c r="C27" s="4">
        <v>0</v>
      </c>
      <c r="D27" s="4">
        <v>1</v>
      </c>
      <c r="E27" s="4">
        <v>216</v>
      </c>
      <c r="F27" s="4">
        <v>0</v>
      </c>
      <c r="G27" s="4" t="s">
        <v>68</v>
      </c>
      <c r="H27" s="4" t="s">
        <v>69</v>
      </c>
      <c r="I27" s="4"/>
      <c r="J27" s="4"/>
      <c r="K27" s="4">
        <v>216</v>
      </c>
      <c r="L27" s="4">
        <v>8</v>
      </c>
      <c r="M27" s="4">
        <v>3</v>
      </c>
      <c r="N27" s="4" t="s">
        <v>3</v>
      </c>
      <c r="O27" s="4">
        <v>2</v>
      </c>
      <c r="P27" s="4"/>
    </row>
    <row r="28" spans="1:19">
      <c r="A28" s="4">
        <v>50</v>
      </c>
      <c r="B28" s="4">
        <v>0</v>
      </c>
      <c r="C28" s="4">
        <v>0</v>
      </c>
      <c r="D28" s="4">
        <v>1</v>
      </c>
      <c r="E28" s="4">
        <v>223</v>
      </c>
      <c r="F28" s="4">
        <v>0</v>
      </c>
      <c r="G28" s="4" t="s">
        <v>70</v>
      </c>
      <c r="H28" s="4" t="s">
        <v>71</v>
      </c>
      <c r="I28" s="4"/>
      <c r="J28" s="4"/>
      <c r="K28" s="4">
        <v>223</v>
      </c>
      <c r="L28" s="4">
        <v>9</v>
      </c>
      <c r="M28" s="4">
        <v>3</v>
      </c>
      <c r="N28" s="4" t="s">
        <v>3</v>
      </c>
      <c r="O28" s="4">
        <v>2</v>
      </c>
      <c r="P28" s="4"/>
    </row>
    <row r="29" spans="1:19">
      <c r="A29" s="4">
        <v>50</v>
      </c>
      <c r="B29" s="4">
        <v>0</v>
      </c>
      <c r="C29" s="4">
        <v>0</v>
      </c>
      <c r="D29" s="4">
        <v>1</v>
      </c>
      <c r="E29" s="4">
        <v>229</v>
      </c>
      <c r="F29" s="4">
        <v>0</v>
      </c>
      <c r="G29" s="4" t="s">
        <v>72</v>
      </c>
      <c r="H29" s="4" t="s">
        <v>73</v>
      </c>
      <c r="I29" s="4"/>
      <c r="J29" s="4"/>
      <c r="K29" s="4">
        <v>229</v>
      </c>
      <c r="L29" s="4">
        <v>10</v>
      </c>
      <c r="M29" s="4">
        <v>3</v>
      </c>
      <c r="N29" s="4" t="s">
        <v>3</v>
      </c>
      <c r="O29" s="4">
        <v>2</v>
      </c>
      <c r="P29" s="4"/>
    </row>
    <row r="30" spans="1:19">
      <c r="A30" s="4">
        <v>50</v>
      </c>
      <c r="B30" s="4">
        <v>0</v>
      </c>
      <c r="C30" s="4">
        <v>0</v>
      </c>
      <c r="D30" s="4">
        <v>1</v>
      </c>
      <c r="E30" s="4">
        <v>203</v>
      </c>
      <c r="F30" s="4">
        <v>11583.43</v>
      </c>
      <c r="G30" s="4" t="s">
        <v>74</v>
      </c>
      <c r="H30" s="4" t="s">
        <v>75</v>
      </c>
      <c r="I30" s="4"/>
      <c r="J30" s="4"/>
      <c r="K30" s="4">
        <v>203</v>
      </c>
      <c r="L30" s="4">
        <v>11</v>
      </c>
      <c r="M30" s="4">
        <v>3</v>
      </c>
      <c r="N30" s="4" t="s">
        <v>3</v>
      </c>
      <c r="O30" s="4">
        <v>2</v>
      </c>
      <c r="P30" s="4"/>
    </row>
    <row r="31" spans="1:19">
      <c r="A31" s="4">
        <v>50</v>
      </c>
      <c r="B31" s="4">
        <v>0</v>
      </c>
      <c r="C31" s="4">
        <v>0</v>
      </c>
      <c r="D31" s="4">
        <v>1</v>
      </c>
      <c r="E31" s="4">
        <v>231</v>
      </c>
      <c r="F31" s="4">
        <v>0</v>
      </c>
      <c r="G31" s="4" t="s">
        <v>76</v>
      </c>
      <c r="H31" s="4" t="s">
        <v>77</v>
      </c>
      <c r="I31" s="4"/>
      <c r="J31" s="4"/>
      <c r="K31" s="4">
        <v>231</v>
      </c>
      <c r="L31" s="4">
        <v>12</v>
      </c>
      <c r="M31" s="4">
        <v>3</v>
      </c>
      <c r="N31" s="4" t="s">
        <v>3</v>
      </c>
      <c r="O31" s="4">
        <v>2</v>
      </c>
      <c r="P31" s="4"/>
    </row>
    <row r="32" spans="1:19">
      <c r="A32" s="4">
        <v>50</v>
      </c>
      <c r="B32" s="4">
        <v>0</v>
      </c>
      <c r="C32" s="4">
        <v>0</v>
      </c>
      <c r="D32" s="4">
        <v>1</v>
      </c>
      <c r="E32" s="4">
        <v>204</v>
      </c>
      <c r="F32" s="4">
        <v>4562.57</v>
      </c>
      <c r="G32" s="4" t="s">
        <v>78</v>
      </c>
      <c r="H32" s="4" t="s">
        <v>79</v>
      </c>
      <c r="I32" s="4"/>
      <c r="J32" s="4"/>
      <c r="K32" s="4">
        <v>204</v>
      </c>
      <c r="L32" s="4">
        <v>13</v>
      </c>
      <c r="M32" s="4">
        <v>3</v>
      </c>
      <c r="N32" s="4" t="s">
        <v>3</v>
      </c>
      <c r="O32" s="4">
        <v>2</v>
      </c>
      <c r="P32" s="4"/>
    </row>
    <row r="33" spans="1:16">
      <c r="A33" s="4">
        <v>50</v>
      </c>
      <c r="B33" s="4">
        <v>0</v>
      </c>
      <c r="C33" s="4">
        <v>0</v>
      </c>
      <c r="D33" s="4">
        <v>1</v>
      </c>
      <c r="E33" s="4">
        <v>205</v>
      </c>
      <c r="F33" s="4">
        <v>141338.45000000001</v>
      </c>
      <c r="G33" s="4" t="s">
        <v>80</v>
      </c>
      <c r="H33" s="4" t="s">
        <v>81</v>
      </c>
      <c r="I33" s="4"/>
      <c r="J33" s="4"/>
      <c r="K33" s="4">
        <v>205</v>
      </c>
      <c r="L33" s="4">
        <v>14</v>
      </c>
      <c r="M33" s="4">
        <v>3</v>
      </c>
      <c r="N33" s="4" t="s">
        <v>3</v>
      </c>
      <c r="O33" s="4">
        <v>2</v>
      </c>
      <c r="P33" s="4"/>
    </row>
    <row r="34" spans="1:16">
      <c r="A34" s="4">
        <v>50</v>
      </c>
      <c r="B34" s="4">
        <v>0</v>
      </c>
      <c r="C34" s="4">
        <v>0</v>
      </c>
      <c r="D34" s="4">
        <v>1</v>
      </c>
      <c r="E34" s="4">
        <v>232</v>
      </c>
      <c r="F34" s="4">
        <v>0</v>
      </c>
      <c r="G34" s="4" t="s">
        <v>82</v>
      </c>
      <c r="H34" s="4" t="s">
        <v>83</v>
      </c>
      <c r="I34" s="4"/>
      <c r="J34" s="4"/>
      <c r="K34" s="4">
        <v>232</v>
      </c>
      <c r="L34" s="4">
        <v>15</v>
      </c>
      <c r="M34" s="4">
        <v>3</v>
      </c>
      <c r="N34" s="4" t="s">
        <v>3</v>
      </c>
      <c r="O34" s="4">
        <v>2</v>
      </c>
      <c r="P34" s="4"/>
    </row>
    <row r="35" spans="1:16">
      <c r="A35" s="4">
        <v>50</v>
      </c>
      <c r="B35" s="4">
        <v>0</v>
      </c>
      <c r="C35" s="4">
        <v>0</v>
      </c>
      <c r="D35" s="4">
        <v>1</v>
      </c>
      <c r="E35" s="4">
        <v>214</v>
      </c>
      <c r="F35" s="4">
        <v>715698.47</v>
      </c>
      <c r="G35" s="4" t="s">
        <v>84</v>
      </c>
      <c r="H35" s="4" t="s">
        <v>85</v>
      </c>
      <c r="I35" s="4"/>
      <c r="J35" s="4"/>
      <c r="K35" s="4">
        <v>214</v>
      </c>
      <c r="L35" s="4">
        <v>16</v>
      </c>
      <c r="M35" s="4">
        <v>3</v>
      </c>
      <c r="N35" s="4" t="s">
        <v>3</v>
      </c>
      <c r="O35" s="4">
        <v>2</v>
      </c>
      <c r="P35" s="4"/>
    </row>
    <row r="36" spans="1:16">
      <c r="A36" s="4">
        <v>50</v>
      </c>
      <c r="B36" s="4">
        <v>0</v>
      </c>
      <c r="C36" s="4">
        <v>0</v>
      </c>
      <c r="D36" s="4">
        <v>1</v>
      </c>
      <c r="E36" s="4">
        <v>215</v>
      </c>
      <c r="F36" s="4">
        <v>7282.28</v>
      </c>
      <c r="G36" s="4" t="s">
        <v>86</v>
      </c>
      <c r="H36" s="4" t="s">
        <v>87</v>
      </c>
      <c r="I36" s="4"/>
      <c r="J36" s="4"/>
      <c r="K36" s="4">
        <v>215</v>
      </c>
      <c r="L36" s="4">
        <v>17</v>
      </c>
      <c r="M36" s="4">
        <v>3</v>
      </c>
      <c r="N36" s="4" t="s">
        <v>3</v>
      </c>
      <c r="O36" s="4">
        <v>2</v>
      </c>
      <c r="P36" s="4"/>
    </row>
    <row r="37" spans="1:16">
      <c r="A37" s="4">
        <v>50</v>
      </c>
      <c r="B37" s="4">
        <v>0</v>
      </c>
      <c r="C37" s="4">
        <v>0</v>
      </c>
      <c r="D37" s="4">
        <v>1</v>
      </c>
      <c r="E37" s="4">
        <v>217</v>
      </c>
      <c r="F37" s="4">
        <v>0</v>
      </c>
      <c r="G37" s="4" t="s">
        <v>88</v>
      </c>
      <c r="H37" s="4" t="s">
        <v>89</v>
      </c>
      <c r="I37" s="4"/>
      <c r="J37" s="4"/>
      <c r="K37" s="4">
        <v>217</v>
      </c>
      <c r="L37" s="4">
        <v>18</v>
      </c>
      <c r="M37" s="4">
        <v>3</v>
      </c>
      <c r="N37" s="4" t="s">
        <v>3</v>
      </c>
      <c r="O37" s="4">
        <v>2</v>
      </c>
      <c r="P37" s="4"/>
    </row>
    <row r="38" spans="1:16">
      <c r="A38" s="4">
        <v>50</v>
      </c>
      <c r="B38" s="4">
        <v>0</v>
      </c>
      <c r="C38" s="4">
        <v>0</v>
      </c>
      <c r="D38" s="4">
        <v>1</v>
      </c>
      <c r="E38" s="4">
        <v>230</v>
      </c>
      <c r="F38" s="4">
        <v>0</v>
      </c>
      <c r="G38" s="4" t="s">
        <v>90</v>
      </c>
      <c r="H38" s="4" t="s">
        <v>91</v>
      </c>
      <c r="I38" s="4"/>
      <c r="J38" s="4"/>
      <c r="K38" s="4">
        <v>230</v>
      </c>
      <c r="L38" s="4">
        <v>19</v>
      </c>
      <c r="M38" s="4">
        <v>3</v>
      </c>
      <c r="N38" s="4" t="s">
        <v>3</v>
      </c>
      <c r="O38" s="4">
        <v>2</v>
      </c>
      <c r="P38" s="4"/>
    </row>
    <row r="39" spans="1:16">
      <c r="A39" s="4">
        <v>50</v>
      </c>
      <c r="B39" s="4">
        <v>0</v>
      </c>
      <c r="C39" s="4">
        <v>0</v>
      </c>
      <c r="D39" s="4">
        <v>1</v>
      </c>
      <c r="E39" s="4">
        <v>206</v>
      </c>
      <c r="F39" s="4">
        <v>0</v>
      </c>
      <c r="G39" s="4" t="s">
        <v>92</v>
      </c>
      <c r="H39" s="4" t="s">
        <v>93</v>
      </c>
      <c r="I39" s="4"/>
      <c r="J39" s="4"/>
      <c r="K39" s="4">
        <v>206</v>
      </c>
      <c r="L39" s="4">
        <v>20</v>
      </c>
      <c r="M39" s="4">
        <v>3</v>
      </c>
      <c r="N39" s="4" t="s">
        <v>3</v>
      </c>
      <c r="O39" s="4">
        <v>2</v>
      </c>
      <c r="P39" s="4"/>
    </row>
    <row r="40" spans="1:16">
      <c r="A40" s="4">
        <v>50</v>
      </c>
      <c r="B40" s="4">
        <v>0</v>
      </c>
      <c r="C40" s="4">
        <v>0</v>
      </c>
      <c r="D40" s="4">
        <v>1</v>
      </c>
      <c r="E40" s="4">
        <v>207</v>
      </c>
      <c r="F40" s="4">
        <v>487.56856349999993</v>
      </c>
      <c r="G40" s="4" t="s">
        <v>94</v>
      </c>
      <c r="H40" s="4" t="s">
        <v>95</v>
      </c>
      <c r="I40" s="4"/>
      <c r="J40" s="4"/>
      <c r="K40" s="4">
        <v>207</v>
      </c>
      <c r="L40" s="4">
        <v>21</v>
      </c>
      <c r="M40" s="4">
        <v>3</v>
      </c>
      <c r="N40" s="4" t="s">
        <v>3</v>
      </c>
      <c r="O40" s="4">
        <v>-1</v>
      </c>
      <c r="P40" s="4"/>
    </row>
    <row r="41" spans="1:16">
      <c r="A41" s="4">
        <v>50</v>
      </c>
      <c r="B41" s="4">
        <v>0</v>
      </c>
      <c r="C41" s="4">
        <v>0</v>
      </c>
      <c r="D41" s="4">
        <v>1</v>
      </c>
      <c r="E41" s="4">
        <v>208</v>
      </c>
      <c r="F41" s="4">
        <v>12.951281999999996</v>
      </c>
      <c r="G41" s="4" t="s">
        <v>96</v>
      </c>
      <c r="H41" s="4" t="s">
        <v>97</v>
      </c>
      <c r="I41" s="4"/>
      <c r="J41" s="4"/>
      <c r="K41" s="4">
        <v>208</v>
      </c>
      <c r="L41" s="4">
        <v>22</v>
      </c>
      <c r="M41" s="4">
        <v>3</v>
      </c>
      <c r="N41" s="4" t="s">
        <v>3</v>
      </c>
      <c r="O41" s="4">
        <v>-1</v>
      </c>
      <c r="P41" s="4"/>
    </row>
    <row r="42" spans="1:16">
      <c r="A42" s="4">
        <v>50</v>
      </c>
      <c r="B42" s="4">
        <v>0</v>
      </c>
      <c r="C42" s="4">
        <v>0</v>
      </c>
      <c r="D42" s="4">
        <v>1</v>
      </c>
      <c r="E42" s="4">
        <v>209</v>
      </c>
      <c r="F42" s="4">
        <v>21.24</v>
      </c>
      <c r="G42" s="4" t="s">
        <v>98</v>
      </c>
      <c r="H42" s="4" t="s">
        <v>99</v>
      </c>
      <c r="I42" s="4"/>
      <c r="J42" s="4"/>
      <c r="K42" s="4">
        <v>209</v>
      </c>
      <c r="L42" s="4">
        <v>23</v>
      </c>
      <c r="M42" s="4">
        <v>3</v>
      </c>
      <c r="N42" s="4" t="s">
        <v>3</v>
      </c>
      <c r="O42" s="4">
        <v>2</v>
      </c>
      <c r="P42" s="4"/>
    </row>
    <row r="43" spans="1:16">
      <c r="A43" s="4">
        <v>50</v>
      </c>
      <c r="B43" s="4">
        <v>0</v>
      </c>
      <c r="C43" s="4">
        <v>0</v>
      </c>
      <c r="D43" s="4">
        <v>1</v>
      </c>
      <c r="E43" s="4">
        <v>233</v>
      </c>
      <c r="F43" s="4">
        <v>1878.66</v>
      </c>
      <c r="G43" s="4" t="s">
        <v>100</v>
      </c>
      <c r="H43" s="4" t="s">
        <v>101</v>
      </c>
      <c r="I43" s="4"/>
      <c r="J43" s="4"/>
      <c r="K43" s="4">
        <v>233</v>
      </c>
      <c r="L43" s="4">
        <v>24</v>
      </c>
      <c r="M43" s="4">
        <v>3</v>
      </c>
      <c r="N43" s="4" t="s">
        <v>3</v>
      </c>
      <c r="O43" s="4">
        <v>2</v>
      </c>
      <c r="P43" s="4"/>
    </row>
    <row r="44" spans="1:16">
      <c r="A44" s="4">
        <v>50</v>
      </c>
      <c r="B44" s="4">
        <v>0</v>
      </c>
      <c r="C44" s="4">
        <v>0</v>
      </c>
      <c r="D44" s="4">
        <v>1</v>
      </c>
      <c r="E44" s="4">
        <v>210</v>
      </c>
      <c r="F44" s="4">
        <v>138209.87</v>
      </c>
      <c r="G44" s="4" t="s">
        <v>102</v>
      </c>
      <c r="H44" s="4" t="s">
        <v>103</v>
      </c>
      <c r="I44" s="4"/>
      <c r="J44" s="4"/>
      <c r="K44" s="4">
        <v>210</v>
      </c>
      <c r="L44" s="4">
        <v>25</v>
      </c>
      <c r="M44" s="4">
        <v>3</v>
      </c>
      <c r="N44" s="4" t="s">
        <v>3</v>
      </c>
      <c r="O44" s="4">
        <v>2</v>
      </c>
      <c r="P44" s="4"/>
    </row>
    <row r="45" spans="1:16">
      <c r="A45" s="4">
        <v>50</v>
      </c>
      <c r="B45" s="4">
        <v>0</v>
      </c>
      <c r="C45" s="4">
        <v>0</v>
      </c>
      <c r="D45" s="4">
        <v>1</v>
      </c>
      <c r="E45" s="4">
        <v>211</v>
      </c>
      <c r="F45" s="4">
        <v>70522.62</v>
      </c>
      <c r="G45" s="4" t="s">
        <v>104</v>
      </c>
      <c r="H45" s="4" t="s">
        <v>105</v>
      </c>
      <c r="I45" s="4"/>
      <c r="J45" s="4"/>
      <c r="K45" s="4">
        <v>211</v>
      </c>
      <c r="L45" s="4">
        <v>26</v>
      </c>
      <c r="M45" s="4">
        <v>3</v>
      </c>
      <c r="N45" s="4" t="s">
        <v>3</v>
      </c>
      <c r="O45" s="4">
        <v>2</v>
      </c>
      <c r="P45" s="4"/>
    </row>
    <row r="46" spans="1:16">
      <c r="A46" s="4">
        <v>50</v>
      </c>
      <c r="B46" s="4">
        <v>0</v>
      </c>
      <c r="C46" s="4">
        <v>0</v>
      </c>
      <c r="D46" s="4">
        <v>1</v>
      </c>
      <c r="E46" s="4">
        <v>224</v>
      </c>
      <c r="F46" s="4">
        <v>722980.75</v>
      </c>
      <c r="G46" s="4" t="s">
        <v>106</v>
      </c>
      <c r="H46" s="4" t="s">
        <v>107</v>
      </c>
      <c r="I46" s="4"/>
      <c r="J46" s="4"/>
      <c r="K46" s="4">
        <v>224</v>
      </c>
      <c r="L46" s="4">
        <v>27</v>
      </c>
      <c r="M46" s="4">
        <v>3</v>
      </c>
      <c r="N46" s="4" t="s">
        <v>3</v>
      </c>
      <c r="O46" s="4">
        <v>2</v>
      </c>
      <c r="P46" s="4"/>
    </row>
    <row r="47" spans="1:16">
      <c r="A47" s="4">
        <v>50</v>
      </c>
      <c r="B47" s="4">
        <v>1</v>
      </c>
      <c r="C47" s="4">
        <v>0</v>
      </c>
      <c r="D47" s="4">
        <v>2</v>
      </c>
      <c r="E47" s="4">
        <v>0</v>
      </c>
      <c r="F47" s="4">
        <v>144596.15</v>
      </c>
      <c r="G47" s="4" t="s">
        <v>293</v>
      </c>
      <c r="H47" s="4" t="s">
        <v>294</v>
      </c>
      <c r="I47" s="4"/>
      <c r="J47" s="4"/>
      <c r="K47" s="4">
        <v>212</v>
      </c>
      <c r="L47" s="4">
        <v>28</v>
      </c>
      <c r="M47" s="4">
        <v>0</v>
      </c>
      <c r="N47" s="4" t="s">
        <v>3</v>
      </c>
      <c r="O47" s="4">
        <v>2</v>
      </c>
      <c r="P47" s="4"/>
    </row>
    <row r="48" spans="1:16">
      <c r="A48" s="4">
        <v>50</v>
      </c>
      <c r="B48" s="4">
        <v>1</v>
      </c>
      <c r="C48" s="4">
        <v>0</v>
      </c>
      <c r="D48" s="4">
        <v>2</v>
      </c>
      <c r="E48" s="4">
        <v>213</v>
      </c>
      <c r="F48" s="4">
        <v>867576.9</v>
      </c>
      <c r="G48" s="4" t="s">
        <v>295</v>
      </c>
      <c r="H48" s="4" t="s">
        <v>296</v>
      </c>
      <c r="I48" s="4"/>
      <c r="J48" s="4"/>
      <c r="K48" s="4">
        <v>212</v>
      </c>
      <c r="L48" s="4">
        <v>29</v>
      </c>
      <c r="M48" s="4">
        <v>0</v>
      </c>
      <c r="N48" s="4" t="s">
        <v>3</v>
      </c>
      <c r="O48" s="4">
        <v>2</v>
      </c>
      <c r="P48" s="4"/>
    </row>
    <row r="50" spans="1:40">
      <c r="A50">
        <v>-1</v>
      </c>
    </row>
    <row r="53" spans="1:40">
      <c r="A53" s="3">
        <v>75</v>
      </c>
      <c r="B53" s="3" t="s">
        <v>353</v>
      </c>
      <c r="C53" s="3">
        <v>2021</v>
      </c>
      <c r="D53" s="3">
        <v>0</v>
      </c>
      <c r="E53" s="3">
        <v>7</v>
      </c>
      <c r="F53" s="3"/>
      <c r="G53" s="3">
        <v>0</v>
      </c>
      <c r="H53" s="3">
        <v>1</v>
      </c>
      <c r="I53" s="3">
        <v>0</v>
      </c>
      <c r="J53" s="3">
        <v>3</v>
      </c>
      <c r="K53" s="3">
        <v>0</v>
      </c>
      <c r="L53" s="3">
        <v>0</v>
      </c>
      <c r="M53" s="3">
        <v>0</v>
      </c>
      <c r="N53" s="3">
        <v>35841400</v>
      </c>
      <c r="O53" s="3">
        <v>1</v>
      </c>
    </row>
    <row r="54" spans="1:40">
      <c r="A54" s="5">
        <v>1</v>
      </c>
      <c r="B54" s="5" t="s">
        <v>354</v>
      </c>
      <c r="C54" s="5" t="s">
        <v>355</v>
      </c>
      <c r="D54" s="5">
        <v>2021</v>
      </c>
      <c r="E54" s="5">
        <v>6</v>
      </c>
      <c r="F54" s="5">
        <v>1</v>
      </c>
      <c r="G54" s="5">
        <v>1</v>
      </c>
      <c r="H54" s="5">
        <v>0</v>
      </c>
      <c r="I54" s="5">
        <v>2</v>
      </c>
      <c r="J54" s="5">
        <v>1</v>
      </c>
      <c r="K54" s="5">
        <v>1</v>
      </c>
      <c r="L54" s="5">
        <v>1</v>
      </c>
      <c r="M54" s="5">
        <v>1</v>
      </c>
      <c r="N54" s="5">
        <v>1</v>
      </c>
      <c r="O54" s="5">
        <v>1</v>
      </c>
      <c r="P54" s="5">
        <v>1</v>
      </c>
      <c r="Q54" s="5">
        <v>1</v>
      </c>
      <c r="R54" s="5" t="s">
        <v>3</v>
      </c>
      <c r="S54" s="5" t="s">
        <v>3</v>
      </c>
      <c r="T54" s="5" t="s">
        <v>3</v>
      </c>
      <c r="U54" s="5" t="s">
        <v>3</v>
      </c>
      <c r="V54" s="5" t="s">
        <v>3</v>
      </c>
      <c r="W54" s="5" t="s">
        <v>3</v>
      </c>
      <c r="X54" s="5" t="s">
        <v>3</v>
      </c>
      <c r="Y54" s="5" t="s">
        <v>3</v>
      </c>
      <c r="Z54" s="5" t="s">
        <v>3</v>
      </c>
      <c r="AA54" s="5" t="s">
        <v>3</v>
      </c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>
        <v>35841401</v>
      </c>
    </row>
    <row r="55" spans="1:40">
      <c r="A55" s="5">
        <v>2</v>
      </c>
      <c r="B55" s="5" t="s">
        <v>356</v>
      </c>
      <c r="C55" s="5" t="s">
        <v>357</v>
      </c>
      <c r="D55" s="5">
        <v>0</v>
      </c>
      <c r="E55" s="5">
        <v>0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>
        <v>35841402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DC220"/>
  <sheetViews>
    <sheetView workbookViewId="0"/>
  </sheetViews>
  <sheetFormatPr defaultColWidth="9.140625" defaultRowHeight="12.75"/>
  <cols>
    <col min="1" max="256" width="9.140625" customWidth="1"/>
  </cols>
  <sheetData>
    <row r="1" spans="1:107">
      <c r="A1">
        <f>ROW(Source!A28)</f>
        <v>28</v>
      </c>
      <c r="B1">
        <v>35841400</v>
      </c>
      <c r="C1">
        <v>36516588</v>
      </c>
      <c r="D1">
        <v>18409661</v>
      </c>
      <c r="E1">
        <v>1</v>
      </c>
      <c r="F1">
        <v>1</v>
      </c>
      <c r="G1">
        <v>1</v>
      </c>
      <c r="H1">
        <v>1</v>
      </c>
      <c r="I1" t="s">
        <v>359</v>
      </c>
      <c r="J1" t="s">
        <v>3</v>
      </c>
      <c r="K1" t="s">
        <v>360</v>
      </c>
      <c r="L1">
        <v>1369</v>
      </c>
      <c r="N1">
        <v>1013</v>
      </c>
      <c r="O1" t="s">
        <v>361</v>
      </c>
      <c r="P1" t="s">
        <v>361</v>
      </c>
      <c r="Q1">
        <v>1</v>
      </c>
      <c r="W1">
        <v>0</v>
      </c>
      <c r="X1">
        <v>1989723076</v>
      </c>
      <c r="Y1">
        <v>7.31</v>
      </c>
      <c r="AA1">
        <v>0</v>
      </c>
      <c r="AB1">
        <v>0</v>
      </c>
      <c r="AC1">
        <v>0</v>
      </c>
      <c r="AD1">
        <v>286.72000000000003</v>
      </c>
      <c r="AE1">
        <v>0</v>
      </c>
      <c r="AF1">
        <v>0</v>
      </c>
      <c r="AG1">
        <v>0</v>
      </c>
      <c r="AH1">
        <v>286.72000000000003</v>
      </c>
      <c r="AI1">
        <v>1</v>
      </c>
      <c r="AJ1">
        <v>1</v>
      </c>
      <c r="AK1">
        <v>1</v>
      </c>
      <c r="AL1">
        <v>1</v>
      </c>
      <c r="AN1">
        <v>0</v>
      </c>
      <c r="AO1">
        <v>1</v>
      </c>
      <c r="AP1">
        <v>1</v>
      </c>
      <c r="AQ1">
        <v>0</v>
      </c>
      <c r="AR1">
        <v>0</v>
      </c>
      <c r="AS1" t="s">
        <v>3</v>
      </c>
      <c r="AT1">
        <v>7.31</v>
      </c>
      <c r="AU1" t="s">
        <v>3</v>
      </c>
      <c r="AV1">
        <v>1</v>
      </c>
      <c r="AW1">
        <v>2</v>
      </c>
      <c r="AX1">
        <v>37181297</v>
      </c>
      <c r="AY1">
        <v>1</v>
      </c>
      <c r="AZ1">
        <v>0</v>
      </c>
      <c r="BA1">
        <v>1</v>
      </c>
      <c r="BB1">
        <v>0</v>
      </c>
      <c r="BC1">
        <v>0</v>
      </c>
      <c r="BD1">
        <v>0</v>
      </c>
      <c r="BE1">
        <v>0</v>
      </c>
      <c r="BF1">
        <v>0</v>
      </c>
      <c r="BG1">
        <v>0</v>
      </c>
      <c r="BH1">
        <v>0</v>
      </c>
      <c r="BI1">
        <v>0</v>
      </c>
      <c r="BJ1">
        <v>0</v>
      </c>
      <c r="BK1">
        <v>0</v>
      </c>
      <c r="BL1">
        <v>0</v>
      </c>
      <c r="BM1">
        <v>0</v>
      </c>
      <c r="BN1">
        <v>0</v>
      </c>
      <c r="BO1">
        <v>0</v>
      </c>
      <c r="BP1">
        <v>0</v>
      </c>
      <c r="BQ1">
        <v>0</v>
      </c>
      <c r="BR1">
        <v>0</v>
      </c>
      <c r="BS1">
        <v>0</v>
      </c>
      <c r="BT1">
        <v>0</v>
      </c>
      <c r="BU1">
        <v>0</v>
      </c>
      <c r="BV1">
        <v>0</v>
      </c>
      <c r="BW1">
        <v>0</v>
      </c>
      <c r="CX1">
        <f>Y1*Source!I28</f>
        <v>9.4883799999999994</v>
      </c>
      <c r="CY1">
        <f>AD1</f>
        <v>286.72000000000003</v>
      </c>
      <c r="CZ1">
        <f>AH1</f>
        <v>286.72000000000003</v>
      </c>
      <c r="DA1">
        <f>AL1</f>
        <v>1</v>
      </c>
      <c r="DB1">
        <f t="shared" ref="DB1:DB10" si="0">ROUND(ROUND(AT1*CZ1,2),6)</f>
        <v>2095.92</v>
      </c>
      <c r="DC1">
        <f t="shared" ref="DC1:DC10" si="1">ROUND(ROUND(AT1*AG1,2),6)</f>
        <v>0</v>
      </c>
    </row>
    <row r="2" spans="1:107">
      <c r="A2">
        <f>ROW(Source!A28)</f>
        <v>28</v>
      </c>
      <c r="B2">
        <v>35841400</v>
      </c>
      <c r="C2">
        <v>36516588</v>
      </c>
      <c r="D2">
        <v>121548</v>
      </c>
      <c r="E2">
        <v>1</v>
      </c>
      <c r="F2">
        <v>1</v>
      </c>
      <c r="G2">
        <v>1</v>
      </c>
      <c r="H2">
        <v>1</v>
      </c>
      <c r="I2" t="s">
        <v>213</v>
      </c>
      <c r="J2" t="s">
        <v>3</v>
      </c>
      <c r="K2" t="s">
        <v>362</v>
      </c>
      <c r="L2">
        <v>608254</v>
      </c>
      <c r="N2">
        <v>1013</v>
      </c>
      <c r="O2" t="s">
        <v>363</v>
      </c>
      <c r="P2" t="s">
        <v>363</v>
      </c>
      <c r="Q2">
        <v>1</v>
      </c>
      <c r="W2">
        <v>0</v>
      </c>
      <c r="X2">
        <v>-185737400</v>
      </c>
      <c r="Y2">
        <v>0.2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1</v>
      </c>
      <c r="AJ2">
        <v>1</v>
      </c>
      <c r="AK2">
        <v>1</v>
      </c>
      <c r="AL2">
        <v>1</v>
      </c>
      <c r="AN2">
        <v>0</v>
      </c>
      <c r="AO2">
        <v>1</v>
      </c>
      <c r="AP2">
        <v>1</v>
      </c>
      <c r="AQ2">
        <v>0</v>
      </c>
      <c r="AR2">
        <v>0</v>
      </c>
      <c r="AS2" t="s">
        <v>3</v>
      </c>
      <c r="AT2">
        <v>0.2</v>
      </c>
      <c r="AU2" t="s">
        <v>3</v>
      </c>
      <c r="AV2">
        <v>2</v>
      </c>
      <c r="AW2">
        <v>2</v>
      </c>
      <c r="AX2">
        <v>37181298</v>
      </c>
      <c r="AY2">
        <v>1</v>
      </c>
      <c r="AZ2">
        <v>0</v>
      </c>
      <c r="BA2">
        <v>2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CX2">
        <f>Y2*Source!I28</f>
        <v>0.2596</v>
      </c>
      <c r="CY2">
        <f>AD2</f>
        <v>0</v>
      </c>
      <c r="CZ2">
        <f>AH2</f>
        <v>0</v>
      </c>
      <c r="DA2">
        <f>AL2</f>
        <v>1</v>
      </c>
      <c r="DB2">
        <f t="shared" si="0"/>
        <v>0</v>
      </c>
      <c r="DC2">
        <f t="shared" si="1"/>
        <v>0</v>
      </c>
    </row>
    <row r="3" spans="1:107">
      <c r="A3">
        <f>ROW(Source!A28)</f>
        <v>28</v>
      </c>
      <c r="B3">
        <v>35841400</v>
      </c>
      <c r="C3">
        <v>36516588</v>
      </c>
      <c r="D3">
        <v>29172556</v>
      </c>
      <c r="E3">
        <v>1</v>
      </c>
      <c r="F3">
        <v>1</v>
      </c>
      <c r="G3">
        <v>1</v>
      </c>
      <c r="H3">
        <v>2</v>
      </c>
      <c r="I3" t="s">
        <v>364</v>
      </c>
      <c r="J3" t="s">
        <v>365</v>
      </c>
      <c r="K3" t="s">
        <v>366</v>
      </c>
      <c r="L3">
        <v>1368</v>
      </c>
      <c r="N3">
        <v>1011</v>
      </c>
      <c r="O3" t="s">
        <v>367</v>
      </c>
      <c r="P3" t="s">
        <v>367</v>
      </c>
      <c r="Q3">
        <v>1</v>
      </c>
      <c r="W3">
        <v>0</v>
      </c>
      <c r="X3">
        <v>344519037</v>
      </c>
      <c r="Y3">
        <v>0.2</v>
      </c>
      <c r="AA3">
        <v>0</v>
      </c>
      <c r="AB3">
        <v>466.71</v>
      </c>
      <c r="AC3">
        <v>453.6</v>
      </c>
      <c r="AD3">
        <v>0</v>
      </c>
      <c r="AE3">
        <v>0</v>
      </c>
      <c r="AF3">
        <v>31.26</v>
      </c>
      <c r="AG3">
        <v>13.5</v>
      </c>
      <c r="AH3">
        <v>0</v>
      </c>
      <c r="AI3">
        <v>1</v>
      </c>
      <c r="AJ3">
        <v>14.93</v>
      </c>
      <c r="AK3">
        <v>33.6</v>
      </c>
      <c r="AL3">
        <v>1</v>
      </c>
      <c r="AN3">
        <v>0</v>
      </c>
      <c r="AO3">
        <v>1</v>
      </c>
      <c r="AP3">
        <v>1</v>
      </c>
      <c r="AQ3">
        <v>0</v>
      </c>
      <c r="AR3">
        <v>0</v>
      </c>
      <c r="AS3" t="s">
        <v>3</v>
      </c>
      <c r="AT3">
        <v>0.2</v>
      </c>
      <c r="AU3" t="s">
        <v>3</v>
      </c>
      <c r="AV3">
        <v>0</v>
      </c>
      <c r="AW3">
        <v>2</v>
      </c>
      <c r="AX3">
        <v>37181299</v>
      </c>
      <c r="AY3">
        <v>1</v>
      </c>
      <c r="AZ3">
        <v>0</v>
      </c>
      <c r="BA3">
        <v>3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CX3">
        <f>Y3*Source!I28</f>
        <v>0.2596</v>
      </c>
      <c r="CY3">
        <f>AB3</f>
        <v>466.71</v>
      </c>
      <c r="CZ3">
        <f>AF3</f>
        <v>31.26</v>
      </c>
      <c r="DA3">
        <f>AJ3</f>
        <v>14.93</v>
      </c>
      <c r="DB3">
        <f t="shared" si="0"/>
        <v>6.25</v>
      </c>
      <c r="DC3">
        <f t="shared" si="1"/>
        <v>2.7</v>
      </c>
    </row>
    <row r="4" spans="1:107">
      <c r="A4">
        <f>ROW(Source!A29)</f>
        <v>29</v>
      </c>
      <c r="B4">
        <v>35841400</v>
      </c>
      <c r="C4">
        <v>35842188</v>
      </c>
      <c r="D4">
        <v>18406804</v>
      </c>
      <c r="E4">
        <v>1</v>
      </c>
      <c r="F4">
        <v>1</v>
      </c>
      <c r="G4">
        <v>1</v>
      </c>
      <c r="H4">
        <v>1</v>
      </c>
      <c r="I4" t="s">
        <v>368</v>
      </c>
      <c r="J4" t="s">
        <v>3</v>
      </c>
      <c r="K4" t="s">
        <v>369</v>
      </c>
      <c r="L4">
        <v>1369</v>
      </c>
      <c r="N4">
        <v>1013</v>
      </c>
      <c r="O4" t="s">
        <v>361</v>
      </c>
      <c r="P4" t="s">
        <v>361</v>
      </c>
      <c r="Q4">
        <v>1</v>
      </c>
      <c r="W4">
        <v>0</v>
      </c>
      <c r="X4">
        <v>254330056</v>
      </c>
      <c r="Y4">
        <v>22.82</v>
      </c>
      <c r="AA4">
        <v>0</v>
      </c>
      <c r="AB4">
        <v>0</v>
      </c>
      <c r="AC4">
        <v>0</v>
      </c>
      <c r="AD4">
        <v>258.83999999999997</v>
      </c>
      <c r="AE4">
        <v>0</v>
      </c>
      <c r="AF4">
        <v>0</v>
      </c>
      <c r="AG4">
        <v>0</v>
      </c>
      <c r="AH4">
        <v>258.83999999999997</v>
      </c>
      <c r="AI4">
        <v>1</v>
      </c>
      <c r="AJ4">
        <v>1</v>
      </c>
      <c r="AK4">
        <v>1</v>
      </c>
      <c r="AL4">
        <v>1</v>
      </c>
      <c r="AN4">
        <v>0</v>
      </c>
      <c r="AO4">
        <v>1</v>
      </c>
      <c r="AP4">
        <v>1</v>
      </c>
      <c r="AQ4">
        <v>0</v>
      </c>
      <c r="AR4">
        <v>0</v>
      </c>
      <c r="AS4" t="s">
        <v>3</v>
      </c>
      <c r="AT4">
        <v>22.82</v>
      </c>
      <c r="AU4" t="s">
        <v>3</v>
      </c>
      <c r="AV4">
        <v>1</v>
      </c>
      <c r="AW4">
        <v>2</v>
      </c>
      <c r="AX4">
        <v>37208017</v>
      </c>
      <c r="AY4">
        <v>1</v>
      </c>
      <c r="AZ4">
        <v>0</v>
      </c>
      <c r="BA4">
        <v>4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CX4">
        <f>Y4*Source!I29</f>
        <v>14.810180000000001</v>
      </c>
      <c r="CY4">
        <f>AD4</f>
        <v>258.83999999999997</v>
      </c>
      <c r="CZ4">
        <f>AH4</f>
        <v>258.83999999999997</v>
      </c>
      <c r="DA4">
        <f>AL4</f>
        <v>1</v>
      </c>
      <c r="DB4">
        <f t="shared" si="0"/>
        <v>5906.73</v>
      </c>
      <c r="DC4">
        <f t="shared" si="1"/>
        <v>0</v>
      </c>
    </row>
    <row r="5" spans="1:107">
      <c r="A5">
        <f>ROW(Source!A30)</f>
        <v>30</v>
      </c>
      <c r="B5">
        <v>35841400</v>
      </c>
      <c r="C5">
        <v>35842104</v>
      </c>
      <c r="D5">
        <v>18406804</v>
      </c>
      <c r="E5">
        <v>1</v>
      </c>
      <c r="F5">
        <v>1</v>
      </c>
      <c r="G5">
        <v>1</v>
      </c>
      <c r="H5">
        <v>1</v>
      </c>
      <c r="I5" t="s">
        <v>368</v>
      </c>
      <c r="J5" t="s">
        <v>3</v>
      </c>
      <c r="K5" t="s">
        <v>369</v>
      </c>
      <c r="L5">
        <v>1369</v>
      </c>
      <c r="N5">
        <v>1013</v>
      </c>
      <c r="O5" t="s">
        <v>361</v>
      </c>
      <c r="P5" t="s">
        <v>361</v>
      </c>
      <c r="Q5">
        <v>1</v>
      </c>
      <c r="W5">
        <v>0</v>
      </c>
      <c r="X5">
        <v>254330056</v>
      </c>
      <c r="Y5">
        <v>7.67</v>
      </c>
      <c r="AA5">
        <v>0</v>
      </c>
      <c r="AB5">
        <v>0</v>
      </c>
      <c r="AC5">
        <v>0</v>
      </c>
      <c r="AD5">
        <v>258.83999999999997</v>
      </c>
      <c r="AE5">
        <v>0</v>
      </c>
      <c r="AF5">
        <v>0</v>
      </c>
      <c r="AG5">
        <v>0</v>
      </c>
      <c r="AH5">
        <v>258.83999999999997</v>
      </c>
      <c r="AI5">
        <v>1</v>
      </c>
      <c r="AJ5">
        <v>1</v>
      </c>
      <c r="AK5">
        <v>1</v>
      </c>
      <c r="AL5">
        <v>1</v>
      </c>
      <c r="AN5">
        <v>0</v>
      </c>
      <c r="AO5">
        <v>1</v>
      </c>
      <c r="AP5">
        <v>0</v>
      </c>
      <c r="AQ5">
        <v>0</v>
      </c>
      <c r="AR5">
        <v>0</v>
      </c>
      <c r="AS5" t="s">
        <v>3</v>
      </c>
      <c r="AT5">
        <v>7.67</v>
      </c>
      <c r="AU5" t="s">
        <v>3</v>
      </c>
      <c r="AV5">
        <v>1</v>
      </c>
      <c r="AW5">
        <v>2</v>
      </c>
      <c r="AX5">
        <v>36150439</v>
      </c>
      <c r="AY5">
        <v>2</v>
      </c>
      <c r="AZ5">
        <v>131072</v>
      </c>
      <c r="BA5">
        <v>5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CX5">
        <f>Y5*Source!I30</f>
        <v>6.9643600000000001</v>
      </c>
      <c r="CY5">
        <f>AD5</f>
        <v>258.83999999999997</v>
      </c>
      <c r="CZ5">
        <f>AH5</f>
        <v>258.83999999999997</v>
      </c>
      <c r="DA5">
        <f>AL5</f>
        <v>1</v>
      </c>
      <c r="DB5">
        <f t="shared" si="0"/>
        <v>1985.3</v>
      </c>
      <c r="DC5">
        <f t="shared" si="1"/>
        <v>0</v>
      </c>
    </row>
    <row r="6" spans="1:107">
      <c r="A6">
        <f>ROW(Source!A30)</f>
        <v>30</v>
      </c>
      <c r="B6">
        <v>35841400</v>
      </c>
      <c r="C6">
        <v>35842104</v>
      </c>
      <c r="D6">
        <v>29164349</v>
      </c>
      <c r="E6">
        <v>1</v>
      </c>
      <c r="F6">
        <v>1</v>
      </c>
      <c r="G6">
        <v>1</v>
      </c>
      <c r="H6">
        <v>3</v>
      </c>
      <c r="I6" t="s">
        <v>39</v>
      </c>
      <c r="J6" t="s">
        <v>42</v>
      </c>
      <c r="K6" t="s">
        <v>40</v>
      </c>
      <c r="L6">
        <v>1348</v>
      </c>
      <c r="N6">
        <v>1009</v>
      </c>
      <c r="O6" t="s">
        <v>41</v>
      </c>
      <c r="P6" t="s">
        <v>41</v>
      </c>
      <c r="Q6">
        <v>1000</v>
      </c>
      <c r="W6">
        <v>0</v>
      </c>
      <c r="X6">
        <v>-304821490</v>
      </c>
      <c r="Y6">
        <v>0.7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1</v>
      </c>
      <c r="AJ6">
        <v>1</v>
      </c>
      <c r="AK6">
        <v>1</v>
      </c>
      <c r="AL6">
        <v>1</v>
      </c>
      <c r="AN6">
        <v>0</v>
      </c>
      <c r="AO6">
        <v>0</v>
      </c>
      <c r="AP6">
        <v>0</v>
      </c>
      <c r="AQ6">
        <v>0</v>
      </c>
      <c r="AR6">
        <v>0</v>
      </c>
      <c r="AS6" t="s">
        <v>3</v>
      </c>
      <c r="AT6">
        <v>0.7</v>
      </c>
      <c r="AU6" t="s">
        <v>3</v>
      </c>
      <c r="AV6">
        <v>0</v>
      </c>
      <c r="AW6">
        <v>2</v>
      </c>
      <c r="AX6">
        <v>36150440</v>
      </c>
      <c r="AY6">
        <v>1</v>
      </c>
      <c r="AZ6">
        <v>0</v>
      </c>
      <c r="BA6">
        <v>6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CX6">
        <f>Y6*Source!I30</f>
        <v>0.63559999999999994</v>
      </c>
      <c r="CY6">
        <f>AA6</f>
        <v>0</v>
      </c>
      <c r="CZ6">
        <f>AE6</f>
        <v>0</v>
      </c>
      <c r="DA6">
        <f>AI6</f>
        <v>1</v>
      </c>
      <c r="DB6">
        <f t="shared" si="0"/>
        <v>0</v>
      </c>
      <c r="DC6">
        <f t="shared" si="1"/>
        <v>0</v>
      </c>
    </row>
    <row r="7" spans="1:107">
      <c r="A7">
        <f>ROW(Source!A32)</f>
        <v>32</v>
      </c>
      <c r="B7">
        <v>35841400</v>
      </c>
      <c r="C7">
        <v>35842112</v>
      </c>
      <c r="D7">
        <v>18406804</v>
      </c>
      <c r="E7">
        <v>1</v>
      </c>
      <c r="F7">
        <v>1</v>
      </c>
      <c r="G7">
        <v>1</v>
      </c>
      <c r="H7">
        <v>1</v>
      </c>
      <c r="I7" t="s">
        <v>368</v>
      </c>
      <c r="J7" t="s">
        <v>3</v>
      </c>
      <c r="K7" t="s">
        <v>369</v>
      </c>
      <c r="L7">
        <v>1369</v>
      </c>
      <c r="N7">
        <v>1013</v>
      </c>
      <c r="O7" t="s">
        <v>361</v>
      </c>
      <c r="P7" t="s">
        <v>361</v>
      </c>
      <c r="Q7">
        <v>1</v>
      </c>
      <c r="W7">
        <v>0</v>
      </c>
      <c r="X7">
        <v>254330056</v>
      </c>
      <c r="Y7">
        <v>5.84</v>
      </c>
      <c r="AA7">
        <v>0</v>
      </c>
      <c r="AB7">
        <v>0</v>
      </c>
      <c r="AC7">
        <v>0</v>
      </c>
      <c r="AD7">
        <v>258.83999999999997</v>
      </c>
      <c r="AE7">
        <v>0</v>
      </c>
      <c r="AF7">
        <v>0</v>
      </c>
      <c r="AG7">
        <v>0</v>
      </c>
      <c r="AH7">
        <v>258.83999999999997</v>
      </c>
      <c r="AI7">
        <v>1</v>
      </c>
      <c r="AJ7">
        <v>1</v>
      </c>
      <c r="AK7">
        <v>1</v>
      </c>
      <c r="AL7">
        <v>1</v>
      </c>
      <c r="AN7">
        <v>0</v>
      </c>
      <c r="AO7">
        <v>1</v>
      </c>
      <c r="AP7">
        <v>1</v>
      </c>
      <c r="AQ7">
        <v>0</v>
      </c>
      <c r="AR7">
        <v>0</v>
      </c>
      <c r="AS7" t="s">
        <v>3</v>
      </c>
      <c r="AT7">
        <v>5.84</v>
      </c>
      <c r="AU7" t="s">
        <v>3</v>
      </c>
      <c r="AV7">
        <v>1</v>
      </c>
      <c r="AW7">
        <v>2</v>
      </c>
      <c r="AX7">
        <v>35842113</v>
      </c>
      <c r="AY7">
        <v>2</v>
      </c>
      <c r="AZ7">
        <v>131072</v>
      </c>
      <c r="BA7">
        <v>7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CX7">
        <f>Y7*Source!I32</f>
        <v>0.2336</v>
      </c>
      <c r="CY7">
        <f>AD7</f>
        <v>258.83999999999997</v>
      </c>
      <c r="CZ7">
        <f>AH7</f>
        <v>258.83999999999997</v>
      </c>
      <c r="DA7">
        <f>AL7</f>
        <v>1</v>
      </c>
      <c r="DB7">
        <f t="shared" si="0"/>
        <v>1511.63</v>
      </c>
      <c r="DC7">
        <f t="shared" si="1"/>
        <v>0</v>
      </c>
    </row>
    <row r="8" spans="1:107">
      <c r="A8">
        <f>ROW(Source!A33)</f>
        <v>33</v>
      </c>
      <c r="B8">
        <v>35841400</v>
      </c>
      <c r="C8">
        <v>35842118</v>
      </c>
      <c r="D8">
        <v>18408066</v>
      </c>
      <c r="E8">
        <v>1</v>
      </c>
      <c r="F8">
        <v>1</v>
      </c>
      <c r="G8">
        <v>1</v>
      </c>
      <c r="H8">
        <v>1</v>
      </c>
      <c r="I8" t="s">
        <v>370</v>
      </c>
      <c r="J8" t="s">
        <v>3</v>
      </c>
      <c r="K8" t="s">
        <v>371</v>
      </c>
      <c r="L8">
        <v>1369</v>
      </c>
      <c r="N8">
        <v>1013</v>
      </c>
      <c r="O8" t="s">
        <v>361</v>
      </c>
      <c r="P8" t="s">
        <v>361</v>
      </c>
      <c r="Q8">
        <v>1</v>
      </c>
      <c r="W8">
        <v>0</v>
      </c>
      <c r="X8">
        <v>-886480961</v>
      </c>
      <c r="Y8">
        <v>17.89</v>
      </c>
      <c r="AA8">
        <v>0</v>
      </c>
      <c r="AB8">
        <v>0</v>
      </c>
      <c r="AC8">
        <v>0</v>
      </c>
      <c r="AD8">
        <v>266.14</v>
      </c>
      <c r="AE8">
        <v>0</v>
      </c>
      <c r="AF8">
        <v>0</v>
      </c>
      <c r="AG8">
        <v>0</v>
      </c>
      <c r="AH8">
        <v>266.14</v>
      </c>
      <c r="AI8">
        <v>1</v>
      </c>
      <c r="AJ8">
        <v>1</v>
      </c>
      <c r="AK8">
        <v>1</v>
      </c>
      <c r="AL8">
        <v>1</v>
      </c>
      <c r="AN8">
        <v>0</v>
      </c>
      <c r="AO8">
        <v>1</v>
      </c>
      <c r="AP8">
        <v>0</v>
      </c>
      <c r="AQ8">
        <v>0</v>
      </c>
      <c r="AR8">
        <v>0</v>
      </c>
      <c r="AS8" t="s">
        <v>3</v>
      </c>
      <c r="AT8">
        <v>17.89</v>
      </c>
      <c r="AU8" t="s">
        <v>3</v>
      </c>
      <c r="AV8">
        <v>1</v>
      </c>
      <c r="AW8">
        <v>2</v>
      </c>
      <c r="AX8">
        <v>35842119</v>
      </c>
      <c r="AY8">
        <v>2</v>
      </c>
      <c r="AZ8">
        <v>131072</v>
      </c>
      <c r="BA8">
        <v>8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CX8">
        <f>Y8*Source!I33</f>
        <v>1.0733999999999999</v>
      </c>
      <c r="CY8">
        <f>AD8</f>
        <v>266.14</v>
      </c>
      <c r="CZ8">
        <f>AH8</f>
        <v>266.14</v>
      </c>
      <c r="DA8">
        <f>AL8</f>
        <v>1</v>
      </c>
      <c r="DB8">
        <f t="shared" si="0"/>
        <v>4761.24</v>
      </c>
      <c r="DC8">
        <f t="shared" si="1"/>
        <v>0</v>
      </c>
    </row>
    <row r="9" spans="1:107">
      <c r="A9">
        <f>ROW(Source!A33)</f>
        <v>33</v>
      </c>
      <c r="B9">
        <v>35841400</v>
      </c>
      <c r="C9">
        <v>35842118</v>
      </c>
      <c r="D9">
        <v>121548</v>
      </c>
      <c r="E9">
        <v>1</v>
      </c>
      <c r="F9">
        <v>1</v>
      </c>
      <c r="G9">
        <v>1</v>
      </c>
      <c r="H9">
        <v>1</v>
      </c>
      <c r="I9" t="s">
        <v>213</v>
      </c>
      <c r="J9" t="s">
        <v>3</v>
      </c>
      <c r="K9" t="s">
        <v>362</v>
      </c>
      <c r="L9">
        <v>608254</v>
      </c>
      <c r="N9">
        <v>1013</v>
      </c>
      <c r="O9" t="s">
        <v>363</v>
      </c>
      <c r="P9" t="s">
        <v>363</v>
      </c>
      <c r="Q9">
        <v>1</v>
      </c>
      <c r="W9">
        <v>0</v>
      </c>
      <c r="X9">
        <v>-185737400</v>
      </c>
      <c r="Y9">
        <v>0.08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1</v>
      </c>
      <c r="AJ9">
        <v>1</v>
      </c>
      <c r="AK9">
        <v>1</v>
      </c>
      <c r="AL9">
        <v>1</v>
      </c>
      <c r="AN9">
        <v>0</v>
      </c>
      <c r="AO9">
        <v>1</v>
      </c>
      <c r="AP9">
        <v>0</v>
      </c>
      <c r="AQ9">
        <v>0</v>
      </c>
      <c r="AR9">
        <v>0</v>
      </c>
      <c r="AS9" t="s">
        <v>3</v>
      </c>
      <c r="AT9">
        <v>0.08</v>
      </c>
      <c r="AU9" t="s">
        <v>3</v>
      </c>
      <c r="AV9">
        <v>2</v>
      </c>
      <c r="AW9">
        <v>2</v>
      </c>
      <c r="AX9">
        <v>35842120</v>
      </c>
      <c r="AY9">
        <v>1</v>
      </c>
      <c r="AZ9">
        <v>0</v>
      </c>
      <c r="BA9">
        <v>9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CX9">
        <f>Y9*Source!I33</f>
        <v>4.7999999999999996E-3</v>
      </c>
      <c r="CY9">
        <f>AD9</f>
        <v>0</v>
      </c>
      <c r="CZ9">
        <f>AH9</f>
        <v>0</v>
      </c>
      <c r="DA9">
        <f>AL9</f>
        <v>1</v>
      </c>
      <c r="DB9">
        <f t="shared" si="0"/>
        <v>0</v>
      </c>
      <c r="DC9">
        <f t="shared" si="1"/>
        <v>0</v>
      </c>
    </row>
    <row r="10" spans="1:107">
      <c r="A10">
        <f>ROW(Source!A33)</f>
        <v>33</v>
      </c>
      <c r="B10">
        <v>35841400</v>
      </c>
      <c r="C10">
        <v>35842118</v>
      </c>
      <c r="D10">
        <v>29172556</v>
      </c>
      <c r="E10">
        <v>1</v>
      </c>
      <c r="F10">
        <v>1</v>
      </c>
      <c r="G10">
        <v>1</v>
      </c>
      <c r="H10">
        <v>2</v>
      </c>
      <c r="I10" t="s">
        <v>364</v>
      </c>
      <c r="J10" t="s">
        <v>372</v>
      </c>
      <c r="K10" t="s">
        <v>366</v>
      </c>
      <c r="L10">
        <v>1368</v>
      </c>
      <c r="N10">
        <v>1011</v>
      </c>
      <c r="O10" t="s">
        <v>367</v>
      </c>
      <c r="P10" t="s">
        <v>367</v>
      </c>
      <c r="Q10">
        <v>1</v>
      </c>
      <c r="W10">
        <v>0</v>
      </c>
      <c r="X10">
        <v>-1302720870</v>
      </c>
      <c r="Y10">
        <v>0.08</v>
      </c>
      <c r="AA10">
        <v>0</v>
      </c>
      <c r="AB10">
        <v>466.71</v>
      </c>
      <c r="AC10">
        <v>453.6</v>
      </c>
      <c r="AD10">
        <v>0</v>
      </c>
      <c r="AE10">
        <v>0</v>
      </c>
      <c r="AF10">
        <v>31.26</v>
      </c>
      <c r="AG10">
        <v>13.5</v>
      </c>
      <c r="AH10">
        <v>0</v>
      </c>
      <c r="AI10">
        <v>1</v>
      </c>
      <c r="AJ10">
        <v>14.93</v>
      </c>
      <c r="AK10">
        <v>33.6</v>
      </c>
      <c r="AL10">
        <v>1</v>
      </c>
      <c r="AN10">
        <v>0</v>
      </c>
      <c r="AO10">
        <v>1</v>
      </c>
      <c r="AP10">
        <v>0</v>
      </c>
      <c r="AQ10">
        <v>0</v>
      </c>
      <c r="AR10">
        <v>0</v>
      </c>
      <c r="AS10" t="s">
        <v>3</v>
      </c>
      <c r="AT10">
        <v>0.08</v>
      </c>
      <c r="AU10" t="s">
        <v>3</v>
      </c>
      <c r="AV10">
        <v>0</v>
      </c>
      <c r="AW10">
        <v>2</v>
      </c>
      <c r="AX10">
        <v>35842121</v>
      </c>
      <c r="AY10">
        <v>1</v>
      </c>
      <c r="AZ10">
        <v>0</v>
      </c>
      <c r="BA10">
        <v>10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CX10">
        <f>Y10*Source!I33</f>
        <v>4.7999999999999996E-3</v>
      </c>
      <c r="CY10">
        <f>AB10</f>
        <v>466.71</v>
      </c>
      <c r="CZ10">
        <f>AF10</f>
        <v>31.26</v>
      </c>
      <c r="DA10">
        <f>AJ10</f>
        <v>14.93</v>
      </c>
      <c r="DB10">
        <f t="shared" si="0"/>
        <v>2.5</v>
      </c>
      <c r="DC10">
        <f t="shared" si="1"/>
        <v>1.08</v>
      </c>
    </row>
    <row r="11" spans="1:107">
      <c r="A11">
        <f>ROW(Source!A73)</f>
        <v>73</v>
      </c>
      <c r="B11">
        <v>35841400</v>
      </c>
      <c r="C11">
        <v>36513372</v>
      </c>
      <c r="D11">
        <v>18410631</v>
      </c>
      <c r="E11">
        <v>1</v>
      </c>
      <c r="F11">
        <v>1</v>
      </c>
      <c r="G11">
        <v>1</v>
      </c>
      <c r="H11">
        <v>1</v>
      </c>
      <c r="I11" t="s">
        <v>373</v>
      </c>
      <c r="J11" t="s">
        <v>3</v>
      </c>
      <c r="K11" t="s">
        <v>374</v>
      </c>
      <c r="L11">
        <v>1369</v>
      </c>
      <c r="N11">
        <v>1013</v>
      </c>
      <c r="O11" t="s">
        <v>361</v>
      </c>
      <c r="P11" t="s">
        <v>361</v>
      </c>
      <c r="Q11">
        <v>1</v>
      </c>
      <c r="W11">
        <v>0</v>
      </c>
      <c r="X11">
        <v>-1896518065</v>
      </c>
      <c r="Y11">
        <v>6.8309999999999995</v>
      </c>
      <c r="AA11">
        <v>0</v>
      </c>
      <c r="AB11">
        <v>0</v>
      </c>
      <c r="AC11">
        <v>0</v>
      </c>
      <c r="AD11">
        <v>280.75</v>
      </c>
      <c r="AE11">
        <v>0</v>
      </c>
      <c r="AF11">
        <v>0</v>
      </c>
      <c r="AG11">
        <v>0</v>
      </c>
      <c r="AH11">
        <v>280.75</v>
      </c>
      <c r="AI11">
        <v>1</v>
      </c>
      <c r="AJ11">
        <v>1</v>
      </c>
      <c r="AK11">
        <v>1</v>
      </c>
      <c r="AL11">
        <v>1</v>
      </c>
      <c r="AN11">
        <v>0</v>
      </c>
      <c r="AO11">
        <v>1</v>
      </c>
      <c r="AP11">
        <v>1</v>
      </c>
      <c r="AQ11">
        <v>0</v>
      </c>
      <c r="AR11">
        <v>0</v>
      </c>
      <c r="AS11" t="s">
        <v>3</v>
      </c>
      <c r="AT11">
        <v>5.94</v>
      </c>
      <c r="AU11" t="s">
        <v>114</v>
      </c>
      <c r="AV11">
        <v>1</v>
      </c>
      <c r="AW11">
        <v>2</v>
      </c>
      <c r="AX11">
        <v>37181264</v>
      </c>
      <c r="AY11">
        <v>1</v>
      </c>
      <c r="AZ11">
        <v>0</v>
      </c>
      <c r="BA11">
        <v>11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CX11">
        <f>Y11*Source!I73</f>
        <v>8.8051589999999997</v>
      </c>
      <c r="CY11">
        <f>AD11</f>
        <v>280.75</v>
      </c>
      <c r="CZ11">
        <f>AH11</f>
        <v>280.75</v>
      </c>
      <c r="DA11">
        <f>AL11</f>
        <v>1</v>
      </c>
      <c r="DB11">
        <f>ROUND((ROUND(AT11*CZ11,2)*1.15),6)</f>
        <v>1917.809</v>
      </c>
      <c r="DC11">
        <f>ROUND((ROUND(AT11*AG11,2)*1.15),6)</f>
        <v>0</v>
      </c>
    </row>
    <row r="12" spans="1:107">
      <c r="A12">
        <f>ROW(Source!A73)</f>
        <v>73</v>
      </c>
      <c r="B12">
        <v>35841400</v>
      </c>
      <c r="C12">
        <v>36513372</v>
      </c>
      <c r="D12">
        <v>121548</v>
      </c>
      <c r="E12">
        <v>1</v>
      </c>
      <c r="F12">
        <v>1</v>
      </c>
      <c r="G12">
        <v>1</v>
      </c>
      <c r="H12">
        <v>1</v>
      </c>
      <c r="I12" t="s">
        <v>213</v>
      </c>
      <c r="J12" t="s">
        <v>3</v>
      </c>
      <c r="K12" t="s">
        <v>362</v>
      </c>
      <c r="L12">
        <v>608254</v>
      </c>
      <c r="N12">
        <v>1013</v>
      </c>
      <c r="O12" t="s">
        <v>363</v>
      </c>
      <c r="P12" t="s">
        <v>363</v>
      </c>
      <c r="Q12">
        <v>1</v>
      </c>
      <c r="W12">
        <v>0</v>
      </c>
      <c r="X12">
        <v>-185737400</v>
      </c>
      <c r="Y12">
        <v>0.04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1</v>
      </c>
      <c r="AJ12">
        <v>1</v>
      </c>
      <c r="AK12">
        <v>1</v>
      </c>
      <c r="AL12">
        <v>1</v>
      </c>
      <c r="AN12">
        <v>0</v>
      </c>
      <c r="AO12">
        <v>1</v>
      </c>
      <c r="AP12">
        <v>1</v>
      </c>
      <c r="AQ12">
        <v>0</v>
      </c>
      <c r="AR12">
        <v>0</v>
      </c>
      <c r="AS12" t="s">
        <v>3</v>
      </c>
      <c r="AT12">
        <v>0.04</v>
      </c>
      <c r="AU12" t="s">
        <v>3</v>
      </c>
      <c r="AV12">
        <v>2</v>
      </c>
      <c r="AW12">
        <v>2</v>
      </c>
      <c r="AX12">
        <v>37181265</v>
      </c>
      <c r="AY12">
        <v>1</v>
      </c>
      <c r="AZ12">
        <v>0</v>
      </c>
      <c r="BA12">
        <v>12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CX12">
        <f>Y12*Source!I73</f>
        <v>5.1559999999999995E-2</v>
      </c>
      <c r="CY12">
        <f>AD12</f>
        <v>0</v>
      </c>
      <c r="CZ12">
        <f>AH12</f>
        <v>0</v>
      </c>
      <c r="DA12">
        <f>AL12</f>
        <v>1</v>
      </c>
      <c r="DB12">
        <f t="shared" ref="DB12:DB18" si="2">ROUND(ROUND(AT12*CZ12,2),6)</f>
        <v>0</v>
      </c>
      <c r="DC12">
        <f t="shared" ref="DC12:DC18" si="3">ROUND(ROUND(AT12*AG12,2),6)</f>
        <v>0</v>
      </c>
    </row>
    <row r="13" spans="1:107">
      <c r="A13">
        <f>ROW(Source!A73)</f>
        <v>73</v>
      </c>
      <c r="B13">
        <v>35841400</v>
      </c>
      <c r="C13">
        <v>36513372</v>
      </c>
      <c r="D13">
        <v>29172554</v>
      </c>
      <c r="E13">
        <v>1</v>
      </c>
      <c r="F13">
        <v>1</v>
      </c>
      <c r="G13">
        <v>1</v>
      </c>
      <c r="H13">
        <v>2</v>
      </c>
      <c r="I13" t="s">
        <v>375</v>
      </c>
      <c r="J13" t="s">
        <v>376</v>
      </c>
      <c r="K13" t="s">
        <v>377</v>
      </c>
      <c r="L13">
        <v>1368</v>
      </c>
      <c r="N13">
        <v>1011</v>
      </c>
      <c r="O13" t="s">
        <v>367</v>
      </c>
      <c r="P13" t="s">
        <v>367</v>
      </c>
      <c r="Q13">
        <v>1</v>
      </c>
      <c r="W13">
        <v>0</v>
      </c>
      <c r="X13">
        <v>-1902254956</v>
      </c>
      <c r="Y13">
        <v>0.04</v>
      </c>
      <c r="AA13">
        <v>0</v>
      </c>
      <c r="AB13">
        <v>429.56</v>
      </c>
      <c r="AC13">
        <v>389.76</v>
      </c>
      <c r="AD13">
        <v>0</v>
      </c>
      <c r="AE13">
        <v>0</v>
      </c>
      <c r="AF13">
        <v>27.66</v>
      </c>
      <c r="AG13">
        <v>11.6</v>
      </c>
      <c r="AH13">
        <v>0</v>
      </c>
      <c r="AI13">
        <v>1</v>
      </c>
      <c r="AJ13">
        <v>15.53</v>
      </c>
      <c r="AK13">
        <v>33.6</v>
      </c>
      <c r="AL13">
        <v>1</v>
      </c>
      <c r="AN13">
        <v>0</v>
      </c>
      <c r="AO13">
        <v>1</v>
      </c>
      <c r="AP13">
        <v>1</v>
      </c>
      <c r="AQ13">
        <v>0</v>
      </c>
      <c r="AR13">
        <v>0</v>
      </c>
      <c r="AS13" t="s">
        <v>3</v>
      </c>
      <c r="AT13">
        <v>0.04</v>
      </c>
      <c r="AU13" t="s">
        <v>3</v>
      </c>
      <c r="AV13">
        <v>0</v>
      </c>
      <c r="AW13">
        <v>2</v>
      </c>
      <c r="AX13">
        <v>37181266</v>
      </c>
      <c r="AY13">
        <v>1</v>
      </c>
      <c r="AZ13">
        <v>0</v>
      </c>
      <c r="BA13">
        <v>13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CX13">
        <f>Y13*Source!I73</f>
        <v>5.1559999999999995E-2</v>
      </c>
      <c r="CY13">
        <f>AB13</f>
        <v>429.56</v>
      </c>
      <c r="CZ13">
        <f>AF13</f>
        <v>27.66</v>
      </c>
      <c r="DA13">
        <f>AJ13</f>
        <v>15.53</v>
      </c>
      <c r="DB13">
        <f t="shared" si="2"/>
        <v>1.1100000000000001</v>
      </c>
      <c r="DC13">
        <f t="shared" si="3"/>
        <v>0.46</v>
      </c>
    </row>
    <row r="14" spans="1:107">
      <c r="A14">
        <f>ROW(Source!A73)</f>
        <v>73</v>
      </c>
      <c r="B14">
        <v>35841400</v>
      </c>
      <c r="C14">
        <v>36513372</v>
      </c>
      <c r="D14">
        <v>29174653</v>
      </c>
      <c r="E14">
        <v>1</v>
      </c>
      <c r="F14">
        <v>1</v>
      </c>
      <c r="G14">
        <v>1</v>
      </c>
      <c r="H14">
        <v>2</v>
      </c>
      <c r="I14" t="s">
        <v>378</v>
      </c>
      <c r="J14" t="s">
        <v>379</v>
      </c>
      <c r="K14" t="s">
        <v>380</v>
      </c>
      <c r="L14">
        <v>1368</v>
      </c>
      <c r="N14">
        <v>1011</v>
      </c>
      <c r="O14" t="s">
        <v>367</v>
      </c>
      <c r="P14" t="s">
        <v>367</v>
      </c>
      <c r="Q14">
        <v>1</v>
      </c>
      <c r="W14">
        <v>0</v>
      </c>
      <c r="X14">
        <v>2094841884</v>
      </c>
      <c r="Y14">
        <v>5.12</v>
      </c>
      <c r="AA14">
        <v>0</v>
      </c>
      <c r="AB14">
        <v>31.51</v>
      </c>
      <c r="AC14">
        <v>0</v>
      </c>
      <c r="AD14">
        <v>0</v>
      </c>
      <c r="AE14">
        <v>0</v>
      </c>
      <c r="AF14">
        <v>6.82</v>
      </c>
      <c r="AG14">
        <v>0</v>
      </c>
      <c r="AH14">
        <v>0</v>
      </c>
      <c r="AI14">
        <v>1</v>
      </c>
      <c r="AJ14">
        <v>4.62</v>
      </c>
      <c r="AK14">
        <v>33.6</v>
      </c>
      <c r="AL14">
        <v>1</v>
      </c>
      <c r="AN14">
        <v>0</v>
      </c>
      <c r="AO14">
        <v>1</v>
      </c>
      <c r="AP14">
        <v>1</v>
      </c>
      <c r="AQ14">
        <v>0</v>
      </c>
      <c r="AR14">
        <v>0</v>
      </c>
      <c r="AS14" t="s">
        <v>3</v>
      </c>
      <c r="AT14">
        <v>5.12</v>
      </c>
      <c r="AU14" t="s">
        <v>3</v>
      </c>
      <c r="AV14">
        <v>0</v>
      </c>
      <c r="AW14">
        <v>2</v>
      </c>
      <c r="AX14">
        <v>37181267</v>
      </c>
      <c r="AY14">
        <v>1</v>
      </c>
      <c r="AZ14">
        <v>0</v>
      </c>
      <c r="BA14">
        <v>14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CX14">
        <f>Y14*Source!I73</f>
        <v>6.5996799999999993</v>
      </c>
      <c r="CY14">
        <f>AB14</f>
        <v>31.51</v>
      </c>
      <c r="CZ14">
        <f>AF14</f>
        <v>6.82</v>
      </c>
      <c r="DA14">
        <f>AJ14</f>
        <v>4.62</v>
      </c>
      <c r="DB14">
        <f t="shared" si="2"/>
        <v>34.92</v>
      </c>
      <c r="DC14">
        <f t="shared" si="3"/>
        <v>0</v>
      </c>
    </row>
    <row r="15" spans="1:107">
      <c r="A15">
        <f>ROW(Source!A73)</f>
        <v>73</v>
      </c>
      <c r="B15">
        <v>35841400</v>
      </c>
      <c r="C15">
        <v>36513372</v>
      </c>
      <c r="D15">
        <v>29174913</v>
      </c>
      <c r="E15">
        <v>1</v>
      </c>
      <c r="F15">
        <v>1</v>
      </c>
      <c r="G15">
        <v>1</v>
      </c>
      <c r="H15">
        <v>2</v>
      </c>
      <c r="I15" t="s">
        <v>381</v>
      </c>
      <c r="J15" t="s">
        <v>382</v>
      </c>
      <c r="K15" t="s">
        <v>383</v>
      </c>
      <c r="L15">
        <v>1368</v>
      </c>
      <c r="N15">
        <v>1011</v>
      </c>
      <c r="O15" t="s">
        <v>367</v>
      </c>
      <c r="P15" t="s">
        <v>367</v>
      </c>
      <c r="Q15">
        <v>1</v>
      </c>
      <c r="W15">
        <v>0</v>
      </c>
      <c r="X15">
        <v>1230759911</v>
      </c>
      <c r="Y15">
        <v>0.1</v>
      </c>
      <c r="AA15">
        <v>0</v>
      </c>
      <c r="AB15">
        <v>932.72</v>
      </c>
      <c r="AC15">
        <v>389.76</v>
      </c>
      <c r="AD15">
        <v>0</v>
      </c>
      <c r="AE15">
        <v>0</v>
      </c>
      <c r="AF15">
        <v>87.17</v>
      </c>
      <c r="AG15">
        <v>11.6</v>
      </c>
      <c r="AH15">
        <v>0</v>
      </c>
      <c r="AI15">
        <v>1</v>
      </c>
      <c r="AJ15">
        <v>10.7</v>
      </c>
      <c r="AK15">
        <v>33.6</v>
      </c>
      <c r="AL15">
        <v>1</v>
      </c>
      <c r="AN15">
        <v>0</v>
      </c>
      <c r="AO15">
        <v>1</v>
      </c>
      <c r="AP15">
        <v>1</v>
      </c>
      <c r="AQ15">
        <v>0</v>
      </c>
      <c r="AR15">
        <v>0</v>
      </c>
      <c r="AS15" t="s">
        <v>3</v>
      </c>
      <c r="AT15">
        <v>0.1</v>
      </c>
      <c r="AU15" t="s">
        <v>3</v>
      </c>
      <c r="AV15">
        <v>0</v>
      </c>
      <c r="AW15">
        <v>2</v>
      </c>
      <c r="AX15">
        <v>37181268</v>
      </c>
      <c r="AY15">
        <v>1</v>
      </c>
      <c r="AZ15">
        <v>0</v>
      </c>
      <c r="BA15">
        <v>15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CX15">
        <f>Y15*Source!I73</f>
        <v>0.12889999999999999</v>
      </c>
      <c r="CY15">
        <f>AB15</f>
        <v>932.72</v>
      </c>
      <c r="CZ15">
        <f>AF15</f>
        <v>87.17</v>
      </c>
      <c r="DA15">
        <f>AJ15</f>
        <v>10.7</v>
      </c>
      <c r="DB15">
        <f t="shared" si="2"/>
        <v>8.7200000000000006</v>
      </c>
      <c r="DC15">
        <f t="shared" si="3"/>
        <v>1.1599999999999999</v>
      </c>
    </row>
    <row r="16" spans="1:107">
      <c r="A16">
        <f>ROW(Source!A73)</f>
        <v>73</v>
      </c>
      <c r="B16">
        <v>35841400</v>
      </c>
      <c r="C16">
        <v>36513372</v>
      </c>
      <c r="D16">
        <v>29107800</v>
      </c>
      <c r="E16">
        <v>1</v>
      </c>
      <c r="F16">
        <v>1</v>
      </c>
      <c r="G16">
        <v>1</v>
      </c>
      <c r="H16">
        <v>3</v>
      </c>
      <c r="I16" t="s">
        <v>384</v>
      </c>
      <c r="J16" t="s">
        <v>385</v>
      </c>
      <c r="K16" t="s">
        <v>386</v>
      </c>
      <c r="L16">
        <v>1346</v>
      </c>
      <c r="N16">
        <v>1009</v>
      </c>
      <c r="O16" t="s">
        <v>151</v>
      </c>
      <c r="P16" t="s">
        <v>151</v>
      </c>
      <c r="Q16">
        <v>1</v>
      </c>
      <c r="W16">
        <v>0</v>
      </c>
      <c r="X16">
        <v>644139035</v>
      </c>
      <c r="Y16">
        <v>1</v>
      </c>
      <c r="AA16">
        <v>46.61</v>
      </c>
      <c r="AB16">
        <v>0</v>
      </c>
      <c r="AC16">
        <v>0</v>
      </c>
      <c r="AD16">
        <v>0</v>
      </c>
      <c r="AE16">
        <v>1.81</v>
      </c>
      <c r="AF16">
        <v>0</v>
      </c>
      <c r="AG16">
        <v>0</v>
      </c>
      <c r="AH16">
        <v>0</v>
      </c>
      <c r="AI16">
        <v>25.75</v>
      </c>
      <c r="AJ16">
        <v>1</v>
      </c>
      <c r="AK16">
        <v>1</v>
      </c>
      <c r="AL16">
        <v>1</v>
      </c>
      <c r="AN16">
        <v>0</v>
      </c>
      <c r="AO16">
        <v>1</v>
      </c>
      <c r="AP16">
        <v>0</v>
      </c>
      <c r="AQ16">
        <v>0</v>
      </c>
      <c r="AR16">
        <v>0</v>
      </c>
      <c r="AS16" t="s">
        <v>3</v>
      </c>
      <c r="AT16">
        <v>1</v>
      </c>
      <c r="AU16" t="s">
        <v>3</v>
      </c>
      <c r="AV16">
        <v>0</v>
      </c>
      <c r="AW16">
        <v>2</v>
      </c>
      <c r="AX16">
        <v>37181269</v>
      </c>
      <c r="AY16">
        <v>1</v>
      </c>
      <c r="AZ16">
        <v>0</v>
      </c>
      <c r="BA16">
        <v>16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CX16">
        <f>Y16*Source!I73</f>
        <v>1.2889999999999999</v>
      </c>
      <c r="CY16">
        <f>AA16</f>
        <v>46.61</v>
      </c>
      <c r="CZ16">
        <f>AE16</f>
        <v>1.81</v>
      </c>
      <c r="DA16">
        <f>AI16</f>
        <v>25.75</v>
      </c>
      <c r="DB16">
        <f t="shared" si="2"/>
        <v>1.81</v>
      </c>
      <c r="DC16">
        <f t="shared" si="3"/>
        <v>0</v>
      </c>
    </row>
    <row r="17" spans="1:107">
      <c r="A17">
        <f>ROW(Source!A73)</f>
        <v>73</v>
      </c>
      <c r="B17">
        <v>35841400</v>
      </c>
      <c r="C17">
        <v>36513372</v>
      </c>
      <c r="D17">
        <v>29122063</v>
      </c>
      <c r="E17">
        <v>1</v>
      </c>
      <c r="F17">
        <v>1</v>
      </c>
      <c r="G17">
        <v>1</v>
      </c>
      <c r="H17">
        <v>3</v>
      </c>
      <c r="I17" t="s">
        <v>387</v>
      </c>
      <c r="J17" t="s">
        <v>388</v>
      </c>
      <c r="K17" t="s">
        <v>389</v>
      </c>
      <c r="L17">
        <v>1346</v>
      </c>
      <c r="N17">
        <v>1009</v>
      </c>
      <c r="O17" t="s">
        <v>151</v>
      </c>
      <c r="P17" t="s">
        <v>151</v>
      </c>
      <c r="Q17">
        <v>1</v>
      </c>
      <c r="W17">
        <v>0</v>
      </c>
      <c r="X17">
        <v>1129793306</v>
      </c>
      <c r="Y17">
        <v>9.1999999999999993</v>
      </c>
      <c r="AA17">
        <v>171.04</v>
      </c>
      <c r="AB17">
        <v>0</v>
      </c>
      <c r="AC17">
        <v>0</v>
      </c>
      <c r="AD17">
        <v>0</v>
      </c>
      <c r="AE17">
        <v>16.59</v>
      </c>
      <c r="AF17">
        <v>0</v>
      </c>
      <c r="AG17">
        <v>0</v>
      </c>
      <c r="AH17">
        <v>0</v>
      </c>
      <c r="AI17">
        <v>10.31</v>
      </c>
      <c r="AJ17">
        <v>1</v>
      </c>
      <c r="AK17">
        <v>1</v>
      </c>
      <c r="AL17">
        <v>1</v>
      </c>
      <c r="AN17">
        <v>0</v>
      </c>
      <c r="AO17">
        <v>1</v>
      </c>
      <c r="AP17">
        <v>0</v>
      </c>
      <c r="AQ17">
        <v>0</v>
      </c>
      <c r="AR17">
        <v>0</v>
      </c>
      <c r="AS17" t="s">
        <v>3</v>
      </c>
      <c r="AT17">
        <v>9.1999999999999993</v>
      </c>
      <c r="AU17" t="s">
        <v>3</v>
      </c>
      <c r="AV17">
        <v>0</v>
      </c>
      <c r="AW17">
        <v>2</v>
      </c>
      <c r="AX17">
        <v>37181270</v>
      </c>
      <c r="AY17">
        <v>1</v>
      </c>
      <c r="AZ17">
        <v>0</v>
      </c>
      <c r="BA17">
        <v>17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CX17">
        <f>Y17*Source!I73</f>
        <v>11.858799999999999</v>
      </c>
      <c r="CY17">
        <f>AA17</f>
        <v>171.04</v>
      </c>
      <c r="CZ17">
        <f>AE17</f>
        <v>16.59</v>
      </c>
      <c r="DA17">
        <f>AI17</f>
        <v>10.31</v>
      </c>
      <c r="DB17">
        <f t="shared" si="2"/>
        <v>152.63</v>
      </c>
      <c r="DC17">
        <f t="shared" si="3"/>
        <v>0</v>
      </c>
    </row>
    <row r="18" spans="1:107">
      <c r="A18">
        <f>ROW(Source!A73)</f>
        <v>73</v>
      </c>
      <c r="B18">
        <v>35841400</v>
      </c>
      <c r="C18">
        <v>36513372</v>
      </c>
      <c r="D18">
        <v>29150040</v>
      </c>
      <c r="E18">
        <v>1</v>
      </c>
      <c r="F18">
        <v>1</v>
      </c>
      <c r="G18">
        <v>1</v>
      </c>
      <c r="H18">
        <v>3</v>
      </c>
      <c r="I18" t="s">
        <v>390</v>
      </c>
      <c r="J18" t="s">
        <v>391</v>
      </c>
      <c r="K18" t="s">
        <v>392</v>
      </c>
      <c r="L18">
        <v>1339</v>
      </c>
      <c r="N18">
        <v>1007</v>
      </c>
      <c r="O18" t="s">
        <v>393</v>
      </c>
      <c r="P18" t="s">
        <v>393</v>
      </c>
      <c r="Q18">
        <v>1</v>
      </c>
      <c r="W18">
        <v>0</v>
      </c>
      <c r="X18">
        <v>619799737</v>
      </c>
      <c r="Y18">
        <v>0.01</v>
      </c>
      <c r="AA18">
        <v>22.2</v>
      </c>
      <c r="AB18">
        <v>0</v>
      </c>
      <c r="AC18">
        <v>0</v>
      </c>
      <c r="AD18">
        <v>0</v>
      </c>
      <c r="AE18">
        <v>2.44</v>
      </c>
      <c r="AF18">
        <v>0</v>
      </c>
      <c r="AG18">
        <v>0</v>
      </c>
      <c r="AH18">
        <v>0</v>
      </c>
      <c r="AI18">
        <v>9.1</v>
      </c>
      <c r="AJ18">
        <v>1</v>
      </c>
      <c r="AK18">
        <v>1</v>
      </c>
      <c r="AL18">
        <v>1</v>
      </c>
      <c r="AN18">
        <v>0</v>
      </c>
      <c r="AO18">
        <v>1</v>
      </c>
      <c r="AP18">
        <v>0</v>
      </c>
      <c r="AQ18">
        <v>0</v>
      </c>
      <c r="AR18">
        <v>0</v>
      </c>
      <c r="AS18" t="s">
        <v>3</v>
      </c>
      <c r="AT18">
        <v>0.01</v>
      </c>
      <c r="AU18" t="s">
        <v>3</v>
      </c>
      <c r="AV18">
        <v>0</v>
      </c>
      <c r="AW18">
        <v>2</v>
      </c>
      <c r="AX18">
        <v>37181271</v>
      </c>
      <c r="AY18">
        <v>1</v>
      </c>
      <c r="AZ18">
        <v>0</v>
      </c>
      <c r="BA18">
        <v>18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CX18">
        <f>Y18*Source!I73</f>
        <v>1.2889999999999999E-2</v>
      </c>
      <c r="CY18">
        <f>AA18</f>
        <v>22.2</v>
      </c>
      <c r="CZ18">
        <f>AE18</f>
        <v>2.44</v>
      </c>
      <c r="DA18">
        <f>AI18</f>
        <v>9.1</v>
      </c>
      <c r="DB18">
        <f t="shared" si="2"/>
        <v>0.02</v>
      </c>
      <c r="DC18">
        <f t="shared" si="3"/>
        <v>0</v>
      </c>
    </row>
    <row r="19" spans="1:107">
      <c r="A19">
        <f>ROW(Source!A74)</f>
        <v>74</v>
      </c>
      <c r="B19">
        <v>35841400</v>
      </c>
      <c r="C19">
        <v>36513381</v>
      </c>
      <c r="D19">
        <v>18409850</v>
      </c>
      <c r="E19">
        <v>1</v>
      </c>
      <c r="F19">
        <v>1</v>
      </c>
      <c r="G19">
        <v>1</v>
      </c>
      <c r="H19">
        <v>1</v>
      </c>
      <c r="I19" t="s">
        <v>394</v>
      </c>
      <c r="J19" t="s">
        <v>3</v>
      </c>
      <c r="K19" t="s">
        <v>395</v>
      </c>
      <c r="L19">
        <v>1369</v>
      </c>
      <c r="N19">
        <v>1013</v>
      </c>
      <c r="O19" t="s">
        <v>361</v>
      </c>
      <c r="P19" t="s">
        <v>361</v>
      </c>
      <c r="Q19">
        <v>1</v>
      </c>
      <c r="W19">
        <v>0</v>
      </c>
      <c r="X19">
        <v>855544366</v>
      </c>
      <c r="Y19">
        <v>81.649999999999991</v>
      </c>
      <c r="AA19">
        <v>0</v>
      </c>
      <c r="AB19">
        <v>0</v>
      </c>
      <c r="AC19">
        <v>0</v>
      </c>
      <c r="AD19">
        <v>300.99</v>
      </c>
      <c r="AE19">
        <v>0</v>
      </c>
      <c r="AF19">
        <v>0</v>
      </c>
      <c r="AG19">
        <v>0</v>
      </c>
      <c r="AH19">
        <v>300.99</v>
      </c>
      <c r="AI19">
        <v>1</v>
      </c>
      <c r="AJ19">
        <v>1</v>
      </c>
      <c r="AK19">
        <v>1</v>
      </c>
      <c r="AL19">
        <v>1</v>
      </c>
      <c r="AN19">
        <v>0</v>
      </c>
      <c r="AO19">
        <v>1</v>
      </c>
      <c r="AP19">
        <v>1</v>
      </c>
      <c r="AQ19">
        <v>0</v>
      </c>
      <c r="AR19">
        <v>0</v>
      </c>
      <c r="AS19" t="s">
        <v>3</v>
      </c>
      <c r="AT19">
        <v>71</v>
      </c>
      <c r="AU19" t="s">
        <v>114</v>
      </c>
      <c r="AV19">
        <v>1</v>
      </c>
      <c r="AW19">
        <v>2</v>
      </c>
      <c r="AX19">
        <v>37181272</v>
      </c>
      <c r="AY19">
        <v>1</v>
      </c>
      <c r="AZ19">
        <v>0</v>
      </c>
      <c r="BA19">
        <v>19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CX19">
        <f>Y19*Source!I74</f>
        <v>41.641499999999994</v>
      </c>
      <c r="CY19">
        <f>AD19</f>
        <v>300.99</v>
      </c>
      <c r="CZ19">
        <f>AH19</f>
        <v>300.99</v>
      </c>
      <c r="DA19">
        <f>AL19</f>
        <v>1</v>
      </c>
      <c r="DB19">
        <f>ROUND((ROUND(AT19*CZ19,2)*1.15),6)</f>
        <v>24575.833500000001</v>
      </c>
      <c r="DC19">
        <f>ROUND((ROUND(AT19*AG19,2)*1.15),6)</f>
        <v>0</v>
      </c>
    </row>
    <row r="20" spans="1:107">
      <c r="A20">
        <f>ROW(Source!A74)</f>
        <v>74</v>
      </c>
      <c r="B20">
        <v>35841400</v>
      </c>
      <c r="C20">
        <v>36513381</v>
      </c>
      <c r="D20">
        <v>29173472</v>
      </c>
      <c r="E20">
        <v>1</v>
      </c>
      <c r="F20">
        <v>1</v>
      </c>
      <c r="G20">
        <v>1</v>
      </c>
      <c r="H20">
        <v>2</v>
      </c>
      <c r="I20" t="s">
        <v>396</v>
      </c>
      <c r="J20" t="s">
        <v>397</v>
      </c>
      <c r="K20" t="s">
        <v>398</v>
      </c>
      <c r="L20">
        <v>1368</v>
      </c>
      <c r="N20">
        <v>1011</v>
      </c>
      <c r="O20" t="s">
        <v>367</v>
      </c>
      <c r="P20" t="s">
        <v>367</v>
      </c>
      <c r="Q20">
        <v>1</v>
      </c>
      <c r="W20">
        <v>0</v>
      </c>
      <c r="X20">
        <v>-1937814132</v>
      </c>
      <c r="Y20">
        <v>1.55</v>
      </c>
      <c r="AA20">
        <v>0</v>
      </c>
      <c r="AB20">
        <v>12.75</v>
      </c>
      <c r="AC20">
        <v>0</v>
      </c>
      <c r="AD20">
        <v>0</v>
      </c>
      <c r="AE20">
        <v>0</v>
      </c>
      <c r="AF20">
        <v>3</v>
      </c>
      <c r="AG20">
        <v>0</v>
      </c>
      <c r="AH20">
        <v>0</v>
      </c>
      <c r="AI20">
        <v>1</v>
      </c>
      <c r="AJ20">
        <v>4.25</v>
      </c>
      <c r="AK20">
        <v>33.6</v>
      </c>
      <c r="AL20">
        <v>1</v>
      </c>
      <c r="AN20">
        <v>0</v>
      </c>
      <c r="AO20">
        <v>1</v>
      </c>
      <c r="AP20">
        <v>1</v>
      </c>
      <c r="AQ20">
        <v>0</v>
      </c>
      <c r="AR20">
        <v>0</v>
      </c>
      <c r="AS20" t="s">
        <v>3</v>
      </c>
      <c r="AT20">
        <v>1.55</v>
      </c>
      <c r="AU20" t="s">
        <v>3</v>
      </c>
      <c r="AV20">
        <v>0</v>
      </c>
      <c r="AW20">
        <v>2</v>
      </c>
      <c r="AX20">
        <v>37181273</v>
      </c>
      <c r="AY20">
        <v>1</v>
      </c>
      <c r="AZ20">
        <v>0</v>
      </c>
      <c r="BA20">
        <v>20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CX20">
        <f>Y20*Source!I74</f>
        <v>0.79050000000000009</v>
      </c>
      <c r="CY20">
        <f>AB20</f>
        <v>12.75</v>
      </c>
      <c r="CZ20">
        <f>AF20</f>
        <v>3</v>
      </c>
      <c r="DA20">
        <f>AJ20</f>
        <v>4.25</v>
      </c>
      <c r="DB20">
        <f t="shared" ref="DB20:DB37" si="4">ROUND(ROUND(AT20*CZ20,2),6)</f>
        <v>4.6500000000000004</v>
      </c>
      <c r="DC20">
        <f t="shared" ref="DC20:DC37" si="5">ROUND(ROUND(AT20*AG20,2),6)</f>
        <v>0</v>
      </c>
    </row>
    <row r="21" spans="1:107">
      <c r="A21">
        <f>ROW(Source!A74)</f>
        <v>74</v>
      </c>
      <c r="B21">
        <v>35841400</v>
      </c>
      <c r="C21">
        <v>36513381</v>
      </c>
      <c r="D21">
        <v>29174538</v>
      </c>
      <c r="E21">
        <v>1</v>
      </c>
      <c r="F21">
        <v>1</v>
      </c>
      <c r="G21">
        <v>1</v>
      </c>
      <c r="H21">
        <v>2</v>
      </c>
      <c r="I21" t="s">
        <v>399</v>
      </c>
      <c r="J21" t="s">
        <v>400</v>
      </c>
      <c r="K21" t="s">
        <v>401</v>
      </c>
      <c r="L21">
        <v>1368</v>
      </c>
      <c r="N21">
        <v>1011</v>
      </c>
      <c r="O21" t="s">
        <v>367</v>
      </c>
      <c r="P21" t="s">
        <v>367</v>
      </c>
      <c r="Q21">
        <v>1</v>
      </c>
      <c r="W21">
        <v>0</v>
      </c>
      <c r="X21">
        <v>1535098105</v>
      </c>
      <c r="Y21">
        <v>0.38</v>
      </c>
      <c r="AA21">
        <v>0</v>
      </c>
      <c r="AB21">
        <v>187.1</v>
      </c>
      <c r="AC21">
        <v>0</v>
      </c>
      <c r="AD21">
        <v>0</v>
      </c>
      <c r="AE21">
        <v>0</v>
      </c>
      <c r="AF21">
        <v>33.590000000000003</v>
      </c>
      <c r="AG21">
        <v>0</v>
      </c>
      <c r="AH21">
        <v>0</v>
      </c>
      <c r="AI21">
        <v>1</v>
      </c>
      <c r="AJ21">
        <v>5.57</v>
      </c>
      <c r="AK21">
        <v>33.6</v>
      </c>
      <c r="AL21">
        <v>1</v>
      </c>
      <c r="AN21">
        <v>0</v>
      </c>
      <c r="AO21">
        <v>1</v>
      </c>
      <c r="AP21">
        <v>1</v>
      </c>
      <c r="AQ21">
        <v>0</v>
      </c>
      <c r="AR21">
        <v>0</v>
      </c>
      <c r="AS21" t="s">
        <v>3</v>
      </c>
      <c r="AT21">
        <v>0.38</v>
      </c>
      <c r="AU21" t="s">
        <v>3</v>
      </c>
      <c r="AV21">
        <v>0</v>
      </c>
      <c r="AW21">
        <v>2</v>
      </c>
      <c r="AX21">
        <v>37181274</v>
      </c>
      <c r="AY21">
        <v>1</v>
      </c>
      <c r="AZ21">
        <v>0</v>
      </c>
      <c r="BA21">
        <v>21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CX21">
        <f>Y21*Source!I74</f>
        <v>0.1938</v>
      </c>
      <c r="CY21">
        <f>AB21</f>
        <v>187.1</v>
      </c>
      <c r="CZ21">
        <f>AF21</f>
        <v>33.590000000000003</v>
      </c>
      <c r="DA21">
        <f>AJ21</f>
        <v>5.57</v>
      </c>
      <c r="DB21">
        <f t="shared" si="4"/>
        <v>12.76</v>
      </c>
      <c r="DC21">
        <f t="shared" si="5"/>
        <v>0</v>
      </c>
    </row>
    <row r="22" spans="1:107">
      <c r="A22">
        <f>ROW(Source!A74)</f>
        <v>74</v>
      </c>
      <c r="B22">
        <v>35841400</v>
      </c>
      <c r="C22">
        <v>36513381</v>
      </c>
      <c r="D22">
        <v>29174580</v>
      </c>
      <c r="E22">
        <v>1</v>
      </c>
      <c r="F22">
        <v>1</v>
      </c>
      <c r="G22">
        <v>1</v>
      </c>
      <c r="H22">
        <v>2</v>
      </c>
      <c r="I22" t="s">
        <v>402</v>
      </c>
      <c r="J22" t="s">
        <v>403</v>
      </c>
      <c r="K22" t="s">
        <v>404</v>
      </c>
      <c r="L22">
        <v>1368</v>
      </c>
      <c r="N22">
        <v>1011</v>
      </c>
      <c r="O22" t="s">
        <v>367</v>
      </c>
      <c r="P22" t="s">
        <v>367</v>
      </c>
      <c r="Q22">
        <v>1</v>
      </c>
      <c r="W22">
        <v>0</v>
      </c>
      <c r="X22">
        <v>-991672839</v>
      </c>
      <c r="Y22">
        <v>0.51</v>
      </c>
      <c r="AA22">
        <v>0</v>
      </c>
      <c r="AB22">
        <v>31.87</v>
      </c>
      <c r="AC22">
        <v>0</v>
      </c>
      <c r="AD22">
        <v>0</v>
      </c>
      <c r="AE22">
        <v>0</v>
      </c>
      <c r="AF22">
        <v>2.08</v>
      </c>
      <c r="AG22">
        <v>0</v>
      </c>
      <c r="AH22">
        <v>0</v>
      </c>
      <c r="AI22">
        <v>1</v>
      </c>
      <c r="AJ22">
        <v>15.32</v>
      </c>
      <c r="AK22">
        <v>33.6</v>
      </c>
      <c r="AL22">
        <v>1</v>
      </c>
      <c r="AN22">
        <v>0</v>
      </c>
      <c r="AO22">
        <v>1</v>
      </c>
      <c r="AP22">
        <v>1</v>
      </c>
      <c r="AQ22">
        <v>0</v>
      </c>
      <c r="AR22">
        <v>0</v>
      </c>
      <c r="AS22" t="s">
        <v>3</v>
      </c>
      <c r="AT22">
        <v>0.51</v>
      </c>
      <c r="AU22" t="s">
        <v>3</v>
      </c>
      <c r="AV22">
        <v>0</v>
      </c>
      <c r="AW22">
        <v>2</v>
      </c>
      <c r="AX22">
        <v>37181275</v>
      </c>
      <c r="AY22">
        <v>1</v>
      </c>
      <c r="AZ22">
        <v>0</v>
      </c>
      <c r="BA22">
        <v>22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CX22">
        <f>Y22*Source!I74</f>
        <v>0.2601</v>
      </c>
      <c r="CY22">
        <f>AB22</f>
        <v>31.87</v>
      </c>
      <c r="CZ22">
        <f>AF22</f>
        <v>2.08</v>
      </c>
      <c r="DA22">
        <f>AJ22</f>
        <v>15.32</v>
      </c>
      <c r="DB22">
        <f t="shared" si="4"/>
        <v>1.06</v>
      </c>
      <c r="DC22">
        <f t="shared" si="5"/>
        <v>0</v>
      </c>
    </row>
    <row r="23" spans="1:107">
      <c r="A23">
        <f>ROW(Source!A74)</f>
        <v>74</v>
      </c>
      <c r="B23">
        <v>35841400</v>
      </c>
      <c r="C23">
        <v>36513381</v>
      </c>
      <c r="D23">
        <v>29108656</v>
      </c>
      <c r="E23">
        <v>1</v>
      </c>
      <c r="F23">
        <v>1</v>
      </c>
      <c r="G23">
        <v>1</v>
      </c>
      <c r="H23">
        <v>3</v>
      </c>
      <c r="I23" t="s">
        <v>405</v>
      </c>
      <c r="J23" t="s">
        <v>406</v>
      </c>
      <c r="K23" t="s">
        <v>407</v>
      </c>
      <c r="L23">
        <v>1354</v>
      </c>
      <c r="N23">
        <v>1010</v>
      </c>
      <c r="O23" t="s">
        <v>195</v>
      </c>
      <c r="P23" t="s">
        <v>195</v>
      </c>
      <c r="Q23">
        <v>1</v>
      </c>
      <c r="W23">
        <v>0</v>
      </c>
      <c r="X23">
        <v>-1828430493</v>
      </c>
      <c r="Y23">
        <v>7</v>
      </c>
      <c r="AA23">
        <v>112.21</v>
      </c>
      <c r="AB23">
        <v>0</v>
      </c>
      <c r="AC23">
        <v>0</v>
      </c>
      <c r="AD23">
        <v>0</v>
      </c>
      <c r="AE23">
        <v>13.87</v>
      </c>
      <c r="AF23">
        <v>0</v>
      </c>
      <c r="AG23">
        <v>0</v>
      </c>
      <c r="AH23">
        <v>0</v>
      </c>
      <c r="AI23">
        <v>8.09</v>
      </c>
      <c r="AJ23">
        <v>1</v>
      </c>
      <c r="AK23">
        <v>1</v>
      </c>
      <c r="AL23">
        <v>1</v>
      </c>
      <c r="AN23">
        <v>0</v>
      </c>
      <c r="AO23">
        <v>1</v>
      </c>
      <c r="AP23">
        <v>0</v>
      </c>
      <c r="AQ23">
        <v>0</v>
      </c>
      <c r="AR23">
        <v>0</v>
      </c>
      <c r="AS23" t="s">
        <v>3</v>
      </c>
      <c r="AT23">
        <v>7</v>
      </c>
      <c r="AU23" t="s">
        <v>3</v>
      </c>
      <c r="AV23">
        <v>0</v>
      </c>
      <c r="AW23">
        <v>2</v>
      </c>
      <c r="AX23">
        <v>37181276</v>
      </c>
      <c r="AY23">
        <v>1</v>
      </c>
      <c r="AZ23">
        <v>0</v>
      </c>
      <c r="BA23">
        <v>23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CX23">
        <f>Y23*Source!I74</f>
        <v>3.5700000000000003</v>
      </c>
      <c r="CY23">
        <f t="shared" ref="CY23:CY37" si="6">AA23</f>
        <v>112.21</v>
      </c>
      <c r="CZ23">
        <f t="shared" ref="CZ23:CZ37" si="7">AE23</f>
        <v>13.87</v>
      </c>
      <c r="DA23">
        <f t="shared" ref="DA23:DA37" si="8">AI23</f>
        <v>8.09</v>
      </c>
      <c r="DB23">
        <f t="shared" si="4"/>
        <v>97.09</v>
      </c>
      <c r="DC23">
        <f t="shared" si="5"/>
        <v>0</v>
      </c>
    </row>
    <row r="24" spans="1:107">
      <c r="A24">
        <f>ROW(Source!A74)</f>
        <v>74</v>
      </c>
      <c r="B24">
        <v>35841400</v>
      </c>
      <c r="C24">
        <v>36513381</v>
      </c>
      <c r="D24">
        <v>29109354</v>
      </c>
      <c r="E24">
        <v>1</v>
      </c>
      <c r="F24">
        <v>1</v>
      </c>
      <c r="G24">
        <v>1</v>
      </c>
      <c r="H24">
        <v>3</v>
      </c>
      <c r="I24" t="s">
        <v>408</v>
      </c>
      <c r="J24" t="s">
        <v>409</v>
      </c>
      <c r="K24" t="s">
        <v>410</v>
      </c>
      <c r="L24">
        <v>1346</v>
      </c>
      <c r="N24">
        <v>1009</v>
      </c>
      <c r="O24" t="s">
        <v>151</v>
      </c>
      <c r="P24" t="s">
        <v>151</v>
      </c>
      <c r="Q24">
        <v>1</v>
      </c>
      <c r="W24">
        <v>0</v>
      </c>
      <c r="X24">
        <v>-946734149</v>
      </c>
      <c r="Y24">
        <v>10</v>
      </c>
      <c r="AA24">
        <v>64.010000000000005</v>
      </c>
      <c r="AB24">
        <v>0</v>
      </c>
      <c r="AC24">
        <v>0</v>
      </c>
      <c r="AD24">
        <v>0</v>
      </c>
      <c r="AE24">
        <v>46.72</v>
      </c>
      <c r="AF24">
        <v>0</v>
      </c>
      <c r="AG24">
        <v>0</v>
      </c>
      <c r="AH24">
        <v>0</v>
      </c>
      <c r="AI24">
        <v>1.37</v>
      </c>
      <c r="AJ24">
        <v>1</v>
      </c>
      <c r="AK24">
        <v>1</v>
      </c>
      <c r="AL24">
        <v>1</v>
      </c>
      <c r="AN24">
        <v>0</v>
      </c>
      <c r="AO24">
        <v>1</v>
      </c>
      <c r="AP24">
        <v>0</v>
      </c>
      <c r="AQ24">
        <v>0</v>
      </c>
      <c r="AR24">
        <v>0</v>
      </c>
      <c r="AS24" t="s">
        <v>3</v>
      </c>
      <c r="AT24">
        <v>10</v>
      </c>
      <c r="AU24" t="s">
        <v>3</v>
      </c>
      <c r="AV24">
        <v>0</v>
      </c>
      <c r="AW24">
        <v>2</v>
      </c>
      <c r="AX24">
        <v>37181277</v>
      </c>
      <c r="AY24">
        <v>1</v>
      </c>
      <c r="AZ24">
        <v>0</v>
      </c>
      <c r="BA24">
        <v>24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CX24">
        <f>Y24*Source!I74</f>
        <v>5.0999999999999996</v>
      </c>
      <c r="CY24">
        <f t="shared" si="6"/>
        <v>64.010000000000005</v>
      </c>
      <c r="CZ24">
        <f t="shared" si="7"/>
        <v>46.72</v>
      </c>
      <c r="DA24">
        <f t="shared" si="8"/>
        <v>1.37</v>
      </c>
      <c r="DB24">
        <f t="shared" si="4"/>
        <v>467.2</v>
      </c>
      <c r="DC24">
        <f t="shared" si="5"/>
        <v>0</v>
      </c>
    </row>
    <row r="25" spans="1:107">
      <c r="A25">
        <f>ROW(Source!A74)</f>
        <v>74</v>
      </c>
      <c r="B25">
        <v>35841400</v>
      </c>
      <c r="C25">
        <v>36513381</v>
      </c>
      <c r="D25">
        <v>29109414</v>
      </c>
      <c r="E25">
        <v>1</v>
      </c>
      <c r="F25">
        <v>1</v>
      </c>
      <c r="G25">
        <v>1</v>
      </c>
      <c r="H25">
        <v>3</v>
      </c>
      <c r="I25" t="s">
        <v>411</v>
      </c>
      <c r="J25" t="s">
        <v>412</v>
      </c>
      <c r="K25" t="s">
        <v>413</v>
      </c>
      <c r="L25">
        <v>1346</v>
      </c>
      <c r="N25">
        <v>1009</v>
      </c>
      <c r="O25" t="s">
        <v>151</v>
      </c>
      <c r="P25" t="s">
        <v>151</v>
      </c>
      <c r="Q25">
        <v>1</v>
      </c>
      <c r="W25">
        <v>0</v>
      </c>
      <c r="X25">
        <v>-562222557</v>
      </c>
      <c r="Y25">
        <v>60</v>
      </c>
      <c r="AA25">
        <v>10.1</v>
      </c>
      <c r="AB25">
        <v>0</v>
      </c>
      <c r="AC25">
        <v>0</v>
      </c>
      <c r="AD25">
        <v>0</v>
      </c>
      <c r="AE25">
        <v>1.58</v>
      </c>
      <c r="AF25">
        <v>0</v>
      </c>
      <c r="AG25">
        <v>0</v>
      </c>
      <c r="AH25">
        <v>0</v>
      </c>
      <c r="AI25">
        <v>6.39</v>
      </c>
      <c r="AJ25">
        <v>1</v>
      </c>
      <c r="AK25">
        <v>1</v>
      </c>
      <c r="AL25">
        <v>1</v>
      </c>
      <c r="AN25">
        <v>0</v>
      </c>
      <c r="AO25">
        <v>1</v>
      </c>
      <c r="AP25">
        <v>0</v>
      </c>
      <c r="AQ25">
        <v>0</v>
      </c>
      <c r="AR25">
        <v>0</v>
      </c>
      <c r="AS25" t="s">
        <v>3</v>
      </c>
      <c r="AT25">
        <v>60</v>
      </c>
      <c r="AU25" t="s">
        <v>3</v>
      </c>
      <c r="AV25">
        <v>0</v>
      </c>
      <c r="AW25">
        <v>2</v>
      </c>
      <c r="AX25">
        <v>37181278</v>
      </c>
      <c r="AY25">
        <v>1</v>
      </c>
      <c r="AZ25">
        <v>0</v>
      </c>
      <c r="BA25">
        <v>25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CX25">
        <f>Y25*Source!I74</f>
        <v>30.6</v>
      </c>
      <c r="CY25">
        <f t="shared" si="6"/>
        <v>10.1</v>
      </c>
      <c r="CZ25">
        <f t="shared" si="7"/>
        <v>1.58</v>
      </c>
      <c r="DA25">
        <f t="shared" si="8"/>
        <v>6.39</v>
      </c>
      <c r="DB25">
        <f t="shared" si="4"/>
        <v>94.8</v>
      </c>
      <c r="DC25">
        <f t="shared" si="5"/>
        <v>0</v>
      </c>
    </row>
    <row r="26" spans="1:107">
      <c r="A26">
        <f>ROW(Source!A74)</f>
        <v>74</v>
      </c>
      <c r="B26">
        <v>35841400</v>
      </c>
      <c r="C26">
        <v>36513381</v>
      </c>
      <c r="D26">
        <v>29109781</v>
      </c>
      <c r="E26">
        <v>1</v>
      </c>
      <c r="F26">
        <v>1</v>
      </c>
      <c r="G26">
        <v>1</v>
      </c>
      <c r="H26">
        <v>3</v>
      </c>
      <c r="I26" t="s">
        <v>414</v>
      </c>
      <c r="J26" t="s">
        <v>415</v>
      </c>
      <c r="K26" t="s">
        <v>416</v>
      </c>
      <c r="L26">
        <v>1346</v>
      </c>
      <c r="N26">
        <v>1009</v>
      </c>
      <c r="O26" t="s">
        <v>151</v>
      </c>
      <c r="P26" t="s">
        <v>151</v>
      </c>
      <c r="Q26">
        <v>1</v>
      </c>
      <c r="W26">
        <v>0</v>
      </c>
      <c r="X26">
        <v>-1529888946</v>
      </c>
      <c r="Y26">
        <v>4</v>
      </c>
      <c r="AA26">
        <v>60.38</v>
      </c>
      <c r="AB26">
        <v>0</v>
      </c>
      <c r="AC26">
        <v>0</v>
      </c>
      <c r="AD26">
        <v>0</v>
      </c>
      <c r="AE26">
        <v>11.12</v>
      </c>
      <c r="AF26">
        <v>0</v>
      </c>
      <c r="AG26">
        <v>0</v>
      </c>
      <c r="AH26">
        <v>0</v>
      </c>
      <c r="AI26">
        <v>5.43</v>
      </c>
      <c r="AJ26">
        <v>1</v>
      </c>
      <c r="AK26">
        <v>1</v>
      </c>
      <c r="AL26">
        <v>1</v>
      </c>
      <c r="AN26">
        <v>0</v>
      </c>
      <c r="AO26">
        <v>1</v>
      </c>
      <c r="AP26">
        <v>0</v>
      </c>
      <c r="AQ26">
        <v>0</v>
      </c>
      <c r="AR26">
        <v>0</v>
      </c>
      <c r="AS26" t="s">
        <v>3</v>
      </c>
      <c r="AT26">
        <v>4</v>
      </c>
      <c r="AU26" t="s">
        <v>3</v>
      </c>
      <c r="AV26">
        <v>0</v>
      </c>
      <c r="AW26">
        <v>2</v>
      </c>
      <c r="AX26">
        <v>37181279</v>
      </c>
      <c r="AY26">
        <v>1</v>
      </c>
      <c r="AZ26">
        <v>0</v>
      </c>
      <c r="BA26">
        <v>26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CX26">
        <f>Y26*Source!I74</f>
        <v>2.04</v>
      </c>
      <c r="CY26">
        <f t="shared" si="6"/>
        <v>60.38</v>
      </c>
      <c r="CZ26">
        <f t="shared" si="7"/>
        <v>11.12</v>
      </c>
      <c r="DA26">
        <f t="shared" si="8"/>
        <v>5.43</v>
      </c>
      <c r="DB26">
        <f t="shared" si="4"/>
        <v>44.48</v>
      </c>
      <c r="DC26">
        <f t="shared" si="5"/>
        <v>0</v>
      </c>
    </row>
    <row r="27" spans="1:107">
      <c r="A27">
        <f>ROW(Source!A74)</f>
        <v>74</v>
      </c>
      <c r="B27">
        <v>35841400</v>
      </c>
      <c r="C27">
        <v>36513381</v>
      </c>
      <c r="D27">
        <v>29109782</v>
      </c>
      <c r="E27">
        <v>1</v>
      </c>
      <c r="F27">
        <v>1</v>
      </c>
      <c r="G27">
        <v>1</v>
      </c>
      <c r="H27">
        <v>3</v>
      </c>
      <c r="I27" t="s">
        <v>417</v>
      </c>
      <c r="J27" t="s">
        <v>418</v>
      </c>
      <c r="K27" t="s">
        <v>419</v>
      </c>
      <c r="L27">
        <v>1346</v>
      </c>
      <c r="N27">
        <v>1009</v>
      </c>
      <c r="O27" t="s">
        <v>151</v>
      </c>
      <c r="P27" t="s">
        <v>151</v>
      </c>
      <c r="Q27">
        <v>1</v>
      </c>
      <c r="W27">
        <v>0</v>
      </c>
      <c r="X27">
        <v>-936589070</v>
      </c>
      <c r="Y27">
        <v>37</v>
      </c>
      <c r="AA27">
        <v>16.309999999999999</v>
      </c>
      <c r="AB27">
        <v>0</v>
      </c>
      <c r="AC27">
        <v>0</v>
      </c>
      <c r="AD27">
        <v>0</v>
      </c>
      <c r="AE27">
        <v>4.3600000000000003</v>
      </c>
      <c r="AF27">
        <v>0</v>
      </c>
      <c r="AG27">
        <v>0</v>
      </c>
      <c r="AH27">
        <v>0</v>
      </c>
      <c r="AI27">
        <v>3.74</v>
      </c>
      <c r="AJ27">
        <v>1</v>
      </c>
      <c r="AK27">
        <v>1</v>
      </c>
      <c r="AL27">
        <v>1</v>
      </c>
      <c r="AN27">
        <v>0</v>
      </c>
      <c r="AO27">
        <v>1</v>
      </c>
      <c r="AP27">
        <v>0</v>
      </c>
      <c r="AQ27">
        <v>0</v>
      </c>
      <c r="AR27">
        <v>0</v>
      </c>
      <c r="AS27" t="s">
        <v>3</v>
      </c>
      <c r="AT27">
        <v>37</v>
      </c>
      <c r="AU27" t="s">
        <v>3</v>
      </c>
      <c r="AV27">
        <v>0</v>
      </c>
      <c r="AW27">
        <v>2</v>
      </c>
      <c r="AX27">
        <v>37181280</v>
      </c>
      <c r="AY27">
        <v>1</v>
      </c>
      <c r="AZ27">
        <v>0</v>
      </c>
      <c r="BA27">
        <v>27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CX27">
        <f>Y27*Source!I74</f>
        <v>18.87</v>
      </c>
      <c r="CY27">
        <f t="shared" si="6"/>
        <v>16.309999999999999</v>
      </c>
      <c r="CZ27">
        <f t="shared" si="7"/>
        <v>4.3600000000000003</v>
      </c>
      <c r="DA27">
        <f t="shared" si="8"/>
        <v>3.74</v>
      </c>
      <c r="DB27">
        <f t="shared" si="4"/>
        <v>161.32</v>
      </c>
      <c r="DC27">
        <f t="shared" si="5"/>
        <v>0</v>
      </c>
    </row>
    <row r="28" spans="1:107">
      <c r="A28">
        <f>ROW(Source!A74)</f>
        <v>74</v>
      </c>
      <c r="B28">
        <v>35841400</v>
      </c>
      <c r="C28">
        <v>36513381</v>
      </c>
      <c r="D28">
        <v>29110699</v>
      </c>
      <c r="E28">
        <v>1</v>
      </c>
      <c r="F28">
        <v>1</v>
      </c>
      <c r="G28">
        <v>1</v>
      </c>
      <c r="H28">
        <v>3</v>
      </c>
      <c r="I28" t="s">
        <v>420</v>
      </c>
      <c r="J28" t="s">
        <v>421</v>
      </c>
      <c r="K28" t="s">
        <v>422</v>
      </c>
      <c r="L28">
        <v>1301</v>
      </c>
      <c r="N28">
        <v>1003</v>
      </c>
      <c r="O28" t="s">
        <v>238</v>
      </c>
      <c r="P28" t="s">
        <v>238</v>
      </c>
      <c r="Q28">
        <v>1</v>
      </c>
      <c r="W28">
        <v>0</v>
      </c>
      <c r="X28">
        <v>-1957188591</v>
      </c>
      <c r="Y28">
        <v>83</v>
      </c>
      <c r="AA28">
        <v>1.24</v>
      </c>
      <c r="AB28">
        <v>0</v>
      </c>
      <c r="AC28">
        <v>0</v>
      </c>
      <c r="AD28">
        <v>0</v>
      </c>
      <c r="AE28">
        <v>0.17</v>
      </c>
      <c r="AF28">
        <v>0</v>
      </c>
      <c r="AG28">
        <v>0</v>
      </c>
      <c r="AH28">
        <v>0</v>
      </c>
      <c r="AI28">
        <v>7.29</v>
      </c>
      <c r="AJ28">
        <v>1</v>
      </c>
      <c r="AK28">
        <v>1</v>
      </c>
      <c r="AL28">
        <v>1</v>
      </c>
      <c r="AN28">
        <v>0</v>
      </c>
      <c r="AO28">
        <v>1</v>
      </c>
      <c r="AP28">
        <v>0</v>
      </c>
      <c r="AQ28">
        <v>0</v>
      </c>
      <c r="AR28">
        <v>0</v>
      </c>
      <c r="AS28" t="s">
        <v>3</v>
      </c>
      <c r="AT28">
        <v>83</v>
      </c>
      <c r="AU28" t="s">
        <v>3</v>
      </c>
      <c r="AV28">
        <v>0</v>
      </c>
      <c r="AW28">
        <v>2</v>
      </c>
      <c r="AX28">
        <v>37181281</v>
      </c>
      <c r="AY28">
        <v>1</v>
      </c>
      <c r="AZ28">
        <v>0</v>
      </c>
      <c r="BA28">
        <v>28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CX28">
        <f>Y28*Source!I74</f>
        <v>42.33</v>
      </c>
      <c r="CY28">
        <f t="shared" si="6"/>
        <v>1.24</v>
      </c>
      <c r="CZ28">
        <f t="shared" si="7"/>
        <v>0.17</v>
      </c>
      <c r="DA28">
        <f t="shared" si="8"/>
        <v>7.29</v>
      </c>
      <c r="DB28">
        <f t="shared" si="4"/>
        <v>14.11</v>
      </c>
      <c r="DC28">
        <f t="shared" si="5"/>
        <v>0</v>
      </c>
    </row>
    <row r="29" spans="1:107">
      <c r="A29">
        <f>ROW(Source!A74)</f>
        <v>74</v>
      </c>
      <c r="B29">
        <v>35841400</v>
      </c>
      <c r="C29">
        <v>36513381</v>
      </c>
      <c r="D29">
        <v>29110797</v>
      </c>
      <c r="E29">
        <v>1</v>
      </c>
      <c r="F29">
        <v>1</v>
      </c>
      <c r="G29">
        <v>1</v>
      </c>
      <c r="H29">
        <v>3</v>
      </c>
      <c r="I29" t="s">
        <v>423</v>
      </c>
      <c r="J29" t="s">
        <v>424</v>
      </c>
      <c r="K29" t="s">
        <v>425</v>
      </c>
      <c r="L29">
        <v>1308</v>
      </c>
      <c r="N29">
        <v>1003</v>
      </c>
      <c r="O29" t="s">
        <v>242</v>
      </c>
      <c r="P29" t="s">
        <v>242</v>
      </c>
      <c r="Q29">
        <v>100</v>
      </c>
      <c r="W29">
        <v>0</v>
      </c>
      <c r="X29">
        <v>-2072982832</v>
      </c>
      <c r="Y29">
        <v>0.82</v>
      </c>
      <c r="AA29">
        <v>1550.34</v>
      </c>
      <c r="AB29">
        <v>0</v>
      </c>
      <c r="AC29">
        <v>0</v>
      </c>
      <c r="AD29">
        <v>0</v>
      </c>
      <c r="AE29">
        <v>174</v>
      </c>
      <c r="AF29">
        <v>0</v>
      </c>
      <c r="AG29">
        <v>0</v>
      </c>
      <c r="AH29">
        <v>0</v>
      </c>
      <c r="AI29">
        <v>8.91</v>
      </c>
      <c r="AJ29">
        <v>1</v>
      </c>
      <c r="AK29">
        <v>1</v>
      </c>
      <c r="AL29">
        <v>1</v>
      </c>
      <c r="AN29">
        <v>0</v>
      </c>
      <c r="AO29">
        <v>1</v>
      </c>
      <c r="AP29">
        <v>0</v>
      </c>
      <c r="AQ29">
        <v>0</v>
      </c>
      <c r="AR29">
        <v>0</v>
      </c>
      <c r="AS29" t="s">
        <v>3</v>
      </c>
      <c r="AT29">
        <v>0.82</v>
      </c>
      <c r="AU29" t="s">
        <v>3</v>
      </c>
      <c r="AV29">
        <v>0</v>
      </c>
      <c r="AW29">
        <v>2</v>
      </c>
      <c r="AX29">
        <v>37181282</v>
      </c>
      <c r="AY29">
        <v>1</v>
      </c>
      <c r="AZ29">
        <v>0</v>
      </c>
      <c r="BA29">
        <v>29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CX29">
        <f>Y29*Source!I74</f>
        <v>0.41819999999999996</v>
      </c>
      <c r="CY29">
        <f t="shared" si="6"/>
        <v>1550.34</v>
      </c>
      <c r="CZ29">
        <f t="shared" si="7"/>
        <v>174</v>
      </c>
      <c r="DA29">
        <f t="shared" si="8"/>
        <v>8.91</v>
      </c>
      <c r="DB29">
        <f t="shared" si="4"/>
        <v>142.68</v>
      </c>
      <c r="DC29">
        <f t="shared" si="5"/>
        <v>0</v>
      </c>
    </row>
    <row r="30" spans="1:107">
      <c r="A30">
        <f>ROW(Source!A74)</f>
        <v>74</v>
      </c>
      <c r="B30">
        <v>35841400</v>
      </c>
      <c r="C30">
        <v>36513381</v>
      </c>
      <c r="D30">
        <v>29110815</v>
      </c>
      <c r="E30">
        <v>1</v>
      </c>
      <c r="F30">
        <v>1</v>
      </c>
      <c r="G30">
        <v>1</v>
      </c>
      <c r="H30">
        <v>3</v>
      </c>
      <c r="I30" t="s">
        <v>426</v>
      </c>
      <c r="J30" t="s">
        <v>427</v>
      </c>
      <c r="K30" t="s">
        <v>428</v>
      </c>
      <c r="L30">
        <v>1301</v>
      </c>
      <c r="N30">
        <v>1003</v>
      </c>
      <c r="O30" t="s">
        <v>238</v>
      </c>
      <c r="P30" t="s">
        <v>238</v>
      </c>
      <c r="Q30">
        <v>1</v>
      </c>
      <c r="W30">
        <v>0</v>
      </c>
      <c r="X30">
        <v>1534161369</v>
      </c>
      <c r="Y30">
        <v>116</v>
      </c>
      <c r="AA30">
        <v>6.29</v>
      </c>
      <c r="AB30">
        <v>0</v>
      </c>
      <c r="AC30">
        <v>0</v>
      </c>
      <c r="AD30">
        <v>0</v>
      </c>
      <c r="AE30">
        <v>0.85</v>
      </c>
      <c r="AF30">
        <v>0</v>
      </c>
      <c r="AG30">
        <v>0</v>
      </c>
      <c r="AH30">
        <v>0</v>
      </c>
      <c r="AI30">
        <v>7.4</v>
      </c>
      <c r="AJ30">
        <v>1</v>
      </c>
      <c r="AK30">
        <v>1</v>
      </c>
      <c r="AL30">
        <v>1</v>
      </c>
      <c r="AN30">
        <v>0</v>
      </c>
      <c r="AO30">
        <v>1</v>
      </c>
      <c r="AP30">
        <v>0</v>
      </c>
      <c r="AQ30">
        <v>0</v>
      </c>
      <c r="AR30">
        <v>0</v>
      </c>
      <c r="AS30" t="s">
        <v>3</v>
      </c>
      <c r="AT30">
        <v>116</v>
      </c>
      <c r="AU30" t="s">
        <v>3</v>
      </c>
      <c r="AV30">
        <v>0</v>
      </c>
      <c r="AW30">
        <v>2</v>
      </c>
      <c r="AX30">
        <v>37181283</v>
      </c>
      <c r="AY30">
        <v>1</v>
      </c>
      <c r="AZ30">
        <v>0</v>
      </c>
      <c r="BA30">
        <v>30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CX30">
        <f>Y30*Source!I74</f>
        <v>59.160000000000004</v>
      </c>
      <c r="CY30">
        <f t="shared" si="6"/>
        <v>6.29</v>
      </c>
      <c r="CZ30">
        <f t="shared" si="7"/>
        <v>0.85</v>
      </c>
      <c r="DA30">
        <f t="shared" si="8"/>
        <v>7.4</v>
      </c>
      <c r="DB30">
        <f t="shared" si="4"/>
        <v>98.6</v>
      </c>
      <c r="DC30">
        <f t="shared" si="5"/>
        <v>0</v>
      </c>
    </row>
    <row r="31" spans="1:107">
      <c r="A31">
        <f>ROW(Source!A74)</f>
        <v>74</v>
      </c>
      <c r="B31">
        <v>35841400</v>
      </c>
      <c r="C31">
        <v>36513381</v>
      </c>
      <c r="D31">
        <v>29111455</v>
      </c>
      <c r="E31">
        <v>1</v>
      </c>
      <c r="F31">
        <v>1</v>
      </c>
      <c r="G31">
        <v>1</v>
      </c>
      <c r="H31">
        <v>3</v>
      </c>
      <c r="I31" t="s">
        <v>429</v>
      </c>
      <c r="J31" t="s">
        <v>430</v>
      </c>
      <c r="K31" t="s">
        <v>431</v>
      </c>
      <c r="L31">
        <v>1327</v>
      </c>
      <c r="N31">
        <v>1005</v>
      </c>
      <c r="O31" t="s">
        <v>129</v>
      </c>
      <c r="P31" t="s">
        <v>129</v>
      </c>
      <c r="Q31">
        <v>1</v>
      </c>
      <c r="W31">
        <v>0</v>
      </c>
      <c r="X31">
        <v>1477604143</v>
      </c>
      <c r="Y31">
        <v>107</v>
      </c>
      <c r="AA31">
        <v>73.790000000000006</v>
      </c>
      <c r="AB31">
        <v>0</v>
      </c>
      <c r="AC31">
        <v>0</v>
      </c>
      <c r="AD31">
        <v>0</v>
      </c>
      <c r="AE31">
        <v>15.06</v>
      </c>
      <c r="AF31">
        <v>0</v>
      </c>
      <c r="AG31">
        <v>0</v>
      </c>
      <c r="AH31">
        <v>0</v>
      </c>
      <c r="AI31">
        <v>4.9000000000000004</v>
      </c>
      <c r="AJ31">
        <v>1</v>
      </c>
      <c r="AK31">
        <v>1</v>
      </c>
      <c r="AL31">
        <v>1</v>
      </c>
      <c r="AN31">
        <v>0</v>
      </c>
      <c r="AO31">
        <v>1</v>
      </c>
      <c r="AP31">
        <v>0</v>
      </c>
      <c r="AQ31">
        <v>0</v>
      </c>
      <c r="AR31">
        <v>0</v>
      </c>
      <c r="AS31" t="s">
        <v>3</v>
      </c>
      <c r="AT31">
        <v>107</v>
      </c>
      <c r="AU31" t="s">
        <v>3</v>
      </c>
      <c r="AV31">
        <v>0</v>
      </c>
      <c r="AW31">
        <v>2</v>
      </c>
      <c r="AX31">
        <v>37181284</v>
      </c>
      <c r="AY31">
        <v>1</v>
      </c>
      <c r="AZ31">
        <v>0</v>
      </c>
      <c r="BA31">
        <v>31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CX31">
        <f>Y31*Source!I74</f>
        <v>54.57</v>
      </c>
      <c r="CY31">
        <f t="shared" si="6"/>
        <v>73.790000000000006</v>
      </c>
      <c r="CZ31">
        <f t="shared" si="7"/>
        <v>15.06</v>
      </c>
      <c r="DA31">
        <f t="shared" si="8"/>
        <v>4.9000000000000004</v>
      </c>
      <c r="DB31">
        <f t="shared" si="4"/>
        <v>1611.42</v>
      </c>
      <c r="DC31">
        <f t="shared" si="5"/>
        <v>0</v>
      </c>
    </row>
    <row r="32" spans="1:107">
      <c r="A32">
        <f>ROW(Source!A74)</f>
        <v>74</v>
      </c>
      <c r="B32">
        <v>35841400</v>
      </c>
      <c r="C32">
        <v>36513381</v>
      </c>
      <c r="D32">
        <v>29114733</v>
      </c>
      <c r="E32">
        <v>1</v>
      </c>
      <c r="F32">
        <v>1</v>
      </c>
      <c r="G32">
        <v>1</v>
      </c>
      <c r="H32">
        <v>3</v>
      </c>
      <c r="I32" t="s">
        <v>432</v>
      </c>
      <c r="J32" t="s">
        <v>433</v>
      </c>
      <c r="K32" t="s">
        <v>434</v>
      </c>
      <c r="L32">
        <v>1355</v>
      </c>
      <c r="N32">
        <v>1010</v>
      </c>
      <c r="O32" t="s">
        <v>46</v>
      </c>
      <c r="P32" t="s">
        <v>46</v>
      </c>
      <c r="Q32">
        <v>100</v>
      </c>
      <c r="W32">
        <v>0</v>
      </c>
      <c r="X32">
        <v>-1181903992</v>
      </c>
      <c r="Y32">
        <v>18.55</v>
      </c>
      <c r="AA32">
        <v>29.82</v>
      </c>
      <c r="AB32">
        <v>0</v>
      </c>
      <c r="AC32">
        <v>0</v>
      </c>
      <c r="AD32">
        <v>0</v>
      </c>
      <c r="AE32">
        <v>2</v>
      </c>
      <c r="AF32">
        <v>0</v>
      </c>
      <c r="AG32">
        <v>0</v>
      </c>
      <c r="AH32">
        <v>0</v>
      </c>
      <c r="AI32">
        <v>14.91</v>
      </c>
      <c r="AJ32">
        <v>1</v>
      </c>
      <c r="AK32">
        <v>1</v>
      </c>
      <c r="AL32">
        <v>1</v>
      </c>
      <c r="AN32">
        <v>0</v>
      </c>
      <c r="AO32">
        <v>1</v>
      </c>
      <c r="AP32">
        <v>0</v>
      </c>
      <c r="AQ32">
        <v>0</v>
      </c>
      <c r="AR32">
        <v>0</v>
      </c>
      <c r="AS32" t="s">
        <v>3</v>
      </c>
      <c r="AT32">
        <v>18.55</v>
      </c>
      <c r="AU32" t="s">
        <v>3</v>
      </c>
      <c r="AV32">
        <v>0</v>
      </c>
      <c r="AW32">
        <v>2</v>
      </c>
      <c r="AX32">
        <v>37181285</v>
      </c>
      <c r="AY32">
        <v>1</v>
      </c>
      <c r="AZ32">
        <v>0</v>
      </c>
      <c r="BA32">
        <v>32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CX32">
        <f>Y32*Source!I74</f>
        <v>9.4604999999999997</v>
      </c>
      <c r="CY32">
        <f t="shared" si="6"/>
        <v>29.82</v>
      </c>
      <c r="CZ32">
        <f t="shared" si="7"/>
        <v>2</v>
      </c>
      <c r="DA32">
        <f t="shared" si="8"/>
        <v>14.91</v>
      </c>
      <c r="DB32">
        <f t="shared" si="4"/>
        <v>37.1</v>
      </c>
      <c r="DC32">
        <f t="shared" si="5"/>
        <v>0</v>
      </c>
    </row>
    <row r="33" spans="1:107">
      <c r="A33">
        <f>ROW(Source!A74)</f>
        <v>74</v>
      </c>
      <c r="B33">
        <v>35841400</v>
      </c>
      <c r="C33">
        <v>36513381</v>
      </c>
      <c r="D33">
        <v>29114482</v>
      </c>
      <c r="E33">
        <v>1</v>
      </c>
      <c r="F33">
        <v>1</v>
      </c>
      <c r="G33">
        <v>1</v>
      </c>
      <c r="H33">
        <v>3</v>
      </c>
      <c r="I33" t="s">
        <v>435</v>
      </c>
      <c r="J33" t="s">
        <v>436</v>
      </c>
      <c r="K33" t="s">
        <v>437</v>
      </c>
      <c r="L33">
        <v>1355</v>
      </c>
      <c r="N33">
        <v>1010</v>
      </c>
      <c r="O33" t="s">
        <v>46</v>
      </c>
      <c r="P33" t="s">
        <v>46</v>
      </c>
      <c r="Q33">
        <v>100</v>
      </c>
      <c r="W33">
        <v>0</v>
      </c>
      <c r="X33">
        <v>62995597</v>
      </c>
      <c r="Y33">
        <v>1.53</v>
      </c>
      <c r="AA33">
        <v>33.18</v>
      </c>
      <c r="AB33">
        <v>0</v>
      </c>
      <c r="AC33">
        <v>0</v>
      </c>
      <c r="AD33">
        <v>0</v>
      </c>
      <c r="AE33">
        <v>7</v>
      </c>
      <c r="AF33">
        <v>0</v>
      </c>
      <c r="AG33">
        <v>0</v>
      </c>
      <c r="AH33">
        <v>0</v>
      </c>
      <c r="AI33">
        <v>4.74</v>
      </c>
      <c r="AJ33">
        <v>1</v>
      </c>
      <c r="AK33">
        <v>1</v>
      </c>
      <c r="AL33">
        <v>1</v>
      </c>
      <c r="AN33">
        <v>0</v>
      </c>
      <c r="AO33">
        <v>1</v>
      </c>
      <c r="AP33">
        <v>0</v>
      </c>
      <c r="AQ33">
        <v>0</v>
      </c>
      <c r="AR33">
        <v>0</v>
      </c>
      <c r="AS33" t="s">
        <v>3</v>
      </c>
      <c r="AT33">
        <v>1.53</v>
      </c>
      <c r="AU33" t="s">
        <v>3</v>
      </c>
      <c r="AV33">
        <v>0</v>
      </c>
      <c r="AW33">
        <v>2</v>
      </c>
      <c r="AX33">
        <v>37181286</v>
      </c>
      <c r="AY33">
        <v>1</v>
      </c>
      <c r="AZ33">
        <v>0</v>
      </c>
      <c r="BA33">
        <v>33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CX33">
        <f>Y33*Source!I74</f>
        <v>0.78029999999999999</v>
      </c>
      <c r="CY33">
        <f t="shared" si="6"/>
        <v>33.18</v>
      </c>
      <c r="CZ33">
        <f t="shared" si="7"/>
        <v>7</v>
      </c>
      <c r="DA33">
        <f t="shared" si="8"/>
        <v>4.74</v>
      </c>
      <c r="DB33">
        <f t="shared" si="4"/>
        <v>10.71</v>
      </c>
      <c r="DC33">
        <f t="shared" si="5"/>
        <v>0</v>
      </c>
    </row>
    <row r="34" spans="1:107">
      <c r="A34">
        <f>ROW(Source!A74)</f>
        <v>74</v>
      </c>
      <c r="B34">
        <v>35841400</v>
      </c>
      <c r="C34">
        <v>36513381</v>
      </c>
      <c r="D34">
        <v>29129584</v>
      </c>
      <c r="E34">
        <v>1</v>
      </c>
      <c r="F34">
        <v>1</v>
      </c>
      <c r="G34">
        <v>1</v>
      </c>
      <c r="H34">
        <v>3</v>
      </c>
      <c r="I34" t="s">
        <v>438</v>
      </c>
      <c r="J34" t="s">
        <v>439</v>
      </c>
      <c r="K34" t="s">
        <v>440</v>
      </c>
      <c r="L34">
        <v>1301</v>
      </c>
      <c r="N34">
        <v>1003</v>
      </c>
      <c r="O34" t="s">
        <v>238</v>
      </c>
      <c r="P34" t="s">
        <v>238</v>
      </c>
      <c r="Q34">
        <v>1</v>
      </c>
      <c r="W34">
        <v>0</v>
      </c>
      <c r="X34">
        <v>1352083009</v>
      </c>
      <c r="Y34">
        <v>121</v>
      </c>
      <c r="AA34">
        <v>92.78</v>
      </c>
      <c r="AB34">
        <v>0</v>
      </c>
      <c r="AC34">
        <v>0</v>
      </c>
      <c r="AD34">
        <v>0</v>
      </c>
      <c r="AE34">
        <v>7.22</v>
      </c>
      <c r="AF34">
        <v>0</v>
      </c>
      <c r="AG34">
        <v>0</v>
      </c>
      <c r="AH34">
        <v>0</v>
      </c>
      <c r="AI34">
        <v>12.85</v>
      </c>
      <c r="AJ34">
        <v>1</v>
      </c>
      <c r="AK34">
        <v>1</v>
      </c>
      <c r="AL34">
        <v>1</v>
      </c>
      <c r="AN34">
        <v>0</v>
      </c>
      <c r="AO34">
        <v>1</v>
      </c>
      <c r="AP34">
        <v>0</v>
      </c>
      <c r="AQ34">
        <v>0</v>
      </c>
      <c r="AR34">
        <v>0</v>
      </c>
      <c r="AS34" t="s">
        <v>3</v>
      </c>
      <c r="AT34">
        <v>121</v>
      </c>
      <c r="AU34" t="s">
        <v>3</v>
      </c>
      <c r="AV34">
        <v>0</v>
      </c>
      <c r="AW34">
        <v>2</v>
      </c>
      <c r="AX34">
        <v>37181287</v>
      </c>
      <c r="AY34">
        <v>1</v>
      </c>
      <c r="AZ34">
        <v>0</v>
      </c>
      <c r="BA34">
        <v>34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CX34">
        <f>Y34*Source!I74</f>
        <v>61.71</v>
      </c>
      <c r="CY34">
        <f t="shared" si="6"/>
        <v>92.78</v>
      </c>
      <c r="CZ34">
        <f t="shared" si="7"/>
        <v>7.22</v>
      </c>
      <c r="DA34">
        <f t="shared" si="8"/>
        <v>12.85</v>
      </c>
      <c r="DB34">
        <f t="shared" si="4"/>
        <v>873.62</v>
      </c>
      <c r="DC34">
        <f t="shared" si="5"/>
        <v>0</v>
      </c>
    </row>
    <row r="35" spans="1:107">
      <c r="A35">
        <f>ROW(Source!A74)</f>
        <v>74</v>
      </c>
      <c r="B35">
        <v>35841400</v>
      </c>
      <c r="C35">
        <v>36513381</v>
      </c>
      <c r="D35">
        <v>29129619</v>
      </c>
      <c r="E35">
        <v>1</v>
      </c>
      <c r="F35">
        <v>1</v>
      </c>
      <c r="G35">
        <v>1</v>
      </c>
      <c r="H35">
        <v>3</v>
      </c>
      <c r="I35" t="s">
        <v>441</v>
      </c>
      <c r="J35" t="s">
        <v>442</v>
      </c>
      <c r="K35" t="s">
        <v>443</v>
      </c>
      <c r="L35">
        <v>1301</v>
      </c>
      <c r="N35">
        <v>1003</v>
      </c>
      <c r="O35" t="s">
        <v>238</v>
      </c>
      <c r="P35" t="s">
        <v>238</v>
      </c>
      <c r="Q35">
        <v>1</v>
      </c>
      <c r="W35">
        <v>0</v>
      </c>
      <c r="X35">
        <v>2532714</v>
      </c>
      <c r="Y35">
        <v>225</v>
      </c>
      <c r="AA35">
        <v>61.61</v>
      </c>
      <c r="AB35">
        <v>0</v>
      </c>
      <c r="AC35">
        <v>0</v>
      </c>
      <c r="AD35">
        <v>0</v>
      </c>
      <c r="AE35">
        <v>8.44</v>
      </c>
      <c r="AF35">
        <v>0</v>
      </c>
      <c r="AG35">
        <v>0</v>
      </c>
      <c r="AH35">
        <v>0</v>
      </c>
      <c r="AI35">
        <v>7.3</v>
      </c>
      <c r="AJ35">
        <v>1</v>
      </c>
      <c r="AK35">
        <v>1</v>
      </c>
      <c r="AL35">
        <v>1</v>
      </c>
      <c r="AN35">
        <v>0</v>
      </c>
      <c r="AO35">
        <v>1</v>
      </c>
      <c r="AP35">
        <v>0</v>
      </c>
      <c r="AQ35">
        <v>0</v>
      </c>
      <c r="AR35">
        <v>0</v>
      </c>
      <c r="AS35" t="s">
        <v>3</v>
      </c>
      <c r="AT35">
        <v>225</v>
      </c>
      <c r="AU35" t="s">
        <v>3</v>
      </c>
      <c r="AV35">
        <v>0</v>
      </c>
      <c r="AW35">
        <v>2</v>
      </c>
      <c r="AX35">
        <v>37181288</v>
      </c>
      <c r="AY35">
        <v>1</v>
      </c>
      <c r="AZ35">
        <v>0</v>
      </c>
      <c r="BA35">
        <v>35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CX35">
        <f>Y35*Source!I74</f>
        <v>114.75</v>
      </c>
      <c r="CY35">
        <f t="shared" si="6"/>
        <v>61.61</v>
      </c>
      <c r="CZ35">
        <f t="shared" si="7"/>
        <v>8.44</v>
      </c>
      <c r="DA35">
        <f t="shared" si="8"/>
        <v>7.3</v>
      </c>
      <c r="DB35">
        <f t="shared" si="4"/>
        <v>1899</v>
      </c>
      <c r="DC35">
        <f t="shared" si="5"/>
        <v>0</v>
      </c>
    </row>
    <row r="36" spans="1:107">
      <c r="A36">
        <f>ROW(Source!A74)</f>
        <v>74</v>
      </c>
      <c r="B36">
        <v>35841400</v>
      </c>
      <c r="C36">
        <v>36513381</v>
      </c>
      <c r="D36">
        <v>29129634</v>
      </c>
      <c r="E36">
        <v>1</v>
      </c>
      <c r="F36">
        <v>1</v>
      </c>
      <c r="G36">
        <v>1</v>
      </c>
      <c r="H36">
        <v>3</v>
      </c>
      <c r="I36" t="s">
        <v>444</v>
      </c>
      <c r="J36" t="s">
        <v>445</v>
      </c>
      <c r="K36" t="s">
        <v>446</v>
      </c>
      <c r="L36">
        <v>1301</v>
      </c>
      <c r="N36">
        <v>1003</v>
      </c>
      <c r="O36" t="s">
        <v>238</v>
      </c>
      <c r="P36" t="s">
        <v>238</v>
      </c>
      <c r="Q36">
        <v>1</v>
      </c>
      <c r="W36">
        <v>0</v>
      </c>
      <c r="X36">
        <v>1518082791</v>
      </c>
      <c r="Y36">
        <v>46</v>
      </c>
      <c r="AA36">
        <v>26.43</v>
      </c>
      <c r="AB36">
        <v>0</v>
      </c>
      <c r="AC36">
        <v>0</v>
      </c>
      <c r="AD36">
        <v>0</v>
      </c>
      <c r="AE36">
        <v>3.32</v>
      </c>
      <c r="AF36">
        <v>0</v>
      </c>
      <c r="AG36">
        <v>0</v>
      </c>
      <c r="AH36">
        <v>0</v>
      </c>
      <c r="AI36">
        <v>7.96</v>
      </c>
      <c r="AJ36">
        <v>1</v>
      </c>
      <c r="AK36">
        <v>1</v>
      </c>
      <c r="AL36">
        <v>1</v>
      </c>
      <c r="AN36">
        <v>0</v>
      </c>
      <c r="AO36">
        <v>1</v>
      </c>
      <c r="AP36">
        <v>0</v>
      </c>
      <c r="AQ36">
        <v>0</v>
      </c>
      <c r="AR36">
        <v>0</v>
      </c>
      <c r="AS36" t="s">
        <v>3</v>
      </c>
      <c r="AT36">
        <v>46</v>
      </c>
      <c r="AU36" t="s">
        <v>3</v>
      </c>
      <c r="AV36">
        <v>0</v>
      </c>
      <c r="AW36">
        <v>2</v>
      </c>
      <c r="AX36">
        <v>37181289</v>
      </c>
      <c r="AY36">
        <v>1</v>
      </c>
      <c r="AZ36">
        <v>0</v>
      </c>
      <c r="BA36">
        <v>36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CX36">
        <f>Y36*Source!I74</f>
        <v>23.46</v>
      </c>
      <c r="CY36">
        <f t="shared" si="6"/>
        <v>26.43</v>
      </c>
      <c r="CZ36">
        <f t="shared" si="7"/>
        <v>3.32</v>
      </c>
      <c r="DA36">
        <f t="shared" si="8"/>
        <v>7.96</v>
      </c>
      <c r="DB36">
        <f t="shared" si="4"/>
        <v>152.72</v>
      </c>
      <c r="DC36">
        <f t="shared" si="5"/>
        <v>0</v>
      </c>
    </row>
    <row r="37" spans="1:107">
      <c r="A37">
        <f>ROW(Source!A74)</f>
        <v>74</v>
      </c>
      <c r="B37">
        <v>35841400</v>
      </c>
      <c r="C37">
        <v>36513381</v>
      </c>
      <c r="D37">
        <v>29150040</v>
      </c>
      <c r="E37">
        <v>1</v>
      </c>
      <c r="F37">
        <v>1</v>
      </c>
      <c r="G37">
        <v>1</v>
      </c>
      <c r="H37">
        <v>3</v>
      </c>
      <c r="I37" t="s">
        <v>390</v>
      </c>
      <c r="J37" t="s">
        <v>391</v>
      </c>
      <c r="K37" t="s">
        <v>392</v>
      </c>
      <c r="L37">
        <v>1339</v>
      </c>
      <c r="N37">
        <v>1007</v>
      </c>
      <c r="O37" t="s">
        <v>393</v>
      </c>
      <c r="P37" t="s">
        <v>393</v>
      </c>
      <c r="Q37">
        <v>1</v>
      </c>
      <c r="W37">
        <v>0</v>
      </c>
      <c r="X37">
        <v>619799737</v>
      </c>
      <c r="Y37">
        <v>3.2000000000000001E-2</v>
      </c>
      <c r="AA37">
        <v>22.2</v>
      </c>
      <c r="AB37">
        <v>0</v>
      </c>
      <c r="AC37">
        <v>0</v>
      </c>
      <c r="AD37">
        <v>0</v>
      </c>
      <c r="AE37">
        <v>2.44</v>
      </c>
      <c r="AF37">
        <v>0</v>
      </c>
      <c r="AG37">
        <v>0</v>
      </c>
      <c r="AH37">
        <v>0</v>
      </c>
      <c r="AI37">
        <v>9.1</v>
      </c>
      <c r="AJ37">
        <v>1</v>
      </c>
      <c r="AK37">
        <v>1</v>
      </c>
      <c r="AL37">
        <v>1</v>
      </c>
      <c r="AN37">
        <v>0</v>
      </c>
      <c r="AO37">
        <v>1</v>
      </c>
      <c r="AP37">
        <v>0</v>
      </c>
      <c r="AQ37">
        <v>0</v>
      </c>
      <c r="AR37">
        <v>0</v>
      </c>
      <c r="AS37" t="s">
        <v>3</v>
      </c>
      <c r="AT37">
        <v>3.2000000000000001E-2</v>
      </c>
      <c r="AU37" t="s">
        <v>3</v>
      </c>
      <c r="AV37">
        <v>0</v>
      </c>
      <c r="AW37">
        <v>2</v>
      </c>
      <c r="AX37">
        <v>37181290</v>
      </c>
      <c r="AY37">
        <v>1</v>
      </c>
      <c r="AZ37">
        <v>0</v>
      </c>
      <c r="BA37">
        <v>37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CX37">
        <f>Y37*Source!I74</f>
        <v>1.6320000000000001E-2</v>
      </c>
      <c r="CY37">
        <f t="shared" si="6"/>
        <v>22.2</v>
      </c>
      <c r="CZ37">
        <f t="shared" si="7"/>
        <v>2.44</v>
      </c>
      <c r="DA37">
        <f t="shared" si="8"/>
        <v>9.1</v>
      </c>
      <c r="DB37">
        <f t="shared" si="4"/>
        <v>0.08</v>
      </c>
      <c r="DC37">
        <f t="shared" si="5"/>
        <v>0</v>
      </c>
    </row>
    <row r="38" spans="1:107">
      <c r="A38">
        <f>ROW(Source!A75)</f>
        <v>75</v>
      </c>
      <c r="B38">
        <v>35841400</v>
      </c>
      <c r="C38">
        <v>36513401</v>
      </c>
      <c r="D38">
        <v>31427434</v>
      </c>
      <c r="E38">
        <v>1</v>
      </c>
      <c r="F38">
        <v>1</v>
      </c>
      <c r="G38">
        <v>1</v>
      </c>
      <c r="H38">
        <v>1</v>
      </c>
      <c r="I38" t="s">
        <v>447</v>
      </c>
      <c r="J38" t="s">
        <v>3</v>
      </c>
      <c r="K38" t="s">
        <v>448</v>
      </c>
      <c r="L38">
        <v>1369</v>
      </c>
      <c r="N38">
        <v>1013</v>
      </c>
      <c r="O38" t="s">
        <v>361</v>
      </c>
      <c r="P38" t="s">
        <v>361</v>
      </c>
      <c r="Q38">
        <v>1</v>
      </c>
      <c r="W38">
        <v>0</v>
      </c>
      <c r="X38">
        <v>-781753235</v>
      </c>
      <c r="Y38">
        <v>26.323499999999999</v>
      </c>
      <c r="AA38">
        <v>0</v>
      </c>
      <c r="AB38">
        <v>0</v>
      </c>
      <c r="AC38">
        <v>0</v>
      </c>
      <c r="AD38">
        <v>294.02</v>
      </c>
      <c r="AE38">
        <v>0</v>
      </c>
      <c r="AF38">
        <v>0</v>
      </c>
      <c r="AG38">
        <v>0</v>
      </c>
      <c r="AH38">
        <v>294.02</v>
      </c>
      <c r="AI38">
        <v>1</v>
      </c>
      <c r="AJ38">
        <v>1</v>
      </c>
      <c r="AK38">
        <v>1</v>
      </c>
      <c r="AL38">
        <v>1</v>
      </c>
      <c r="AN38">
        <v>0</v>
      </c>
      <c r="AO38">
        <v>1</v>
      </c>
      <c r="AP38">
        <v>1</v>
      </c>
      <c r="AQ38">
        <v>0</v>
      </c>
      <c r="AR38">
        <v>0</v>
      </c>
      <c r="AS38" t="s">
        <v>3</v>
      </c>
      <c r="AT38">
        <v>22.89</v>
      </c>
      <c r="AU38" t="s">
        <v>114</v>
      </c>
      <c r="AV38">
        <v>1</v>
      </c>
      <c r="AW38">
        <v>2</v>
      </c>
      <c r="AX38">
        <v>36513402</v>
      </c>
      <c r="AY38">
        <v>2</v>
      </c>
      <c r="AZ38">
        <v>131072</v>
      </c>
      <c r="BA38">
        <v>38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CX38">
        <f>Y38*Source!I75</f>
        <v>13.424985</v>
      </c>
      <c r="CY38">
        <f>AD38</f>
        <v>294.02</v>
      </c>
      <c r="CZ38">
        <f>AH38</f>
        <v>294.02</v>
      </c>
      <c r="DA38">
        <f>AL38</f>
        <v>1</v>
      </c>
      <c r="DB38">
        <f>ROUND((ROUND(AT38*CZ38,2)*1.15),6)</f>
        <v>7739.6379999999999</v>
      </c>
      <c r="DC38">
        <f>ROUND((ROUND(AT38*AG38,2)*1.15),6)</f>
        <v>0</v>
      </c>
    </row>
    <row r="39" spans="1:107">
      <c r="A39">
        <f>ROW(Source!A75)</f>
        <v>75</v>
      </c>
      <c r="B39">
        <v>35841400</v>
      </c>
      <c r="C39">
        <v>36513401</v>
      </c>
      <c r="D39">
        <v>121548</v>
      </c>
      <c r="E39">
        <v>1</v>
      </c>
      <c r="F39">
        <v>1</v>
      </c>
      <c r="G39">
        <v>1</v>
      </c>
      <c r="H39">
        <v>1</v>
      </c>
      <c r="I39" t="s">
        <v>213</v>
      </c>
      <c r="J39" t="s">
        <v>3</v>
      </c>
      <c r="K39" t="s">
        <v>362</v>
      </c>
      <c r="L39">
        <v>608254</v>
      </c>
      <c r="N39">
        <v>1013</v>
      </c>
      <c r="O39" t="s">
        <v>363</v>
      </c>
      <c r="P39" t="s">
        <v>363</v>
      </c>
      <c r="Q39">
        <v>1</v>
      </c>
      <c r="W39">
        <v>0</v>
      </c>
      <c r="X39">
        <v>-185737400</v>
      </c>
      <c r="Y39">
        <v>0.12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1</v>
      </c>
      <c r="AJ39">
        <v>1</v>
      </c>
      <c r="AK39">
        <v>1</v>
      </c>
      <c r="AL39">
        <v>1</v>
      </c>
      <c r="AN39">
        <v>0</v>
      </c>
      <c r="AO39">
        <v>1</v>
      </c>
      <c r="AP39">
        <v>1</v>
      </c>
      <c r="AQ39">
        <v>0</v>
      </c>
      <c r="AR39">
        <v>0</v>
      </c>
      <c r="AS39" t="s">
        <v>3</v>
      </c>
      <c r="AT39">
        <v>0.12</v>
      </c>
      <c r="AU39" t="s">
        <v>3</v>
      </c>
      <c r="AV39">
        <v>2</v>
      </c>
      <c r="AW39">
        <v>2</v>
      </c>
      <c r="AX39">
        <v>36513403</v>
      </c>
      <c r="AY39">
        <v>1</v>
      </c>
      <c r="AZ39">
        <v>0</v>
      </c>
      <c r="BA39">
        <v>39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CX39">
        <f>Y39*Source!I75</f>
        <v>6.1199999999999997E-2</v>
      </c>
      <c r="CY39">
        <f>AD39</f>
        <v>0</v>
      </c>
      <c r="CZ39">
        <f>AH39</f>
        <v>0</v>
      </c>
      <c r="DA39">
        <f>AL39</f>
        <v>1</v>
      </c>
      <c r="DB39">
        <f>ROUND(ROUND(AT39*CZ39,2),6)</f>
        <v>0</v>
      </c>
      <c r="DC39">
        <f>ROUND(ROUND(AT39*AG39,2),6)</f>
        <v>0</v>
      </c>
    </row>
    <row r="40" spans="1:107">
      <c r="A40">
        <f>ROW(Source!A75)</f>
        <v>75</v>
      </c>
      <c r="B40">
        <v>35841400</v>
      </c>
      <c r="C40">
        <v>36513401</v>
      </c>
      <c r="D40">
        <v>35554695</v>
      </c>
      <c r="E40">
        <v>1</v>
      </c>
      <c r="F40">
        <v>1</v>
      </c>
      <c r="G40">
        <v>1</v>
      </c>
      <c r="H40">
        <v>2</v>
      </c>
      <c r="I40" t="s">
        <v>449</v>
      </c>
      <c r="J40" t="s">
        <v>450</v>
      </c>
      <c r="K40" t="s">
        <v>451</v>
      </c>
      <c r="L40">
        <v>1368</v>
      </c>
      <c r="N40">
        <v>1011</v>
      </c>
      <c r="O40" t="s">
        <v>367</v>
      </c>
      <c r="P40" t="s">
        <v>367</v>
      </c>
      <c r="Q40">
        <v>1</v>
      </c>
      <c r="W40">
        <v>0</v>
      </c>
      <c r="X40">
        <v>-678719566</v>
      </c>
      <c r="Y40">
        <v>0.12</v>
      </c>
      <c r="AA40">
        <v>0</v>
      </c>
      <c r="AB40">
        <v>1102.08</v>
      </c>
      <c r="AC40">
        <v>453.6</v>
      </c>
      <c r="AD40">
        <v>0</v>
      </c>
      <c r="AE40">
        <v>0</v>
      </c>
      <c r="AF40">
        <v>112</v>
      </c>
      <c r="AG40">
        <v>13.5</v>
      </c>
      <c r="AH40">
        <v>0</v>
      </c>
      <c r="AI40">
        <v>1</v>
      </c>
      <c r="AJ40">
        <v>9.84</v>
      </c>
      <c r="AK40">
        <v>33.6</v>
      </c>
      <c r="AL40">
        <v>1</v>
      </c>
      <c r="AN40">
        <v>0</v>
      </c>
      <c r="AO40">
        <v>1</v>
      </c>
      <c r="AP40">
        <v>1</v>
      </c>
      <c r="AQ40">
        <v>0</v>
      </c>
      <c r="AR40">
        <v>0</v>
      </c>
      <c r="AS40" t="s">
        <v>3</v>
      </c>
      <c r="AT40">
        <v>0.12</v>
      </c>
      <c r="AU40" t="s">
        <v>3</v>
      </c>
      <c r="AV40">
        <v>0</v>
      </c>
      <c r="AW40">
        <v>2</v>
      </c>
      <c r="AX40">
        <v>36513404</v>
      </c>
      <c r="AY40">
        <v>1</v>
      </c>
      <c r="AZ40">
        <v>0</v>
      </c>
      <c r="BA40">
        <v>40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CX40">
        <f>Y40*Source!I75</f>
        <v>6.1199999999999997E-2</v>
      </c>
      <c r="CY40">
        <f>AB40</f>
        <v>1102.08</v>
      </c>
      <c r="CZ40">
        <f>AF40</f>
        <v>112</v>
      </c>
      <c r="DA40">
        <f>AJ40</f>
        <v>9.84</v>
      </c>
      <c r="DB40">
        <f>ROUND(ROUND(AT40*CZ40,2),6)</f>
        <v>13.44</v>
      </c>
      <c r="DC40">
        <f>ROUND(ROUND(AT40*AG40,2),6)</f>
        <v>1.62</v>
      </c>
    </row>
    <row r="41" spans="1:107">
      <c r="A41">
        <f>ROW(Source!A75)</f>
        <v>75</v>
      </c>
      <c r="B41">
        <v>35841400</v>
      </c>
      <c r="C41">
        <v>36513401</v>
      </c>
      <c r="D41">
        <v>35555088</v>
      </c>
      <c r="E41">
        <v>1</v>
      </c>
      <c r="F41">
        <v>1</v>
      </c>
      <c r="G41">
        <v>1</v>
      </c>
      <c r="H41">
        <v>2</v>
      </c>
      <c r="I41" t="s">
        <v>381</v>
      </c>
      <c r="J41" t="s">
        <v>452</v>
      </c>
      <c r="K41" t="s">
        <v>383</v>
      </c>
      <c r="L41">
        <v>1368</v>
      </c>
      <c r="N41">
        <v>1011</v>
      </c>
      <c r="O41" t="s">
        <v>367</v>
      </c>
      <c r="P41" t="s">
        <v>367</v>
      </c>
      <c r="Q41">
        <v>1</v>
      </c>
      <c r="W41">
        <v>0</v>
      </c>
      <c r="X41">
        <v>586434904</v>
      </c>
      <c r="Y41">
        <v>0.19</v>
      </c>
      <c r="AA41">
        <v>0</v>
      </c>
      <c r="AB41">
        <v>932.72</v>
      </c>
      <c r="AC41">
        <v>389.76</v>
      </c>
      <c r="AD41">
        <v>0</v>
      </c>
      <c r="AE41">
        <v>0</v>
      </c>
      <c r="AF41">
        <v>87.17</v>
      </c>
      <c r="AG41">
        <v>11.6</v>
      </c>
      <c r="AH41">
        <v>0</v>
      </c>
      <c r="AI41">
        <v>1</v>
      </c>
      <c r="AJ41">
        <v>10.7</v>
      </c>
      <c r="AK41">
        <v>33.6</v>
      </c>
      <c r="AL41">
        <v>1</v>
      </c>
      <c r="AN41">
        <v>0</v>
      </c>
      <c r="AO41">
        <v>1</v>
      </c>
      <c r="AP41">
        <v>1</v>
      </c>
      <c r="AQ41">
        <v>0</v>
      </c>
      <c r="AR41">
        <v>0</v>
      </c>
      <c r="AS41" t="s">
        <v>3</v>
      </c>
      <c r="AT41">
        <v>0.19</v>
      </c>
      <c r="AU41" t="s">
        <v>3</v>
      </c>
      <c r="AV41">
        <v>0</v>
      </c>
      <c r="AW41">
        <v>2</v>
      </c>
      <c r="AX41">
        <v>36513405</v>
      </c>
      <c r="AY41">
        <v>1</v>
      </c>
      <c r="AZ41">
        <v>0</v>
      </c>
      <c r="BA41">
        <v>41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CX41">
        <f>Y41*Source!I75</f>
        <v>9.69E-2</v>
      </c>
      <c r="CY41">
        <f>AB41</f>
        <v>932.72</v>
      </c>
      <c r="CZ41">
        <f>AF41</f>
        <v>87.17</v>
      </c>
      <c r="DA41">
        <f>AJ41</f>
        <v>10.7</v>
      </c>
      <c r="DB41">
        <f>ROUND(ROUND(AT41*CZ41,2),6)</f>
        <v>16.559999999999999</v>
      </c>
      <c r="DC41">
        <f>ROUND(ROUND(AT41*AG41,2),6)</f>
        <v>2.2000000000000002</v>
      </c>
    </row>
    <row r="42" spans="1:107">
      <c r="A42">
        <f>ROW(Source!A75)</f>
        <v>75</v>
      </c>
      <c r="B42">
        <v>35841400</v>
      </c>
      <c r="C42">
        <v>36513401</v>
      </c>
      <c r="D42">
        <v>35552878</v>
      </c>
      <c r="E42">
        <v>1</v>
      </c>
      <c r="F42">
        <v>1</v>
      </c>
      <c r="G42">
        <v>1</v>
      </c>
      <c r="H42">
        <v>3</v>
      </c>
      <c r="I42" t="s">
        <v>453</v>
      </c>
      <c r="J42" t="s">
        <v>454</v>
      </c>
      <c r="K42" t="s">
        <v>455</v>
      </c>
      <c r="L42">
        <v>1348</v>
      </c>
      <c r="N42">
        <v>1009</v>
      </c>
      <c r="O42" t="s">
        <v>41</v>
      </c>
      <c r="P42" t="s">
        <v>41</v>
      </c>
      <c r="Q42">
        <v>1000</v>
      </c>
      <c r="W42">
        <v>0</v>
      </c>
      <c r="X42">
        <v>-921547545</v>
      </c>
      <c r="Y42">
        <v>5.1999999999999998E-2</v>
      </c>
      <c r="AA42">
        <v>55735.29</v>
      </c>
      <c r="AB42">
        <v>0</v>
      </c>
      <c r="AC42">
        <v>0</v>
      </c>
      <c r="AD42">
        <v>0</v>
      </c>
      <c r="AE42">
        <v>24552.99</v>
      </c>
      <c r="AF42">
        <v>0</v>
      </c>
      <c r="AG42">
        <v>0</v>
      </c>
      <c r="AH42">
        <v>0</v>
      </c>
      <c r="AI42">
        <v>2.27</v>
      </c>
      <c r="AJ42">
        <v>1</v>
      </c>
      <c r="AK42">
        <v>1</v>
      </c>
      <c r="AL42">
        <v>1</v>
      </c>
      <c r="AN42">
        <v>0</v>
      </c>
      <c r="AO42">
        <v>1</v>
      </c>
      <c r="AP42">
        <v>0</v>
      </c>
      <c r="AQ42">
        <v>0</v>
      </c>
      <c r="AR42">
        <v>0</v>
      </c>
      <c r="AS42" t="s">
        <v>3</v>
      </c>
      <c r="AT42">
        <v>5.1999999999999998E-2</v>
      </c>
      <c r="AU42" t="s">
        <v>3</v>
      </c>
      <c r="AV42">
        <v>0</v>
      </c>
      <c r="AW42">
        <v>2</v>
      </c>
      <c r="AX42">
        <v>36513406</v>
      </c>
      <c r="AY42">
        <v>1</v>
      </c>
      <c r="AZ42">
        <v>0</v>
      </c>
      <c r="BA42">
        <v>42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CX42">
        <f>Y42*Source!I75</f>
        <v>2.6519999999999998E-2</v>
      </c>
      <c r="CY42">
        <f>AA42</f>
        <v>55735.29</v>
      </c>
      <c r="CZ42">
        <f>AE42</f>
        <v>24552.99</v>
      </c>
      <c r="DA42">
        <f>AI42</f>
        <v>2.27</v>
      </c>
      <c r="DB42">
        <f>ROUND(ROUND(AT42*CZ42,2),6)</f>
        <v>1276.76</v>
      </c>
      <c r="DC42">
        <f>ROUND(ROUND(AT42*AG42,2),6)</f>
        <v>0</v>
      </c>
    </row>
    <row r="43" spans="1:107">
      <c r="A43">
        <f>ROW(Source!A77)</f>
        <v>77</v>
      </c>
      <c r="B43">
        <v>35841400</v>
      </c>
      <c r="C43">
        <v>37378931</v>
      </c>
      <c r="D43">
        <v>18410171</v>
      </c>
      <c r="E43">
        <v>1</v>
      </c>
      <c r="F43">
        <v>1</v>
      </c>
      <c r="G43">
        <v>1</v>
      </c>
      <c r="H43">
        <v>1</v>
      </c>
      <c r="I43" t="s">
        <v>456</v>
      </c>
      <c r="J43" t="s">
        <v>3</v>
      </c>
      <c r="K43" t="s">
        <v>457</v>
      </c>
      <c r="L43">
        <v>1369</v>
      </c>
      <c r="N43">
        <v>1013</v>
      </c>
      <c r="O43" t="s">
        <v>361</v>
      </c>
      <c r="P43" t="s">
        <v>361</v>
      </c>
      <c r="Q43">
        <v>1</v>
      </c>
      <c r="W43">
        <v>0</v>
      </c>
      <c r="X43">
        <v>1151098980</v>
      </c>
      <c r="Y43">
        <v>29.221499999999999</v>
      </c>
      <c r="AA43">
        <v>0</v>
      </c>
      <c r="AB43">
        <v>0</v>
      </c>
      <c r="AC43">
        <v>0</v>
      </c>
      <c r="AD43">
        <v>297.67</v>
      </c>
      <c r="AE43">
        <v>0</v>
      </c>
      <c r="AF43">
        <v>0</v>
      </c>
      <c r="AG43">
        <v>0</v>
      </c>
      <c r="AH43">
        <v>297.67</v>
      </c>
      <c r="AI43">
        <v>1</v>
      </c>
      <c r="AJ43">
        <v>1</v>
      </c>
      <c r="AK43">
        <v>1</v>
      </c>
      <c r="AL43">
        <v>1</v>
      </c>
      <c r="AN43">
        <v>0</v>
      </c>
      <c r="AO43">
        <v>1</v>
      </c>
      <c r="AP43">
        <v>1</v>
      </c>
      <c r="AQ43">
        <v>0</v>
      </c>
      <c r="AR43">
        <v>0</v>
      </c>
      <c r="AS43" t="s">
        <v>3</v>
      </c>
      <c r="AT43">
        <v>25.41</v>
      </c>
      <c r="AU43" t="s">
        <v>114</v>
      </c>
      <c r="AV43">
        <v>1</v>
      </c>
      <c r="AW43">
        <v>2</v>
      </c>
      <c r="AX43">
        <v>37378932</v>
      </c>
      <c r="AY43">
        <v>1</v>
      </c>
      <c r="AZ43">
        <v>0</v>
      </c>
      <c r="BA43">
        <v>44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CX43">
        <f>Y43*Source!I77</f>
        <v>14.902965</v>
      </c>
      <c r="CY43">
        <f>AD43</f>
        <v>297.67</v>
      </c>
      <c r="CZ43">
        <f>AH43</f>
        <v>297.67</v>
      </c>
      <c r="DA43">
        <f>AL43</f>
        <v>1</v>
      </c>
      <c r="DB43">
        <f>ROUND((ROUND(AT43*CZ43,2)*1.15),6)</f>
        <v>8698.3585000000003</v>
      </c>
      <c r="DC43">
        <f>ROUND((ROUND(AT43*AG43,2)*1.15),6)</f>
        <v>0</v>
      </c>
    </row>
    <row r="44" spans="1:107">
      <c r="A44">
        <f>ROW(Source!A77)</f>
        <v>77</v>
      </c>
      <c r="B44">
        <v>35841400</v>
      </c>
      <c r="C44">
        <v>37378931</v>
      </c>
      <c r="D44">
        <v>121548</v>
      </c>
      <c r="E44">
        <v>1</v>
      </c>
      <c r="F44">
        <v>1</v>
      </c>
      <c r="G44">
        <v>1</v>
      </c>
      <c r="H44">
        <v>1</v>
      </c>
      <c r="I44" t="s">
        <v>213</v>
      </c>
      <c r="J44" t="s">
        <v>3</v>
      </c>
      <c r="K44" t="s">
        <v>362</v>
      </c>
      <c r="L44">
        <v>608254</v>
      </c>
      <c r="N44">
        <v>1013</v>
      </c>
      <c r="O44" t="s">
        <v>363</v>
      </c>
      <c r="P44" t="s">
        <v>363</v>
      </c>
      <c r="Q44">
        <v>1</v>
      </c>
      <c r="W44">
        <v>0</v>
      </c>
      <c r="X44">
        <v>-185737400</v>
      </c>
      <c r="Y44">
        <v>1.2500000000000001E-2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1</v>
      </c>
      <c r="AJ44">
        <v>1</v>
      </c>
      <c r="AK44">
        <v>1</v>
      </c>
      <c r="AL44">
        <v>1</v>
      </c>
      <c r="AN44">
        <v>0</v>
      </c>
      <c r="AO44">
        <v>1</v>
      </c>
      <c r="AP44">
        <v>1</v>
      </c>
      <c r="AQ44">
        <v>0</v>
      </c>
      <c r="AR44">
        <v>0</v>
      </c>
      <c r="AS44" t="s">
        <v>3</v>
      </c>
      <c r="AT44">
        <v>0.01</v>
      </c>
      <c r="AU44" t="s">
        <v>139</v>
      </c>
      <c r="AV44">
        <v>2</v>
      </c>
      <c r="AW44">
        <v>2</v>
      </c>
      <c r="AX44">
        <v>37378933</v>
      </c>
      <c r="AY44">
        <v>1</v>
      </c>
      <c r="AZ44">
        <v>0</v>
      </c>
      <c r="BA44">
        <v>45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CX44">
        <f>Y44*Source!I77</f>
        <v>6.3750000000000005E-3</v>
      </c>
      <c r="CY44">
        <f>AD44</f>
        <v>0</v>
      </c>
      <c r="CZ44">
        <f>AH44</f>
        <v>0</v>
      </c>
      <c r="DA44">
        <f>AL44</f>
        <v>1</v>
      </c>
      <c r="DB44">
        <f>ROUND((ROUND(AT44*CZ44,2)*1.25),6)</f>
        <v>0</v>
      </c>
      <c r="DC44">
        <f>ROUND((ROUND(AT44*AG44,2)*1.25),6)</f>
        <v>0</v>
      </c>
    </row>
    <row r="45" spans="1:107">
      <c r="A45">
        <f>ROW(Source!A77)</f>
        <v>77</v>
      </c>
      <c r="B45">
        <v>35841400</v>
      </c>
      <c r="C45">
        <v>37378931</v>
      </c>
      <c r="D45">
        <v>29172556</v>
      </c>
      <c r="E45">
        <v>1</v>
      </c>
      <c r="F45">
        <v>1</v>
      </c>
      <c r="G45">
        <v>1</v>
      </c>
      <c r="H45">
        <v>2</v>
      </c>
      <c r="I45" t="s">
        <v>364</v>
      </c>
      <c r="J45" t="s">
        <v>365</v>
      </c>
      <c r="K45" t="s">
        <v>366</v>
      </c>
      <c r="L45">
        <v>1368</v>
      </c>
      <c r="N45">
        <v>1011</v>
      </c>
      <c r="O45" t="s">
        <v>367</v>
      </c>
      <c r="P45" t="s">
        <v>367</v>
      </c>
      <c r="Q45">
        <v>1</v>
      </c>
      <c r="W45">
        <v>0</v>
      </c>
      <c r="X45">
        <v>344519037</v>
      </c>
      <c r="Y45">
        <v>1.2500000000000001E-2</v>
      </c>
      <c r="AA45">
        <v>0</v>
      </c>
      <c r="AB45">
        <v>466.71</v>
      </c>
      <c r="AC45">
        <v>453.6</v>
      </c>
      <c r="AD45">
        <v>0</v>
      </c>
      <c r="AE45">
        <v>0</v>
      </c>
      <c r="AF45">
        <v>31.26</v>
      </c>
      <c r="AG45">
        <v>13.5</v>
      </c>
      <c r="AH45">
        <v>0</v>
      </c>
      <c r="AI45">
        <v>1</v>
      </c>
      <c r="AJ45">
        <v>14.93</v>
      </c>
      <c r="AK45">
        <v>33.6</v>
      </c>
      <c r="AL45">
        <v>1</v>
      </c>
      <c r="AN45">
        <v>0</v>
      </c>
      <c r="AO45">
        <v>1</v>
      </c>
      <c r="AP45">
        <v>1</v>
      </c>
      <c r="AQ45">
        <v>0</v>
      </c>
      <c r="AR45">
        <v>0</v>
      </c>
      <c r="AS45" t="s">
        <v>3</v>
      </c>
      <c r="AT45">
        <v>0.01</v>
      </c>
      <c r="AU45" t="s">
        <v>139</v>
      </c>
      <c r="AV45">
        <v>0</v>
      </c>
      <c r="AW45">
        <v>2</v>
      </c>
      <c r="AX45">
        <v>37378934</v>
      </c>
      <c r="AY45">
        <v>1</v>
      </c>
      <c r="AZ45">
        <v>0</v>
      </c>
      <c r="BA45">
        <v>46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CX45">
        <f>Y45*Source!I77</f>
        <v>6.3750000000000005E-3</v>
      </c>
      <c r="CY45">
        <f>AB45</f>
        <v>466.71</v>
      </c>
      <c r="CZ45">
        <f>AF45</f>
        <v>31.26</v>
      </c>
      <c r="DA45">
        <f>AJ45</f>
        <v>14.93</v>
      </c>
      <c r="DB45">
        <f>ROUND((ROUND(AT45*CZ45,2)*1.25),6)</f>
        <v>0.38750000000000001</v>
      </c>
      <c r="DC45">
        <f>ROUND((ROUND(AT45*AG45,2)*1.25),6)</f>
        <v>0.17499999999999999</v>
      </c>
    </row>
    <row r="46" spans="1:107">
      <c r="A46">
        <f>ROW(Source!A77)</f>
        <v>77</v>
      </c>
      <c r="B46">
        <v>35841400</v>
      </c>
      <c r="C46">
        <v>37378931</v>
      </c>
      <c r="D46">
        <v>29174913</v>
      </c>
      <c r="E46">
        <v>1</v>
      </c>
      <c r="F46">
        <v>1</v>
      </c>
      <c r="G46">
        <v>1</v>
      </c>
      <c r="H46">
        <v>2</v>
      </c>
      <c r="I46" t="s">
        <v>381</v>
      </c>
      <c r="J46" t="s">
        <v>382</v>
      </c>
      <c r="K46" t="s">
        <v>383</v>
      </c>
      <c r="L46">
        <v>1368</v>
      </c>
      <c r="N46">
        <v>1011</v>
      </c>
      <c r="O46" t="s">
        <v>367</v>
      </c>
      <c r="P46" t="s">
        <v>367</v>
      </c>
      <c r="Q46">
        <v>1</v>
      </c>
      <c r="W46">
        <v>0</v>
      </c>
      <c r="X46">
        <v>1230759911</v>
      </c>
      <c r="Y46">
        <v>0.125</v>
      </c>
      <c r="AA46">
        <v>0</v>
      </c>
      <c r="AB46">
        <v>932.72</v>
      </c>
      <c r="AC46">
        <v>389.76</v>
      </c>
      <c r="AD46">
        <v>0</v>
      </c>
      <c r="AE46">
        <v>0</v>
      </c>
      <c r="AF46">
        <v>87.17</v>
      </c>
      <c r="AG46">
        <v>11.6</v>
      </c>
      <c r="AH46">
        <v>0</v>
      </c>
      <c r="AI46">
        <v>1</v>
      </c>
      <c r="AJ46">
        <v>10.7</v>
      </c>
      <c r="AK46">
        <v>33.6</v>
      </c>
      <c r="AL46">
        <v>1</v>
      </c>
      <c r="AN46">
        <v>0</v>
      </c>
      <c r="AO46">
        <v>1</v>
      </c>
      <c r="AP46">
        <v>1</v>
      </c>
      <c r="AQ46">
        <v>0</v>
      </c>
      <c r="AR46">
        <v>0</v>
      </c>
      <c r="AS46" t="s">
        <v>3</v>
      </c>
      <c r="AT46">
        <v>0.1</v>
      </c>
      <c r="AU46" t="s">
        <v>139</v>
      </c>
      <c r="AV46">
        <v>0</v>
      </c>
      <c r="AW46">
        <v>2</v>
      </c>
      <c r="AX46">
        <v>37378935</v>
      </c>
      <c r="AY46">
        <v>1</v>
      </c>
      <c r="AZ46">
        <v>0</v>
      </c>
      <c r="BA46">
        <v>47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CX46">
        <f>Y46*Source!I77</f>
        <v>6.3750000000000001E-2</v>
      </c>
      <c r="CY46">
        <f>AB46</f>
        <v>932.72</v>
      </c>
      <c r="CZ46">
        <f>AF46</f>
        <v>87.17</v>
      </c>
      <c r="DA46">
        <f>AJ46</f>
        <v>10.7</v>
      </c>
      <c r="DB46">
        <f>ROUND((ROUND(AT46*CZ46,2)*1.25),6)</f>
        <v>10.9</v>
      </c>
      <c r="DC46">
        <f>ROUND((ROUND(AT46*AG46,2)*1.25),6)</f>
        <v>1.45</v>
      </c>
    </row>
    <row r="47" spans="1:107">
      <c r="A47">
        <f>ROW(Source!A77)</f>
        <v>77</v>
      </c>
      <c r="B47">
        <v>35841400</v>
      </c>
      <c r="C47">
        <v>37378931</v>
      </c>
      <c r="D47">
        <v>29107779</v>
      </c>
      <c r="E47">
        <v>1</v>
      </c>
      <c r="F47">
        <v>1</v>
      </c>
      <c r="G47">
        <v>1</v>
      </c>
      <c r="H47">
        <v>3</v>
      </c>
      <c r="I47" t="s">
        <v>458</v>
      </c>
      <c r="J47" t="s">
        <v>459</v>
      </c>
      <c r="K47" t="s">
        <v>460</v>
      </c>
      <c r="L47">
        <v>1327</v>
      </c>
      <c r="N47">
        <v>1005</v>
      </c>
      <c r="O47" t="s">
        <v>129</v>
      </c>
      <c r="P47" t="s">
        <v>129</v>
      </c>
      <c r="Q47">
        <v>1</v>
      </c>
      <c r="W47">
        <v>0</v>
      </c>
      <c r="X47">
        <v>-1827594923</v>
      </c>
      <c r="Y47">
        <v>0.84</v>
      </c>
      <c r="AA47">
        <v>203.19</v>
      </c>
      <c r="AB47">
        <v>0</v>
      </c>
      <c r="AC47">
        <v>0</v>
      </c>
      <c r="AD47">
        <v>0</v>
      </c>
      <c r="AE47">
        <v>72.31</v>
      </c>
      <c r="AF47">
        <v>0</v>
      </c>
      <c r="AG47">
        <v>0</v>
      </c>
      <c r="AH47">
        <v>0</v>
      </c>
      <c r="AI47">
        <v>2.81</v>
      </c>
      <c r="AJ47">
        <v>1</v>
      </c>
      <c r="AK47">
        <v>1</v>
      </c>
      <c r="AL47">
        <v>1</v>
      </c>
      <c r="AN47">
        <v>0</v>
      </c>
      <c r="AO47">
        <v>1</v>
      </c>
      <c r="AP47">
        <v>0</v>
      </c>
      <c r="AQ47">
        <v>0</v>
      </c>
      <c r="AR47">
        <v>0</v>
      </c>
      <c r="AS47" t="s">
        <v>3</v>
      </c>
      <c r="AT47">
        <v>0.84</v>
      </c>
      <c r="AU47" t="s">
        <v>3</v>
      </c>
      <c r="AV47">
        <v>0</v>
      </c>
      <c r="AW47">
        <v>2</v>
      </c>
      <c r="AX47">
        <v>37378936</v>
      </c>
      <c r="AY47">
        <v>1</v>
      </c>
      <c r="AZ47">
        <v>0</v>
      </c>
      <c r="BA47">
        <v>48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CX47">
        <f>Y47*Source!I77</f>
        <v>0.4284</v>
      </c>
      <c r="CY47">
        <f>AA47</f>
        <v>203.19</v>
      </c>
      <c r="CZ47">
        <f>AE47</f>
        <v>72.31</v>
      </c>
      <c r="DA47">
        <f>AI47</f>
        <v>2.81</v>
      </c>
      <c r="DB47">
        <f>ROUND(ROUND(AT47*CZ47,2),6)</f>
        <v>60.74</v>
      </c>
      <c r="DC47">
        <f>ROUND(ROUND(AT47*AG47,2),6)</f>
        <v>0</v>
      </c>
    </row>
    <row r="48" spans="1:107">
      <c r="A48">
        <f>ROW(Source!A77)</f>
        <v>77</v>
      </c>
      <c r="B48">
        <v>35841400</v>
      </c>
      <c r="C48">
        <v>37378931</v>
      </c>
      <c r="D48">
        <v>29109797</v>
      </c>
      <c r="E48">
        <v>1</v>
      </c>
      <c r="F48">
        <v>1</v>
      </c>
      <c r="G48">
        <v>1</v>
      </c>
      <c r="H48">
        <v>3</v>
      </c>
      <c r="I48" t="s">
        <v>461</v>
      </c>
      <c r="J48" t="s">
        <v>462</v>
      </c>
      <c r="K48" t="s">
        <v>463</v>
      </c>
      <c r="L48">
        <v>1348</v>
      </c>
      <c r="N48">
        <v>1009</v>
      </c>
      <c r="O48" t="s">
        <v>41</v>
      </c>
      <c r="P48" t="s">
        <v>41</v>
      </c>
      <c r="Q48">
        <v>1000</v>
      </c>
      <c r="W48">
        <v>0</v>
      </c>
      <c r="X48">
        <v>-1515146857</v>
      </c>
      <c r="Y48">
        <v>5.0000000000000001E-3</v>
      </c>
      <c r="AA48">
        <v>19924.25</v>
      </c>
      <c r="AB48">
        <v>0</v>
      </c>
      <c r="AC48">
        <v>0</v>
      </c>
      <c r="AD48">
        <v>0</v>
      </c>
      <c r="AE48">
        <v>4294.0200000000004</v>
      </c>
      <c r="AF48">
        <v>0</v>
      </c>
      <c r="AG48">
        <v>0</v>
      </c>
      <c r="AH48">
        <v>0</v>
      </c>
      <c r="AI48">
        <v>4.6399999999999997</v>
      </c>
      <c r="AJ48">
        <v>1</v>
      </c>
      <c r="AK48">
        <v>1</v>
      </c>
      <c r="AL48">
        <v>1</v>
      </c>
      <c r="AN48">
        <v>0</v>
      </c>
      <c r="AO48">
        <v>1</v>
      </c>
      <c r="AP48">
        <v>0</v>
      </c>
      <c r="AQ48">
        <v>0</v>
      </c>
      <c r="AR48">
        <v>0</v>
      </c>
      <c r="AS48" t="s">
        <v>3</v>
      </c>
      <c r="AT48">
        <v>5.0000000000000001E-3</v>
      </c>
      <c r="AU48" t="s">
        <v>3</v>
      </c>
      <c r="AV48">
        <v>0</v>
      </c>
      <c r="AW48">
        <v>2</v>
      </c>
      <c r="AX48">
        <v>37378937</v>
      </c>
      <c r="AY48">
        <v>1</v>
      </c>
      <c r="AZ48">
        <v>0</v>
      </c>
      <c r="BA48">
        <v>49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CX48">
        <f>Y48*Source!I77</f>
        <v>2.5500000000000002E-3</v>
      </c>
      <c r="CY48">
        <f>AA48</f>
        <v>19924.25</v>
      </c>
      <c r="CZ48">
        <f>AE48</f>
        <v>4294.0200000000004</v>
      </c>
      <c r="DA48">
        <f>AI48</f>
        <v>4.6399999999999997</v>
      </c>
      <c r="DB48">
        <f>ROUND(ROUND(AT48*CZ48,2),6)</f>
        <v>21.47</v>
      </c>
      <c r="DC48">
        <f>ROUND(ROUND(AT48*AG48,2),6)</f>
        <v>0</v>
      </c>
    </row>
    <row r="49" spans="1:107">
      <c r="A49">
        <f>ROW(Source!A77)</f>
        <v>77</v>
      </c>
      <c r="B49">
        <v>35841400</v>
      </c>
      <c r="C49">
        <v>37378931</v>
      </c>
      <c r="D49">
        <v>29107800</v>
      </c>
      <c r="E49">
        <v>1</v>
      </c>
      <c r="F49">
        <v>1</v>
      </c>
      <c r="G49">
        <v>1</v>
      </c>
      <c r="H49">
        <v>3</v>
      </c>
      <c r="I49" t="s">
        <v>384</v>
      </c>
      <c r="J49" t="s">
        <v>385</v>
      </c>
      <c r="K49" t="s">
        <v>386</v>
      </c>
      <c r="L49">
        <v>1346</v>
      </c>
      <c r="N49">
        <v>1009</v>
      </c>
      <c r="O49" t="s">
        <v>151</v>
      </c>
      <c r="P49" t="s">
        <v>151</v>
      </c>
      <c r="Q49">
        <v>1</v>
      </c>
      <c r="W49">
        <v>0</v>
      </c>
      <c r="X49">
        <v>644139035</v>
      </c>
      <c r="Y49">
        <v>0.31</v>
      </c>
      <c r="AA49">
        <v>46.61</v>
      </c>
      <c r="AB49">
        <v>0</v>
      </c>
      <c r="AC49">
        <v>0</v>
      </c>
      <c r="AD49">
        <v>0</v>
      </c>
      <c r="AE49">
        <v>1.81</v>
      </c>
      <c r="AF49">
        <v>0</v>
      </c>
      <c r="AG49">
        <v>0</v>
      </c>
      <c r="AH49">
        <v>0</v>
      </c>
      <c r="AI49">
        <v>25.75</v>
      </c>
      <c r="AJ49">
        <v>1</v>
      </c>
      <c r="AK49">
        <v>1</v>
      </c>
      <c r="AL49">
        <v>1</v>
      </c>
      <c r="AN49">
        <v>0</v>
      </c>
      <c r="AO49">
        <v>1</v>
      </c>
      <c r="AP49">
        <v>0</v>
      </c>
      <c r="AQ49">
        <v>0</v>
      </c>
      <c r="AR49">
        <v>0</v>
      </c>
      <c r="AS49" t="s">
        <v>3</v>
      </c>
      <c r="AT49">
        <v>0.31</v>
      </c>
      <c r="AU49" t="s">
        <v>3</v>
      </c>
      <c r="AV49">
        <v>0</v>
      </c>
      <c r="AW49">
        <v>2</v>
      </c>
      <c r="AX49">
        <v>37378938</v>
      </c>
      <c r="AY49">
        <v>1</v>
      </c>
      <c r="AZ49">
        <v>0</v>
      </c>
      <c r="BA49">
        <v>50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CX49">
        <f>Y49*Source!I77</f>
        <v>0.15809999999999999</v>
      </c>
      <c r="CY49">
        <f>AA49</f>
        <v>46.61</v>
      </c>
      <c r="CZ49">
        <f>AE49</f>
        <v>1.81</v>
      </c>
      <c r="DA49">
        <f>AI49</f>
        <v>25.75</v>
      </c>
      <c r="DB49">
        <f>ROUND(ROUND(AT49*CZ49,2),6)</f>
        <v>0.56000000000000005</v>
      </c>
      <c r="DC49">
        <f>ROUND(ROUND(AT49*AG49,2),6)</f>
        <v>0</v>
      </c>
    </row>
    <row r="50" spans="1:107">
      <c r="A50">
        <f>ROW(Source!A77)</f>
        <v>77</v>
      </c>
      <c r="B50">
        <v>35841400</v>
      </c>
      <c r="C50">
        <v>37378931</v>
      </c>
      <c r="D50">
        <v>29110439</v>
      </c>
      <c r="E50">
        <v>1</v>
      </c>
      <c r="F50">
        <v>1</v>
      </c>
      <c r="G50">
        <v>1</v>
      </c>
      <c r="H50">
        <v>3</v>
      </c>
      <c r="I50" t="s">
        <v>464</v>
      </c>
      <c r="J50" t="s">
        <v>465</v>
      </c>
      <c r="K50" t="s">
        <v>466</v>
      </c>
      <c r="L50">
        <v>1348</v>
      </c>
      <c r="N50">
        <v>1009</v>
      </c>
      <c r="O50" t="s">
        <v>41</v>
      </c>
      <c r="P50" t="s">
        <v>41</v>
      </c>
      <c r="Q50">
        <v>1000</v>
      </c>
      <c r="W50">
        <v>0</v>
      </c>
      <c r="X50">
        <v>-764270001</v>
      </c>
      <c r="Y50">
        <v>6.3E-2</v>
      </c>
      <c r="AA50">
        <v>60221.13</v>
      </c>
      <c r="AB50">
        <v>0</v>
      </c>
      <c r="AC50">
        <v>0</v>
      </c>
      <c r="AD50">
        <v>0</v>
      </c>
      <c r="AE50">
        <v>15481.01</v>
      </c>
      <c r="AF50">
        <v>0</v>
      </c>
      <c r="AG50">
        <v>0</v>
      </c>
      <c r="AH50">
        <v>0</v>
      </c>
      <c r="AI50">
        <v>3.89</v>
      </c>
      <c r="AJ50">
        <v>1</v>
      </c>
      <c r="AK50">
        <v>1</v>
      </c>
      <c r="AL50">
        <v>1</v>
      </c>
      <c r="AN50">
        <v>0</v>
      </c>
      <c r="AO50">
        <v>1</v>
      </c>
      <c r="AP50">
        <v>0</v>
      </c>
      <c r="AQ50">
        <v>0</v>
      </c>
      <c r="AR50">
        <v>0</v>
      </c>
      <c r="AS50" t="s">
        <v>3</v>
      </c>
      <c r="AT50">
        <v>6.3E-2</v>
      </c>
      <c r="AU50" t="s">
        <v>3</v>
      </c>
      <c r="AV50">
        <v>0</v>
      </c>
      <c r="AW50">
        <v>2</v>
      </c>
      <c r="AX50">
        <v>37378939</v>
      </c>
      <c r="AY50">
        <v>1</v>
      </c>
      <c r="AZ50">
        <v>0</v>
      </c>
      <c r="BA50">
        <v>51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CX50">
        <f>Y50*Source!I77</f>
        <v>3.2129999999999999E-2</v>
      </c>
      <c r="CY50">
        <f>AA50</f>
        <v>60221.13</v>
      </c>
      <c r="CZ50">
        <f>AE50</f>
        <v>15481.01</v>
      </c>
      <c r="DA50">
        <f>AI50</f>
        <v>3.89</v>
      </c>
      <c r="DB50">
        <f>ROUND(ROUND(AT50*CZ50,2),6)</f>
        <v>975.3</v>
      </c>
      <c r="DC50">
        <f>ROUND(ROUND(AT50*AG50,2),6)</f>
        <v>0</v>
      </c>
    </row>
    <row r="51" spans="1:107">
      <c r="A51">
        <f>ROW(Source!A78)</f>
        <v>78</v>
      </c>
      <c r="B51">
        <v>35841400</v>
      </c>
      <c r="C51">
        <v>36517044</v>
      </c>
      <c r="D51">
        <v>18413230</v>
      </c>
      <c r="E51">
        <v>1</v>
      </c>
      <c r="F51">
        <v>1</v>
      </c>
      <c r="G51">
        <v>1</v>
      </c>
      <c r="H51">
        <v>1</v>
      </c>
      <c r="I51" t="s">
        <v>467</v>
      </c>
      <c r="J51" t="s">
        <v>3</v>
      </c>
      <c r="K51" t="s">
        <v>468</v>
      </c>
      <c r="L51">
        <v>1369</v>
      </c>
      <c r="N51">
        <v>1013</v>
      </c>
      <c r="O51" t="s">
        <v>361</v>
      </c>
      <c r="P51" t="s">
        <v>361</v>
      </c>
      <c r="Q51">
        <v>1</v>
      </c>
      <c r="W51">
        <v>0</v>
      </c>
      <c r="X51">
        <v>355262106</v>
      </c>
      <c r="Y51">
        <v>59.673499999999997</v>
      </c>
      <c r="AA51">
        <v>0</v>
      </c>
      <c r="AB51">
        <v>0</v>
      </c>
      <c r="AC51">
        <v>0</v>
      </c>
      <c r="AD51">
        <v>304.64</v>
      </c>
      <c r="AE51">
        <v>0</v>
      </c>
      <c r="AF51">
        <v>0</v>
      </c>
      <c r="AG51">
        <v>0</v>
      </c>
      <c r="AH51">
        <v>304.64</v>
      </c>
      <c r="AI51">
        <v>1</v>
      </c>
      <c r="AJ51">
        <v>1</v>
      </c>
      <c r="AK51">
        <v>1</v>
      </c>
      <c r="AL51">
        <v>1</v>
      </c>
      <c r="AN51">
        <v>0</v>
      </c>
      <c r="AO51">
        <v>1</v>
      </c>
      <c r="AP51">
        <v>1</v>
      </c>
      <c r="AQ51">
        <v>0</v>
      </c>
      <c r="AR51">
        <v>0</v>
      </c>
      <c r="AS51" t="s">
        <v>3</v>
      </c>
      <c r="AT51">
        <v>51.89</v>
      </c>
      <c r="AU51" t="s">
        <v>114</v>
      </c>
      <c r="AV51">
        <v>1</v>
      </c>
      <c r="AW51">
        <v>2</v>
      </c>
      <c r="AX51">
        <v>36517045</v>
      </c>
      <c r="AY51">
        <v>1</v>
      </c>
      <c r="AZ51">
        <v>0</v>
      </c>
      <c r="BA51">
        <v>52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CX51">
        <f>Y51*Source!I78</f>
        <v>46.485656499999997</v>
      </c>
      <c r="CY51">
        <f>AD51</f>
        <v>304.64</v>
      </c>
      <c r="CZ51">
        <f>AH51</f>
        <v>304.64</v>
      </c>
      <c r="DA51">
        <f>AL51</f>
        <v>1</v>
      </c>
      <c r="DB51">
        <f>ROUND((ROUND(AT51*CZ51,2)*1.15),6)</f>
        <v>18178.9355</v>
      </c>
      <c r="DC51">
        <f>ROUND((ROUND(AT51*AG51,2)*1.15),6)</f>
        <v>0</v>
      </c>
    </row>
    <row r="52" spans="1:107">
      <c r="A52">
        <f>ROW(Source!A78)</f>
        <v>78</v>
      </c>
      <c r="B52">
        <v>35841400</v>
      </c>
      <c r="C52">
        <v>36517044</v>
      </c>
      <c r="D52">
        <v>121548</v>
      </c>
      <c r="E52">
        <v>1</v>
      </c>
      <c r="F52">
        <v>1</v>
      </c>
      <c r="G52">
        <v>1</v>
      </c>
      <c r="H52">
        <v>1</v>
      </c>
      <c r="I52" t="s">
        <v>213</v>
      </c>
      <c r="J52" t="s">
        <v>3</v>
      </c>
      <c r="K52" t="s">
        <v>362</v>
      </c>
      <c r="L52">
        <v>608254</v>
      </c>
      <c r="N52">
        <v>1013</v>
      </c>
      <c r="O52" t="s">
        <v>363</v>
      </c>
      <c r="P52" t="s">
        <v>363</v>
      </c>
      <c r="Q52">
        <v>1</v>
      </c>
      <c r="W52">
        <v>0</v>
      </c>
      <c r="X52">
        <v>-185737400</v>
      </c>
      <c r="Y52">
        <v>1.87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1</v>
      </c>
      <c r="AJ52">
        <v>1</v>
      </c>
      <c r="AK52">
        <v>1</v>
      </c>
      <c r="AL52">
        <v>1</v>
      </c>
      <c r="AN52">
        <v>0</v>
      </c>
      <c r="AO52">
        <v>1</v>
      </c>
      <c r="AP52">
        <v>1</v>
      </c>
      <c r="AQ52">
        <v>0</v>
      </c>
      <c r="AR52">
        <v>0</v>
      </c>
      <c r="AS52" t="s">
        <v>3</v>
      </c>
      <c r="AT52">
        <v>1.87</v>
      </c>
      <c r="AU52" t="s">
        <v>3</v>
      </c>
      <c r="AV52">
        <v>2</v>
      </c>
      <c r="AW52">
        <v>2</v>
      </c>
      <c r="AX52">
        <v>36517046</v>
      </c>
      <c r="AY52">
        <v>1</v>
      </c>
      <c r="AZ52">
        <v>0</v>
      </c>
      <c r="BA52">
        <v>53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CX52">
        <f>Y52*Source!I78</f>
        <v>1.4567300000000001</v>
      </c>
      <c r="CY52">
        <f>AD52</f>
        <v>0</v>
      </c>
      <c r="CZ52">
        <f>AH52</f>
        <v>0</v>
      </c>
      <c r="DA52">
        <f>AL52</f>
        <v>1</v>
      </c>
      <c r="DB52">
        <f t="shared" ref="DB52:DB57" si="9">ROUND(ROUND(AT52*CZ52,2),6)</f>
        <v>0</v>
      </c>
      <c r="DC52">
        <f t="shared" ref="DC52:DC57" si="10">ROUND(ROUND(AT52*AG52,2),6)</f>
        <v>0</v>
      </c>
    </row>
    <row r="53" spans="1:107">
      <c r="A53">
        <f>ROW(Source!A78)</f>
        <v>78</v>
      </c>
      <c r="B53">
        <v>35841400</v>
      </c>
      <c r="C53">
        <v>36517044</v>
      </c>
      <c r="D53">
        <v>29172479</v>
      </c>
      <c r="E53">
        <v>1</v>
      </c>
      <c r="F53">
        <v>1</v>
      </c>
      <c r="G53">
        <v>1</v>
      </c>
      <c r="H53">
        <v>2</v>
      </c>
      <c r="I53" t="s">
        <v>469</v>
      </c>
      <c r="J53" t="s">
        <v>470</v>
      </c>
      <c r="K53" t="s">
        <v>471</v>
      </c>
      <c r="L53">
        <v>1368</v>
      </c>
      <c r="N53">
        <v>1011</v>
      </c>
      <c r="O53" t="s">
        <v>367</v>
      </c>
      <c r="P53" t="s">
        <v>367</v>
      </c>
      <c r="Q53">
        <v>1</v>
      </c>
      <c r="W53">
        <v>0</v>
      </c>
      <c r="X53">
        <v>1549832887</v>
      </c>
      <c r="Y53">
        <v>0.04</v>
      </c>
      <c r="AA53">
        <v>0</v>
      </c>
      <c r="AB53">
        <v>901.01</v>
      </c>
      <c r="AC53">
        <v>338.02</v>
      </c>
      <c r="AD53">
        <v>0</v>
      </c>
      <c r="AE53">
        <v>0</v>
      </c>
      <c r="AF53">
        <v>99.89</v>
      </c>
      <c r="AG53">
        <v>10.06</v>
      </c>
      <c r="AH53">
        <v>0</v>
      </c>
      <c r="AI53">
        <v>1</v>
      </c>
      <c r="AJ53">
        <v>9.02</v>
      </c>
      <c r="AK53">
        <v>33.6</v>
      </c>
      <c r="AL53">
        <v>1</v>
      </c>
      <c r="AN53">
        <v>0</v>
      </c>
      <c r="AO53">
        <v>1</v>
      </c>
      <c r="AP53">
        <v>1</v>
      </c>
      <c r="AQ53">
        <v>0</v>
      </c>
      <c r="AR53">
        <v>0</v>
      </c>
      <c r="AS53" t="s">
        <v>3</v>
      </c>
      <c r="AT53">
        <v>0.04</v>
      </c>
      <c r="AU53" t="s">
        <v>3</v>
      </c>
      <c r="AV53">
        <v>0</v>
      </c>
      <c r="AW53">
        <v>2</v>
      </c>
      <c r="AX53">
        <v>36517047</v>
      </c>
      <c r="AY53">
        <v>1</v>
      </c>
      <c r="AZ53">
        <v>0</v>
      </c>
      <c r="BA53">
        <v>54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CX53">
        <f>Y53*Source!I78</f>
        <v>3.116E-2</v>
      </c>
      <c r="CY53">
        <f>AB53</f>
        <v>901.01</v>
      </c>
      <c r="CZ53">
        <f>AF53</f>
        <v>99.89</v>
      </c>
      <c r="DA53">
        <f>AJ53</f>
        <v>9.02</v>
      </c>
      <c r="DB53">
        <f t="shared" si="9"/>
        <v>4</v>
      </c>
      <c r="DC53">
        <f t="shared" si="10"/>
        <v>0.4</v>
      </c>
    </row>
    <row r="54" spans="1:107">
      <c r="A54">
        <f>ROW(Source!A78)</f>
        <v>78</v>
      </c>
      <c r="B54">
        <v>35841400</v>
      </c>
      <c r="C54">
        <v>36517044</v>
      </c>
      <c r="D54">
        <v>29172556</v>
      </c>
      <c r="E54">
        <v>1</v>
      </c>
      <c r="F54">
        <v>1</v>
      </c>
      <c r="G54">
        <v>1</v>
      </c>
      <c r="H54">
        <v>2</v>
      </c>
      <c r="I54" t="s">
        <v>364</v>
      </c>
      <c r="J54" t="s">
        <v>365</v>
      </c>
      <c r="K54" t="s">
        <v>366</v>
      </c>
      <c r="L54">
        <v>1368</v>
      </c>
      <c r="N54">
        <v>1011</v>
      </c>
      <c r="O54" t="s">
        <v>367</v>
      </c>
      <c r="P54" t="s">
        <v>367</v>
      </c>
      <c r="Q54">
        <v>1</v>
      </c>
      <c r="W54">
        <v>0</v>
      </c>
      <c r="X54">
        <v>344519037</v>
      </c>
      <c r="Y54">
        <v>0.16</v>
      </c>
      <c r="AA54">
        <v>0</v>
      </c>
      <c r="AB54">
        <v>466.71</v>
      </c>
      <c r="AC54">
        <v>453.6</v>
      </c>
      <c r="AD54">
        <v>0</v>
      </c>
      <c r="AE54">
        <v>0</v>
      </c>
      <c r="AF54">
        <v>31.26</v>
      </c>
      <c r="AG54">
        <v>13.5</v>
      </c>
      <c r="AH54">
        <v>0</v>
      </c>
      <c r="AI54">
        <v>1</v>
      </c>
      <c r="AJ54">
        <v>14.93</v>
      </c>
      <c r="AK54">
        <v>33.6</v>
      </c>
      <c r="AL54">
        <v>1</v>
      </c>
      <c r="AN54">
        <v>0</v>
      </c>
      <c r="AO54">
        <v>1</v>
      </c>
      <c r="AP54">
        <v>1</v>
      </c>
      <c r="AQ54">
        <v>0</v>
      </c>
      <c r="AR54">
        <v>0</v>
      </c>
      <c r="AS54" t="s">
        <v>3</v>
      </c>
      <c r="AT54">
        <v>0.16</v>
      </c>
      <c r="AU54" t="s">
        <v>3</v>
      </c>
      <c r="AV54">
        <v>0</v>
      </c>
      <c r="AW54">
        <v>2</v>
      </c>
      <c r="AX54">
        <v>36517048</v>
      </c>
      <c r="AY54">
        <v>1</v>
      </c>
      <c r="AZ54">
        <v>0</v>
      </c>
      <c r="BA54">
        <v>55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CX54">
        <f>Y54*Source!I78</f>
        <v>0.12464</v>
      </c>
      <c r="CY54">
        <f>AB54</f>
        <v>466.71</v>
      </c>
      <c r="CZ54">
        <f>AF54</f>
        <v>31.26</v>
      </c>
      <c r="DA54">
        <f>AJ54</f>
        <v>14.93</v>
      </c>
      <c r="DB54">
        <f t="shared" si="9"/>
        <v>5</v>
      </c>
      <c r="DC54">
        <f t="shared" si="10"/>
        <v>2.16</v>
      </c>
    </row>
    <row r="55" spans="1:107">
      <c r="A55">
        <f>ROW(Source!A78)</f>
        <v>78</v>
      </c>
      <c r="B55">
        <v>35841400</v>
      </c>
      <c r="C55">
        <v>36517044</v>
      </c>
      <c r="D55">
        <v>29173141</v>
      </c>
      <c r="E55">
        <v>1</v>
      </c>
      <c r="F55">
        <v>1</v>
      </c>
      <c r="G55">
        <v>1</v>
      </c>
      <c r="H55">
        <v>2</v>
      </c>
      <c r="I55" t="s">
        <v>472</v>
      </c>
      <c r="J55" t="s">
        <v>473</v>
      </c>
      <c r="K55" t="s">
        <v>474</v>
      </c>
      <c r="L55">
        <v>1368</v>
      </c>
      <c r="N55">
        <v>1011</v>
      </c>
      <c r="O55" t="s">
        <v>367</v>
      </c>
      <c r="P55" t="s">
        <v>367</v>
      </c>
      <c r="Q55">
        <v>1</v>
      </c>
      <c r="W55">
        <v>0</v>
      </c>
      <c r="X55">
        <v>-1709160983</v>
      </c>
      <c r="Y55">
        <v>1.67</v>
      </c>
      <c r="AA55">
        <v>0</v>
      </c>
      <c r="AB55">
        <v>364.68</v>
      </c>
      <c r="AC55">
        <v>338.02</v>
      </c>
      <c r="AD55">
        <v>0</v>
      </c>
      <c r="AE55">
        <v>0</v>
      </c>
      <c r="AF55">
        <v>12.4</v>
      </c>
      <c r="AG55">
        <v>10.06</v>
      </c>
      <c r="AH55">
        <v>0</v>
      </c>
      <c r="AI55">
        <v>1</v>
      </c>
      <c r="AJ55">
        <v>29.41</v>
      </c>
      <c r="AK55">
        <v>33.6</v>
      </c>
      <c r="AL55">
        <v>1</v>
      </c>
      <c r="AN55">
        <v>0</v>
      </c>
      <c r="AO55">
        <v>1</v>
      </c>
      <c r="AP55">
        <v>1</v>
      </c>
      <c r="AQ55">
        <v>0</v>
      </c>
      <c r="AR55">
        <v>0</v>
      </c>
      <c r="AS55" t="s">
        <v>3</v>
      </c>
      <c r="AT55">
        <v>1.67</v>
      </c>
      <c r="AU55" t="s">
        <v>3</v>
      </c>
      <c r="AV55">
        <v>0</v>
      </c>
      <c r="AW55">
        <v>2</v>
      </c>
      <c r="AX55">
        <v>36517049</v>
      </c>
      <c r="AY55">
        <v>1</v>
      </c>
      <c r="AZ55">
        <v>0</v>
      </c>
      <c r="BA55">
        <v>56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</v>
      </c>
      <c r="CX55">
        <f>Y55*Source!I78</f>
        <v>1.3009299999999999</v>
      </c>
      <c r="CY55">
        <f>AB55</f>
        <v>364.68</v>
      </c>
      <c r="CZ55">
        <f>AF55</f>
        <v>12.4</v>
      </c>
      <c r="DA55">
        <f>AJ55</f>
        <v>29.41</v>
      </c>
      <c r="DB55">
        <f t="shared" si="9"/>
        <v>20.71</v>
      </c>
      <c r="DC55">
        <f t="shared" si="10"/>
        <v>16.8</v>
      </c>
    </row>
    <row r="56" spans="1:107">
      <c r="A56">
        <f>ROW(Source!A78)</f>
        <v>78</v>
      </c>
      <c r="B56">
        <v>35841400</v>
      </c>
      <c r="C56">
        <v>36517044</v>
      </c>
      <c r="D56">
        <v>29145530</v>
      </c>
      <c r="E56">
        <v>1</v>
      </c>
      <c r="F56">
        <v>1</v>
      </c>
      <c r="G56">
        <v>1</v>
      </c>
      <c r="H56">
        <v>3</v>
      </c>
      <c r="I56" t="s">
        <v>149</v>
      </c>
      <c r="J56" t="s">
        <v>152</v>
      </c>
      <c r="K56" t="s">
        <v>150</v>
      </c>
      <c r="L56">
        <v>1346</v>
      </c>
      <c r="N56">
        <v>1009</v>
      </c>
      <c r="O56" t="s">
        <v>151</v>
      </c>
      <c r="P56" t="s">
        <v>151</v>
      </c>
      <c r="Q56">
        <v>1</v>
      </c>
      <c r="W56">
        <v>0</v>
      </c>
      <c r="X56">
        <v>-1829163937</v>
      </c>
      <c r="Y56">
        <v>443.75963000000002</v>
      </c>
      <c r="AA56">
        <v>12</v>
      </c>
      <c r="AB56">
        <v>0</v>
      </c>
      <c r="AC56">
        <v>0</v>
      </c>
      <c r="AD56">
        <v>0</v>
      </c>
      <c r="AE56">
        <v>2.09</v>
      </c>
      <c r="AF56">
        <v>0</v>
      </c>
      <c r="AG56">
        <v>0</v>
      </c>
      <c r="AH56">
        <v>0</v>
      </c>
      <c r="AI56">
        <v>5.74</v>
      </c>
      <c r="AJ56">
        <v>1</v>
      </c>
      <c r="AK56">
        <v>1</v>
      </c>
      <c r="AL56">
        <v>1</v>
      </c>
      <c r="AN56">
        <v>0</v>
      </c>
      <c r="AO56">
        <v>0</v>
      </c>
      <c r="AP56">
        <v>0</v>
      </c>
      <c r="AQ56">
        <v>0</v>
      </c>
      <c r="AR56">
        <v>0</v>
      </c>
      <c r="AS56" t="s">
        <v>3</v>
      </c>
      <c r="AT56">
        <v>443.75963000000002</v>
      </c>
      <c r="AU56" t="s">
        <v>3</v>
      </c>
      <c r="AV56">
        <v>0</v>
      </c>
      <c r="AW56">
        <v>1</v>
      </c>
      <c r="AX56">
        <v>-1</v>
      </c>
      <c r="AY56">
        <v>0</v>
      </c>
      <c r="AZ56">
        <v>0</v>
      </c>
      <c r="BA56" t="s">
        <v>3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CX56">
        <f>Y56*Source!I78</f>
        <v>345.68875177000001</v>
      </c>
      <c r="CY56">
        <f>AA56</f>
        <v>12</v>
      </c>
      <c r="CZ56">
        <f>AE56</f>
        <v>2.09</v>
      </c>
      <c r="DA56">
        <f>AI56</f>
        <v>5.74</v>
      </c>
      <c r="DB56">
        <f t="shared" si="9"/>
        <v>927.46</v>
      </c>
      <c r="DC56">
        <f t="shared" si="10"/>
        <v>0</v>
      </c>
    </row>
    <row r="57" spans="1:107">
      <c r="A57">
        <f>ROW(Source!A78)</f>
        <v>78</v>
      </c>
      <c r="B57">
        <v>35841400</v>
      </c>
      <c r="C57">
        <v>36517044</v>
      </c>
      <c r="D57">
        <v>29150040</v>
      </c>
      <c r="E57">
        <v>1</v>
      </c>
      <c r="F57">
        <v>1</v>
      </c>
      <c r="G57">
        <v>1</v>
      </c>
      <c r="H57">
        <v>3</v>
      </c>
      <c r="I57" t="s">
        <v>390</v>
      </c>
      <c r="J57" t="s">
        <v>391</v>
      </c>
      <c r="K57" t="s">
        <v>392</v>
      </c>
      <c r="L57">
        <v>1339</v>
      </c>
      <c r="N57">
        <v>1007</v>
      </c>
      <c r="O57" t="s">
        <v>393</v>
      </c>
      <c r="P57" t="s">
        <v>393</v>
      </c>
      <c r="Q57">
        <v>1</v>
      </c>
      <c r="W57">
        <v>0</v>
      </c>
      <c r="X57">
        <v>619799737</v>
      </c>
      <c r="Y57">
        <v>0.63</v>
      </c>
      <c r="AA57">
        <v>22.2</v>
      </c>
      <c r="AB57">
        <v>0</v>
      </c>
      <c r="AC57">
        <v>0</v>
      </c>
      <c r="AD57">
        <v>0</v>
      </c>
      <c r="AE57">
        <v>2.44</v>
      </c>
      <c r="AF57">
        <v>0</v>
      </c>
      <c r="AG57">
        <v>0</v>
      </c>
      <c r="AH57">
        <v>0</v>
      </c>
      <c r="AI57">
        <v>9.1</v>
      </c>
      <c r="AJ57">
        <v>1</v>
      </c>
      <c r="AK57">
        <v>1</v>
      </c>
      <c r="AL57">
        <v>1</v>
      </c>
      <c r="AN57">
        <v>0</v>
      </c>
      <c r="AO57">
        <v>1</v>
      </c>
      <c r="AP57">
        <v>0</v>
      </c>
      <c r="AQ57">
        <v>0</v>
      </c>
      <c r="AR57">
        <v>0</v>
      </c>
      <c r="AS57" t="s">
        <v>3</v>
      </c>
      <c r="AT57">
        <v>0.63</v>
      </c>
      <c r="AU57" t="s">
        <v>3</v>
      </c>
      <c r="AV57">
        <v>0</v>
      </c>
      <c r="AW57">
        <v>2</v>
      </c>
      <c r="AX57">
        <v>36517052</v>
      </c>
      <c r="AY57">
        <v>1</v>
      </c>
      <c r="AZ57">
        <v>0</v>
      </c>
      <c r="BA57">
        <v>59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CX57">
        <f>Y57*Source!I78</f>
        <v>0.49077000000000004</v>
      </c>
      <c r="CY57">
        <f>AA57</f>
        <v>22.2</v>
      </c>
      <c r="CZ57">
        <f>AE57</f>
        <v>2.44</v>
      </c>
      <c r="DA57">
        <f>AI57</f>
        <v>9.1</v>
      </c>
      <c r="DB57">
        <f t="shared" si="9"/>
        <v>1.54</v>
      </c>
      <c r="DC57">
        <f t="shared" si="10"/>
        <v>0</v>
      </c>
    </row>
    <row r="58" spans="1:107">
      <c r="A58">
        <f>ROW(Source!A80)</f>
        <v>80</v>
      </c>
      <c r="B58">
        <v>35841400</v>
      </c>
      <c r="C58">
        <v>37377886</v>
      </c>
      <c r="D58">
        <v>18410171</v>
      </c>
      <c r="E58">
        <v>1</v>
      </c>
      <c r="F58">
        <v>1</v>
      </c>
      <c r="G58">
        <v>1</v>
      </c>
      <c r="H58">
        <v>1</v>
      </c>
      <c r="I58" t="s">
        <v>456</v>
      </c>
      <c r="J58" t="s">
        <v>3</v>
      </c>
      <c r="K58" t="s">
        <v>457</v>
      </c>
      <c r="L58">
        <v>1369</v>
      </c>
      <c r="N58">
        <v>1013</v>
      </c>
      <c r="O58" t="s">
        <v>361</v>
      </c>
      <c r="P58" t="s">
        <v>361</v>
      </c>
      <c r="Q58">
        <v>1</v>
      </c>
      <c r="W58">
        <v>0</v>
      </c>
      <c r="X58">
        <v>1151098980</v>
      </c>
      <c r="Y58">
        <v>49.334999999999994</v>
      </c>
      <c r="AA58">
        <v>0</v>
      </c>
      <c r="AB58">
        <v>0</v>
      </c>
      <c r="AC58">
        <v>0</v>
      </c>
      <c r="AD58">
        <v>297.67</v>
      </c>
      <c r="AE58">
        <v>0</v>
      </c>
      <c r="AF58">
        <v>0</v>
      </c>
      <c r="AG58">
        <v>0</v>
      </c>
      <c r="AH58">
        <v>297.67</v>
      </c>
      <c r="AI58">
        <v>1</v>
      </c>
      <c r="AJ58">
        <v>1</v>
      </c>
      <c r="AK58">
        <v>1</v>
      </c>
      <c r="AL58">
        <v>1</v>
      </c>
      <c r="AN58">
        <v>0</v>
      </c>
      <c r="AO58">
        <v>1</v>
      </c>
      <c r="AP58">
        <v>1</v>
      </c>
      <c r="AQ58">
        <v>0</v>
      </c>
      <c r="AR58">
        <v>0</v>
      </c>
      <c r="AS58" t="s">
        <v>3</v>
      </c>
      <c r="AT58">
        <v>42.9</v>
      </c>
      <c r="AU58" t="s">
        <v>114</v>
      </c>
      <c r="AV58">
        <v>1</v>
      </c>
      <c r="AW58">
        <v>2</v>
      </c>
      <c r="AX58">
        <v>37377887</v>
      </c>
      <c r="AY58">
        <v>1</v>
      </c>
      <c r="AZ58">
        <v>0</v>
      </c>
      <c r="BA58">
        <v>60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0</v>
      </c>
      <c r="CX58">
        <f>Y58*Source!I80</f>
        <v>38.431964999999998</v>
      </c>
      <c r="CY58">
        <f>AD58</f>
        <v>297.67</v>
      </c>
      <c r="CZ58">
        <f>AH58</f>
        <v>297.67</v>
      </c>
      <c r="DA58">
        <f>AL58</f>
        <v>1</v>
      </c>
      <c r="DB58">
        <f>ROUND((ROUND(AT58*CZ58,2)*1.15),6)</f>
        <v>14685.546</v>
      </c>
      <c r="DC58">
        <f>ROUND((ROUND(AT58*AG58,2)*1.15),6)</f>
        <v>0</v>
      </c>
    </row>
    <row r="59" spans="1:107">
      <c r="A59">
        <f>ROW(Source!A80)</f>
        <v>80</v>
      </c>
      <c r="B59">
        <v>35841400</v>
      </c>
      <c r="C59">
        <v>37377886</v>
      </c>
      <c r="D59">
        <v>121548</v>
      </c>
      <c r="E59">
        <v>1</v>
      </c>
      <c r="F59">
        <v>1</v>
      </c>
      <c r="G59">
        <v>1</v>
      </c>
      <c r="H59">
        <v>1</v>
      </c>
      <c r="I59" t="s">
        <v>213</v>
      </c>
      <c r="J59" t="s">
        <v>3</v>
      </c>
      <c r="K59" t="s">
        <v>362</v>
      </c>
      <c r="L59">
        <v>608254</v>
      </c>
      <c r="N59">
        <v>1013</v>
      </c>
      <c r="O59" t="s">
        <v>363</v>
      </c>
      <c r="P59" t="s">
        <v>363</v>
      </c>
      <c r="Q59">
        <v>1</v>
      </c>
      <c r="W59">
        <v>0</v>
      </c>
      <c r="X59">
        <v>-185737400</v>
      </c>
      <c r="Y59">
        <v>2.5000000000000001E-2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1</v>
      </c>
      <c r="AJ59">
        <v>1</v>
      </c>
      <c r="AK59">
        <v>1</v>
      </c>
      <c r="AL59">
        <v>1</v>
      </c>
      <c r="AN59">
        <v>0</v>
      </c>
      <c r="AO59">
        <v>1</v>
      </c>
      <c r="AP59">
        <v>1</v>
      </c>
      <c r="AQ59">
        <v>0</v>
      </c>
      <c r="AR59">
        <v>0</v>
      </c>
      <c r="AS59" t="s">
        <v>3</v>
      </c>
      <c r="AT59">
        <v>0.02</v>
      </c>
      <c r="AU59" t="s">
        <v>139</v>
      </c>
      <c r="AV59">
        <v>2</v>
      </c>
      <c r="AW59">
        <v>2</v>
      </c>
      <c r="AX59">
        <v>37377888</v>
      </c>
      <c r="AY59">
        <v>1</v>
      </c>
      <c r="AZ59">
        <v>0</v>
      </c>
      <c r="BA59">
        <v>61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CX59">
        <f>Y59*Source!I80</f>
        <v>1.9475000000000003E-2</v>
      </c>
      <c r="CY59">
        <f>AD59</f>
        <v>0</v>
      </c>
      <c r="CZ59">
        <f>AH59</f>
        <v>0</v>
      </c>
      <c r="DA59">
        <f>AL59</f>
        <v>1</v>
      </c>
      <c r="DB59">
        <f>ROUND((ROUND(AT59*CZ59,2)*1.25),6)</f>
        <v>0</v>
      </c>
      <c r="DC59">
        <f>ROUND((ROUND(AT59*AG59,2)*1.25),6)</f>
        <v>0</v>
      </c>
    </row>
    <row r="60" spans="1:107">
      <c r="A60">
        <f>ROW(Source!A80)</f>
        <v>80</v>
      </c>
      <c r="B60">
        <v>35841400</v>
      </c>
      <c r="C60">
        <v>37377886</v>
      </c>
      <c r="D60">
        <v>29172556</v>
      </c>
      <c r="E60">
        <v>1</v>
      </c>
      <c r="F60">
        <v>1</v>
      </c>
      <c r="G60">
        <v>1</v>
      </c>
      <c r="H60">
        <v>2</v>
      </c>
      <c r="I60" t="s">
        <v>364</v>
      </c>
      <c r="J60" t="s">
        <v>365</v>
      </c>
      <c r="K60" t="s">
        <v>366</v>
      </c>
      <c r="L60">
        <v>1368</v>
      </c>
      <c r="N60">
        <v>1011</v>
      </c>
      <c r="O60" t="s">
        <v>367</v>
      </c>
      <c r="P60" t="s">
        <v>367</v>
      </c>
      <c r="Q60">
        <v>1</v>
      </c>
      <c r="W60">
        <v>0</v>
      </c>
      <c r="X60">
        <v>344519037</v>
      </c>
      <c r="Y60">
        <v>2.5000000000000001E-2</v>
      </c>
      <c r="AA60">
        <v>0</v>
      </c>
      <c r="AB60">
        <v>466.71</v>
      </c>
      <c r="AC60">
        <v>453.6</v>
      </c>
      <c r="AD60">
        <v>0</v>
      </c>
      <c r="AE60">
        <v>0</v>
      </c>
      <c r="AF60">
        <v>31.26</v>
      </c>
      <c r="AG60">
        <v>13.5</v>
      </c>
      <c r="AH60">
        <v>0</v>
      </c>
      <c r="AI60">
        <v>1</v>
      </c>
      <c r="AJ60">
        <v>14.93</v>
      </c>
      <c r="AK60">
        <v>33.6</v>
      </c>
      <c r="AL60">
        <v>1</v>
      </c>
      <c r="AN60">
        <v>0</v>
      </c>
      <c r="AO60">
        <v>1</v>
      </c>
      <c r="AP60">
        <v>1</v>
      </c>
      <c r="AQ60">
        <v>0</v>
      </c>
      <c r="AR60">
        <v>0</v>
      </c>
      <c r="AS60" t="s">
        <v>3</v>
      </c>
      <c r="AT60">
        <v>0.02</v>
      </c>
      <c r="AU60" t="s">
        <v>139</v>
      </c>
      <c r="AV60">
        <v>0</v>
      </c>
      <c r="AW60">
        <v>2</v>
      </c>
      <c r="AX60">
        <v>37377889</v>
      </c>
      <c r="AY60">
        <v>1</v>
      </c>
      <c r="AZ60">
        <v>0</v>
      </c>
      <c r="BA60">
        <v>62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CX60">
        <f>Y60*Source!I80</f>
        <v>1.9475000000000003E-2</v>
      </c>
      <c r="CY60">
        <f>AB60</f>
        <v>466.71</v>
      </c>
      <c r="CZ60">
        <f>AF60</f>
        <v>31.26</v>
      </c>
      <c r="DA60">
        <f>AJ60</f>
        <v>14.93</v>
      </c>
      <c r="DB60">
        <f>ROUND((ROUND(AT60*CZ60,2)*1.25),6)</f>
        <v>0.78749999999999998</v>
      </c>
      <c r="DC60">
        <f>ROUND((ROUND(AT60*AG60,2)*1.25),6)</f>
        <v>0.33750000000000002</v>
      </c>
    </row>
    <row r="61" spans="1:107">
      <c r="A61">
        <f>ROW(Source!A80)</f>
        <v>80</v>
      </c>
      <c r="B61">
        <v>35841400</v>
      </c>
      <c r="C61">
        <v>37377886</v>
      </c>
      <c r="D61">
        <v>29174913</v>
      </c>
      <c r="E61">
        <v>1</v>
      </c>
      <c r="F61">
        <v>1</v>
      </c>
      <c r="G61">
        <v>1</v>
      </c>
      <c r="H61">
        <v>2</v>
      </c>
      <c r="I61" t="s">
        <v>381</v>
      </c>
      <c r="J61" t="s">
        <v>382</v>
      </c>
      <c r="K61" t="s">
        <v>383</v>
      </c>
      <c r="L61">
        <v>1368</v>
      </c>
      <c r="N61">
        <v>1011</v>
      </c>
      <c r="O61" t="s">
        <v>367</v>
      </c>
      <c r="P61" t="s">
        <v>367</v>
      </c>
      <c r="Q61">
        <v>1</v>
      </c>
      <c r="W61">
        <v>0</v>
      </c>
      <c r="X61">
        <v>1230759911</v>
      </c>
      <c r="Y61">
        <v>0.1875</v>
      </c>
      <c r="AA61">
        <v>0</v>
      </c>
      <c r="AB61">
        <v>932.72</v>
      </c>
      <c r="AC61">
        <v>389.76</v>
      </c>
      <c r="AD61">
        <v>0</v>
      </c>
      <c r="AE61">
        <v>0</v>
      </c>
      <c r="AF61">
        <v>87.17</v>
      </c>
      <c r="AG61">
        <v>11.6</v>
      </c>
      <c r="AH61">
        <v>0</v>
      </c>
      <c r="AI61">
        <v>1</v>
      </c>
      <c r="AJ61">
        <v>10.7</v>
      </c>
      <c r="AK61">
        <v>33.6</v>
      </c>
      <c r="AL61">
        <v>1</v>
      </c>
      <c r="AN61">
        <v>0</v>
      </c>
      <c r="AO61">
        <v>1</v>
      </c>
      <c r="AP61">
        <v>1</v>
      </c>
      <c r="AQ61">
        <v>0</v>
      </c>
      <c r="AR61">
        <v>0</v>
      </c>
      <c r="AS61" t="s">
        <v>3</v>
      </c>
      <c r="AT61">
        <v>0.15</v>
      </c>
      <c r="AU61" t="s">
        <v>139</v>
      </c>
      <c r="AV61">
        <v>0</v>
      </c>
      <c r="AW61">
        <v>2</v>
      </c>
      <c r="AX61">
        <v>37377890</v>
      </c>
      <c r="AY61">
        <v>1</v>
      </c>
      <c r="AZ61">
        <v>0</v>
      </c>
      <c r="BA61">
        <v>63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CX61">
        <f>Y61*Source!I80</f>
        <v>0.14606250000000001</v>
      </c>
      <c r="CY61">
        <f>AB61</f>
        <v>932.72</v>
      </c>
      <c r="CZ61">
        <f>AF61</f>
        <v>87.17</v>
      </c>
      <c r="DA61">
        <f>AJ61</f>
        <v>10.7</v>
      </c>
      <c r="DB61">
        <f>ROUND((ROUND(AT61*CZ61,2)*1.25),6)</f>
        <v>16.350000000000001</v>
      </c>
      <c r="DC61">
        <f>ROUND((ROUND(AT61*AG61,2)*1.25),6)</f>
        <v>2.1749999999999998</v>
      </c>
    </row>
    <row r="62" spans="1:107">
      <c r="A62">
        <f>ROW(Source!A80)</f>
        <v>80</v>
      </c>
      <c r="B62">
        <v>35841400</v>
      </c>
      <c r="C62">
        <v>37377886</v>
      </c>
      <c r="D62">
        <v>29107779</v>
      </c>
      <c r="E62">
        <v>1</v>
      </c>
      <c r="F62">
        <v>1</v>
      </c>
      <c r="G62">
        <v>1</v>
      </c>
      <c r="H62">
        <v>3</v>
      </c>
      <c r="I62" t="s">
        <v>458</v>
      </c>
      <c r="J62" t="s">
        <v>459</v>
      </c>
      <c r="K62" t="s">
        <v>460</v>
      </c>
      <c r="L62">
        <v>1327</v>
      </c>
      <c r="N62">
        <v>1005</v>
      </c>
      <c r="O62" t="s">
        <v>129</v>
      </c>
      <c r="P62" t="s">
        <v>129</v>
      </c>
      <c r="Q62">
        <v>1</v>
      </c>
      <c r="W62">
        <v>0</v>
      </c>
      <c r="X62">
        <v>-1827594923</v>
      </c>
      <c r="Y62">
        <v>0.84</v>
      </c>
      <c r="AA62">
        <v>203.19</v>
      </c>
      <c r="AB62">
        <v>0</v>
      </c>
      <c r="AC62">
        <v>0</v>
      </c>
      <c r="AD62">
        <v>0</v>
      </c>
      <c r="AE62">
        <v>72.31</v>
      </c>
      <c r="AF62">
        <v>0</v>
      </c>
      <c r="AG62">
        <v>0</v>
      </c>
      <c r="AH62">
        <v>0</v>
      </c>
      <c r="AI62">
        <v>2.81</v>
      </c>
      <c r="AJ62">
        <v>1</v>
      </c>
      <c r="AK62">
        <v>1</v>
      </c>
      <c r="AL62">
        <v>1</v>
      </c>
      <c r="AN62">
        <v>0</v>
      </c>
      <c r="AO62">
        <v>1</v>
      </c>
      <c r="AP62">
        <v>0</v>
      </c>
      <c r="AQ62">
        <v>0</v>
      </c>
      <c r="AR62">
        <v>0</v>
      </c>
      <c r="AS62" t="s">
        <v>3</v>
      </c>
      <c r="AT62">
        <v>0.84</v>
      </c>
      <c r="AU62" t="s">
        <v>3</v>
      </c>
      <c r="AV62">
        <v>0</v>
      </c>
      <c r="AW62">
        <v>2</v>
      </c>
      <c r="AX62">
        <v>37377891</v>
      </c>
      <c r="AY62">
        <v>1</v>
      </c>
      <c r="AZ62">
        <v>0</v>
      </c>
      <c r="BA62">
        <v>64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0</v>
      </c>
      <c r="BU62">
        <v>0</v>
      </c>
      <c r="BV62">
        <v>0</v>
      </c>
      <c r="BW62">
        <v>0</v>
      </c>
      <c r="CX62">
        <f>Y62*Source!I80</f>
        <v>0.65436000000000005</v>
      </c>
      <c r="CY62">
        <f>AA62</f>
        <v>203.19</v>
      </c>
      <c r="CZ62">
        <f>AE62</f>
        <v>72.31</v>
      </c>
      <c r="DA62">
        <f>AI62</f>
        <v>2.81</v>
      </c>
      <c r="DB62">
        <f>ROUND(ROUND(AT62*CZ62,2),6)</f>
        <v>60.74</v>
      </c>
      <c r="DC62">
        <f>ROUND(ROUND(AT62*AG62,2),6)</f>
        <v>0</v>
      </c>
    </row>
    <row r="63" spans="1:107">
      <c r="A63">
        <f>ROW(Source!A80)</f>
        <v>80</v>
      </c>
      <c r="B63">
        <v>35841400</v>
      </c>
      <c r="C63">
        <v>37377886</v>
      </c>
      <c r="D63">
        <v>29109797</v>
      </c>
      <c r="E63">
        <v>1</v>
      </c>
      <c r="F63">
        <v>1</v>
      </c>
      <c r="G63">
        <v>1</v>
      </c>
      <c r="H63">
        <v>3</v>
      </c>
      <c r="I63" t="s">
        <v>461</v>
      </c>
      <c r="J63" t="s">
        <v>462</v>
      </c>
      <c r="K63" t="s">
        <v>463</v>
      </c>
      <c r="L63">
        <v>1348</v>
      </c>
      <c r="N63">
        <v>1009</v>
      </c>
      <c r="O63" t="s">
        <v>41</v>
      </c>
      <c r="P63" t="s">
        <v>41</v>
      </c>
      <c r="Q63">
        <v>1000</v>
      </c>
      <c r="W63">
        <v>0</v>
      </c>
      <c r="X63">
        <v>-1515146857</v>
      </c>
      <c r="Y63">
        <v>5.0999999999999997E-2</v>
      </c>
      <c r="AA63">
        <v>19924.25</v>
      </c>
      <c r="AB63">
        <v>0</v>
      </c>
      <c r="AC63">
        <v>0</v>
      </c>
      <c r="AD63">
        <v>0</v>
      </c>
      <c r="AE63">
        <v>4294.0200000000004</v>
      </c>
      <c r="AF63">
        <v>0</v>
      </c>
      <c r="AG63">
        <v>0</v>
      </c>
      <c r="AH63">
        <v>0</v>
      </c>
      <c r="AI63">
        <v>4.6399999999999997</v>
      </c>
      <c r="AJ63">
        <v>1</v>
      </c>
      <c r="AK63">
        <v>1</v>
      </c>
      <c r="AL63">
        <v>1</v>
      </c>
      <c r="AN63">
        <v>0</v>
      </c>
      <c r="AO63">
        <v>1</v>
      </c>
      <c r="AP63">
        <v>0</v>
      </c>
      <c r="AQ63">
        <v>0</v>
      </c>
      <c r="AR63">
        <v>0</v>
      </c>
      <c r="AS63" t="s">
        <v>3</v>
      </c>
      <c r="AT63">
        <v>5.0999999999999997E-2</v>
      </c>
      <c r="AU63" t="s">
        <v>3</v>
      </c>
      <c r="AV63">
        <v>0</v>
      </c>
      <c r="AW63">
        <v>2</v>
      </c>
      <c r="AX63">
        <v>37377892</v>
      </c>
      <c r="AY63">
        <v>1</v>
      </c>
      <c r="AZ63">
        <v>0</v>
      </c>
      <c r="BA63">
        <v>65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CX63">
        <f>Y63*Source!I80</f>
        <v>3.9729E-2</v>
      </c>
      <c r="CY63">
        <f>AA63</f>
        <v>19924.25</v>
      </c>
      <c r="CZ63">
        <f>AE63</f>
        <v>4294.0200000000004</v>
      </c>
      <c r="DA63">
        <f>AI63</f>
        <v>4.6399999999999997</v>
      </c>
      <c r="DB63">
        <f>ROUND(ROUND(AT63*CZ63,2),6)</f>
        <v>219</v>
      </c>
      <c r="DC63">
        <f>ROUND(ROUND(AT63*AG63,2),6)</f>
        <v>0</v>
      </c>
    </row>
    <row r="64" spans="1:107">
      <c r="A64">
        <f>ROW(Source!A80)</f>
        <v>80</v>
      </c>
      <c r="B64">
        <v>35841400</v>
      </c>
      <c r="C64">
        <v>37377886</v>
      </c>
      <c r="D64">
        <v>29107800</v>
      </c>
      <c r="E64">
        <v>1</v>
      </c>
      <c r="F64">
        <v>1</v>
      </c>
      <c r="G64">
        <v>1</v>
      </c>
      <c r="H64">
        <v>3</v>
      </c>
      <c r="I64" t="s">
        <v>384</v>
      </c>
      <c r="J64" t="s">
        <v>385</v>
      </c>
      <c r="K64" t="s">
        <v>386</v>
      </c>
      <c r="L64">
        <v>1346</v>
      </c>
      <c r="N64">
        <v>1009</v>
      </c>
      <c r="O64" t="s">
        <v>151</v>
      </c>
      <c r="P64" t="s">
        <v>151</v>
      </c>
      <c r="Q64">
        <v>1</v>
      </c>
      <c r="W64">
        <v>0</v>
      </c>
      <c r="X64">
        <v>644139035</v>
      </c>
      <c r="Y64">
        <v>0.31</v>
      </c>
      <c r="AA64">
        <v>46.61</v>
      </c>
      <c r="AB64">
        <v>0</v>
      </c>
      <c r="AC64">
        <v>0</v>
      </c>
      <c r="AD64">
        <v>0</v>
      </c>
      <c r="AE64">
        <v>1.81</v>
      </c>
      <c r="AF64">
        <v>0</v>
      </c>
      <c r="AG64">
        <v>0</v>
      </c>
      <c r="AH64">
        <v>0</v>
      </c>
      <c r="AI64">
        <v>25.75</v>
      </c>
      <c r="AJ64">
        <v>1</v>
      </c>
      <c r="AK64">
        <v>1</v>
      </c>
      <c r="AL64">
        <v>1</v>
      </c>
      <c r="AN64">
        <v>0</v>
      </c>
      <c r="AO64">
        <v>1</v>
      </c>
      <c r="AP64">
        <v>0</v>
      </c>
      <c r="AQ64">
        <v>0</v>
      </c>
      <c r="AR64">
        <v>0</v>
      </c>
      <c r="AS64" t="s">
        <v>3</v>
      </c>
      <c r="AT64">
        <v>0.31</v>
      </c>
      <c r="AU64" t="s">
        <v>3</v>
      </c>
      <c r="AV64">
        <v>0</v>
      </c>
      <c r="AW64">
        <v>2</v>
      </c>
      <c r="AX64">
        <v>37377893</v>
      </c>
      <c r="AY64">
        <v>1</v>
      </c>
      <c r="AZ64">
        <v>0</v>
      </c>
      <c r="BA64">
        <v>66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0</v>
      </c>
      <c r="CX64">
        <f>Y64*Source!I80</f>
        <v>0.24149000000000001</v>
      </c>
      <c r="CY64">
        <f>AA64</f>
        <v>46.61</v>
      </c>
      <c r="CZ64">
        <f>AE64</f>
        <v>1.81</v>
      </c>
      <c r="DA64">
        <f>AI64</f>
        <v>25.75</v>
      </c>
      <c r="DB64">
        <f>ROUND(ROUND(AT64*CZ64,2),6)</f>
        <v>0.56000000000000005</v>
      </c>
      <c r="DC64">
        <f>ROUND(ROUND(AT64*AG64,2),6)</f>
        <v>0</v>
      </c>
    </row>
    <row r="65" spans="1:107">
      <c r="A65">
        <f>ROW(Source!A80)</f>
        <v>80</v>
      </c>
      <c r="B65">
        <v>35841400</v>
      </c>
      <c r="C65">
        <v>37377886</v>
      </c>
      <c r="D65">
        <v>29110439</v>
      </c>
      <c r="E65">
        <v>1</v>
      </c>
      <c r="F65">
        <v>1</v>
      </c>
      <c r="G65">
        <v>1</v>
      </c>
      <c r="H65">
        <v>3</v>
      </c>
      <c r="I65" t="s">
        <v>464</v>
      </c>
      <c r="J65" t="s">
        <v>465</v>
      </c>
      <c r="K65" t="s">
        <v>466</v>
      </c>
      <c r="L65">
        <v>1348</v>
      </c>
      <c r="N65">
        <v>1009</v>
      </c>
      <c r="O65" t="s">
        <v>41</v>
      </c>
      <c r="P65" t="s">
        <v>41</v>
      </c>
      <c r="Q65">
        <v>1000</v>
      </c>
      <c r="W65">
        <v>0</v>
      </c>
      <c r="X65">
        <v>-764270001</v>
      </c>
      <c r="Y65">
        <v>6.3E-2</v>
      </c>
      <c r="AA65">
        <v>60221.13</v>
      </c>
      <c r="AB65">
        <v>0</v>
      </c>
      <c r="AC65">
        <v>0</v>
      </c>
      <c r="AD65">
        <v>0</v>
      </c>
      <c r="AE65">
        <v>15481.01</v>
      </c>
      <c r="AF65">
        <v>0</v>
      </c>
      <c r="AG65">
        <v>0</v>
      </c>
      <c r="AH65">
        <v>0</v>
      </c>
      <c r="AI65">
        <v>3.89</v>
      </c>
      <c r="AJ65">
        <v>1</v>
      </c>
      <c r="AK65">
        <v>1</v>
      </c>
      <c r="AL65">
        <v>1</v>
      </c>
      <c r="AN65">
        <v>0</v>
      </c>
      <c r="AO65">
        <v>1</v>
      </c>
      <c r="AP65">
        <v>0</v>
      </c>
      <c r="AQ65">
        <v>0</v>
      </c>
      <c r="AR65">
        <v>0</v>
      </c>
      <c r="AS65" t="s">
        <v>3</v>
      </c>
      <c r="AT65">
        <v>6.3E-2</v>
      </c>
      <c r="AU65" t="s">
        <v>3</v>
      </c>
      <c r="AV65">
        <v>0</v>
      </c>
      <c r="AW65">
        <v>2</v>
      </c>
      <c r="AX65">
        <v>37377894</v>
      </c>
      <c r="AY65">
        <v>1</v>
      </c>
      <c r="AZ65">
        <v>0</v>
      </c>
      <c r="BA65">
        <v>67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CX65">
        <f>Y65*Source!I80</f>
        <v>4.9077000000000003E-2</v>
      </c>
      <c r="CY65">
        <f>AA65</f>
        <v>60221.13</v>
      </c>
      <c r="CZ65">
        <f>AE65</f>
        <v>15481.01</v>
      </c>
      <c r="DA65">
        <f>AI65</f>
        <v>3.89</v>
      </c>
      <c r="DB65">
        <f>ROUND(ROUND(AT65*CZ65,2),6)</f>
        <v>975.3</v>
      </c>
      <c r="DC65">
        <f>ROUND(ROUND(AT65*AG65,2),6)</f>
        <v>0</v>
      </c>
    </row>
    <row r="66" spans="1:107">
      <c r="A66">
        <f>ROW(Source!A81)</f>
        <v>81</v>
      </c>
      <c r="B66">
        <v>35841400</v>
      </c>
      <c r="C66">
        <v>35844448</v>
      </c>
      <c r="D66">
        <v>18407150</v>
      </c>
      <c r="E66">
        <v>1</v>
      </c>
      <c r="F66">
        <v>1</v>
      </c>
      <c r="G66">
        <v>1</v>
      </c>
      <c r="H66">
        <v>1</v>
      </c>
      <c r="I66" t="s">
        <v>475</v>
      </c>
      <c r="J66" t="s">
        <v>3</v>
      </c>
      <c r="K66" t="s">
        <v>476</v>
      </c>
      <c r="L66">
        <v>1369</v>
      </c>
      <c r="N66">
        <v>1013</v>
      </c>
      <c r="O66" t="s">
        <v>361</v>
      </c>
      <c r="P66" t="s">
        <v>361</v>
      </c>
      <c r="Q66">
        <v>1</v>
      </c>
      <c r="W66">
        <v>0</v>
      </c>
      <c r="X66">
        <v>-931037793</v>
      </c>
      <c r="Y66">
        <v>41.100999999999999</v>
      </c>
      <c r="AA66">
        <v>0</v>
      </c>
      <c r="AB66">
        <v>0</v>
      </c>
      <c r="AC66">
        <v>0</v>
      </c>
      <c r="AD66">
        <v>283.07</v>
      </c>
      <c r="AE66">
        <v>0</v>
      </c>
      <c r="AF66">
        <v>0</v>
      </c>
      <c r="AG66">
        <v>0</v>
      </c>
      <c r="AH66">
        <v>283.07</v>
      </c>
      <c r="AI66">
        <v>1</v>
      </c>
      <c r="AJ66">
        <v>1</v>
      </c>
      <c r="AK66">
        <v>1</v>
      </c>
      <c r="AL66">
        <v>1</v>
      </c>
      <c r="AN66">
        <v>0</v>
      </c>
      <c r="AO66">
        <v>1</v>
      </c>
      <c r="AP66">
        <v>1</v>
      </c>
      <c r="AQ66">
        <v>0</v>
      </c>
      <c r="AR66">
        <v>0</v>
      </c>
      <c r="AS66" t="s">
        <v>3</v>
      </c>
      <c r="AT66">
        <v>35.74</v>
      </c>
      <c r="AU66" t="s">
        <v>114</v>
      </c>
      <c r="AV66">
        <v>1</v>
      </c>
      <c r="AW66">
        <v>2</v>
      </c>
      <c r="AX66">
        <v>36150943</v>
      </c>
      <c r="AY66">
        <v>2</v>
      </c>
      <c r="AZ66">
        <v>131072</v>
      </c>
      <c r="BA66">
        <v>68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  <c r="CX66">
        <f>Y66*Source!I81</f>
        <v>37.319707999999999</v>
      </c>
      <c r="CY66">
        <f>AD66</f>
        <v>283.07</v>
      </c>
      <c r="CZ66">
        <f>AH66</f>
        <v>283.07</v>
      </c>
      <c r="DA66">
        <f>AL66</f>
        <v>1</v>
      </c>
      <c r="DB66">
        <f>ROUND((ROUND(AT66*CZ66,2)*1.15),6)</f>
        <v>11634.458000000001</v>
      </c>
      <c r="DC66">
        <f>ROUND((ROUND(AT66*AG66,2)*1.15),6)</f>
        <v>0</v>
      </c>
    </row>
    <row r="67" spans="1:107">
      <c r="A67">
        <f>ROW(Source!A81)</f>
        <v>81</v>
      </c>
      <c r="B67">
        <v>35841400</v>
      </c>
      <c r="C67">
        <v>35844448</v>
      </c>
      <c r="D67">
        <v>121548</v>
      </c>
      <c r="E67">
        <v>1</v>
      </c>
      <c r="F67">
        <v>1</v>
      </c>
      <c r="G67">
        <v>1</v>
      </c>
      <c r="H67">
        <v>1</v>
      </c>
      <c r="I67" t="s">
        <v>213</v>
      </c>
      <c r="J67" t="s">
        <v>3</v>
      </c>
      <c r="K67" t="s">
        <v>362</v>
      </c>
      <c r="L67">
        <v>608254</v>
      </c>
      <c r="N67">
        <v>1013</v>
      </c>
      <c r="O67" t="s">
        <v>363</v>
      </c>
      <c r="P67" t="s">
        <v>363</v>
      </c>
      <c r="Q67">
        <v>1</v>
      </c>
      <c r="W67">
        <v>0</v>
      </c>
      <c r="X67">
        <v>-185737400</v>
      </c>
      <c r="Y67">
        <v>0.18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1</v>
      </c>
      <c r="AJ67">
        <v>1</v>
      </c>
      <c r="AK67">
        <v>1</v>
      </c>
      <c r="AL67">
        <v>1</v>
      </c>
      <c r="AN67">
        <v>0</v>
      </c>
      <c r="AO67">
        <v>1</v>
      </c>
      <c r="AP67">
        <v>1</v>
      </c>
      <c r="AQ67">
        <v>0</v>
      </c>
      <c r="AR67">
        <v>0</v>
      </c>
      <c r="AS67" t="s">
        <v>3</v>
      </c>
      <c r="AT67">
        <v>0.18</v>
      </c>
      <c r="AU67" t="s">
        <v>3</v>
      </c>
      <c r="AV67">
        <v>2</v>
      </c>
      <c r="AW67">
        <v>2</v>
      </c>
      <c r="AX67">
        <v>36150944</v>
      </c>
      <c r="AY67">
        <v>1</v>
      </c>
      <c r="AZ67">
        <v>0</v>
      </c>
      <c r="BA67">
        <v>69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CX67">
        <f>Y67*Source!I81</f>
        <v>0.16344</v>
      </c>
      <c r="CY67">
        <f>AD67</f>
        <v>0</v>
      </c>
      <c r="CZ67">
        <f>AH67</f>
        <v>0</v>
      </c>
      <c r="DA67">
        <f>AL67</f>
        <v>1</v>
      </c>
      <c r="DB67">
        <f t="shared" ref="DB67:DB79" si="11">ROUND(ROUND(AT67*CZ67,2),6)</f>
        <v>0</v>
      </c>
      <c r="DC67">
        <f t="shared" ref="DC67:DC79" si="12">ROUND(ROUND(AT67*AG67,2),6)</f>
        <v>0</v>
      </c>
    </row>
    <row r="68" spans="1:107">
      <c r="A68">
        <f>ROW(Source!A81)</f>
        <v>81</v>
      </c>
      <c r="B68">
        <v>35841400</v>
      </c>
      <c r="C68">
        <v>35844448</v>
      </c>
      <c r="D68">
        <v>29172556</v>
      </c>
      <c r="E68">
        <v>1</v>
      </c>
      <c r="F68">
        <v>1</v>
      </c>
      <c r="G68">
        <v>1</v>
      </c>
      <c r="H68">
        <v>2</v>
      </c>
      <c r="I68" t="s">
        <v>364</v>
      </c>
      <c r="J68" t="s">
        <v>372</v>
      </c>
      <c r="K68" t="s">
        <v>366</v>
      </c>
      <c r="L68">
        <v>1368</v>
      </c>
      <c r="N68">
        <v>1011</v>
      </c>
      <c r="O68" t="s">
        <v>367</v>
      </c>
      <c r="P68" t="s">
        <v>367</v>
      </c>
      <c r="Q68">
        <v>1</v>
      </c>
      <c r="W68">
        <v>0</v>
      </c>
      <c r="X68">
        <v>-1302720870</v>
      </c>
      <c r="Y68">
        <v>0.18</v>
      </c>
      <c r="AA68">
        <v>0</v>
      </c>
      <c r="AB68">
        <v>466.71</v>
      </c>
      <c r="AC68">
        <v>453.6</v>
      </c>
      <c r="AD68">
        <v>0</v>
      </c>
      <c r="AE68">
        <v>0</v>
      </c>
      <c r="AF68">
        <v>31.26</v>
      </c>
      <c r="AG68">
        <v>13.5</v>
      </c>
      <c r="AH68">
        <v>0</v>
      </c>
      <c r="AI68">
        <v>1</v>
      </c>
      <c r="AJ68">
        <v>14.93</v>
      </c>
      <c r="AK68">
        <v>33.6</v>
      </c>
      <c r="AL68">
        <v>1</v>
      </c>
      <c r="AN68">
        <v>0</v>
      </c>
      <c r="AO68">
        <v>1</v>
      </c>
      <c r="AP68">
        <v>1</v>
      </c>
      <c r="AQ68">
        <v>0</v>
      </c>
      <c r="AR68">
        <v>0</v>
      </c>
      <c r="AS68" t="s">
        <v>3</v>
      </c>
      <c r="AT68">
        <v>0.18</v>
      </c>
      <c r="AU68" t="s">
        <v>3</v>
      </c>
      <c r="AV68">
        <v>0</v>
      </c>
      <c r="AW68">
        <v>2</v>
      </c>
      <c r="AX68">
        <v>36150945</v>
      </c>
      <c r="AY68">
        <v>1</v>
      </c>
      <c r="AZ68">
        <v>0</v>
      </c>
      <c r="BA68">
        <v>70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CX68">
        <f>Y68*Source!I81</f>
        <v>0.16344</v>
      </c>
      <c r="CY68">
        <f>AB68</f>
        <v>466.71</v>
      </c>
      <c r="CZ68">
        <f>AF68</f>
        <v>31.26</v>
      </c>
      <c r="DA68">
        <f>AJ68</f>
        <v>14.93</v>
      </c>
      <c r="DB68">
        <f t="shared" si="11"/>
        <v>5.63</v>
      </c>
      <c r="DC68">
        <f t="shared" si="12"/>
        <v>2.4300000000000002</v>
      </c>
    </row>
    <row r="69" spans="1:107">
      <c r="A69">
        <f>ROW(Source!A81)</f>
        <v>81</v>
      </c>
      <c r="B69">
        <v>35841400</v>
      </c>
      <c r="C69">
        <v>35844448</v>
      </c>
      <c r="D69">
        <v>29174591</v>
      </c>
      <c r="E69">
        <v>1</v>
      </c>
      <c r="F69">
        <v>1</v>
      </c>
      <c r="G69">
        <v>1</v>
      </c>
      <c r="H69">
        <v>2</v>
      </c>
      <c r="I69" t="s">
        <v>477</v>
      </c>
      <c r="J69" t="s">
        <v>478</v>
      </c>
      <c r="K69" t="s">
        <v>479</v>
      </c>
      <c r="L69">
        <v>1368</v>
      </c>
      <c r="N69">
        <v>1011</v>
      </c>
      <c r="O69" t="s">
        <v>367</v>
      </c>
      <c r="P69" t="s">
        <v>367</v>
      </c>
      <c r="Q69">
        <v>1</v>
      </c>
      <c r="W69">
        <v>0</v>
      </c>
      <c r="X69">
        <v>1598042632</v>
      </c>
      <c r="Y69">
        <v>0.32</v>
      </c>
      <c r="AA69">
        <v>0</v>
      </c>
      <c r="AB69">
        <v>9.4700000000000006</v>
      </c>
      <c r="AC69">
        <v>0</v>
      </c>
      <c r="AD69">
        <v>0</v>
      </c>
      <c r="AE69">
        <v>0</v>
      </c>
      <c r="AF69">
        <v>0.95</v>
      </c>
      <c r="AG69">
        <v>0</v>
      </c>
      <c r="AH69">
        <v>0</v>
      </c>
      <c r="AI69">
        <v>1</v>
      </c>
      <c r="AJ69">
        <v>9.9700000000000006</v>
      </c>
      <c r="AK69">
        <v>33.6</v>
      </c>
      <c r="AL69">
        <v>1</v>
      </c>
      <c r="AN69">
        <v>0</v>
      </c>
      <c r="AO69">
        <v>1</v>
      </c>
      <c r="AP69">
        <v>1</v>
      </c>
      <c r="AQ69">
        <v>0</v>
      </c>
      <c r="AR69">
        <v>0</v>
      </c>
      <c r="AS69" t="s">
        <v>3</v>
      </c>
      <c r="AT69">
        <v>0.32</v>
      </c>
      <c r="AU69" t="s">
        <v>3</v>
      </c>
      <c r="AV69">
        <v>0</v>
      </c>
      <c r="AW69">
        <v>2</v>
      </c>
      <c r="AX69">
        <v>36150946</v>
      </c>
      <c r="AY69">
        <v>1</v>
      </c>
      <c r="AZ69">
        <v>0</v>
      </c>
      <c r="BA69">
        <v>71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CX69">
        <f>Y69*Source!I81</f>
        <v>0.29056000000000004</v>
      </c>
      <c r="CY69">
        <f>AB69</f>
        <v>9.4700000000000006</v>
      </c>
      <c r="CZ69">
        <f>AF69</f>
        <v>0.95</v>
      </c>
      <c r="DA69">
        <f>AJ69</f>
        <v>9.9700000000000006</v>
      </c>
      <c r="DB69">
        <f t="shared" si="11"/>
        <v>0.3</v>
      </c>
      <c r="DC69">
        <f t="shared" si="12"/>
        <v>0</v>
      </c>
    </row>
    <row r="70" spans="1:107">
      <c r="A70">
        <f>ROW(Source!A81)</f>
        <v>81</v>
      </c>
      <c r="B70">
        <v>35841400</v>
      </c>
      <c r="C70">
        <v>35844448</v>
      </c>
      <c r="D70">
        <v>29174913</v>
      </c>
      <c r="E70">
        <v>1</v>
      </c>
      <c r="F70">
        <v>1</v>
      </c>
      <c r="G70">
        <v>1</v>
      </c>
      <c r="H70">
        <v>2</v>
      </c>
      <c r="I70" t="s">
        <v>381</v>
      </c>
      <c r="J70" t="s">
        <v>480</v>
      </c>
      <c r="K70" t="s">
        <v>383</v>
      </c>
      <c r="L70">
        <v>1368</v>
      </c>
      <c r="N70">
        <v>1011</v>
      </c>
      <c r="O70" t="s">
        <v>367</v>
      </c>
      <c r="P70" t="s">
        <v>367</v>
      </c>
      <c r="Q70">
        <v>1</v>
      </c>
      <c r="W70">
        <v>0</v>
      </c>
      <c r="X70">
        <v>458544584</v>
      </c>
      <c r="Y70">
        <v>0.26</v>
      </c>
      <c r="AA70">
        <v>0</v>
      </c>
      <c r="AB70">
        <v>932.72</v>
      </c>
      <c r="AC70">
        <v>389.76</v>
      </c>
      <c r="AD70">
        <v>0</v>
      </c>
      <c r="AE70">
        <v>0</v>
      </c>
      <c r="AF70">
        <v>87.17</v>
      </c>
      <c r="AG70">
        <v>11.6</v>
      </c>
      <c r="AH70">
        <v>0</v>
      </c>
      <c r="AI70">
        <v>1</v>
      </c>
      <c r="AJ70">
        <v>10.7</v>
      </c>
      <c r="AK70">
        <v>33.6</v>
      </c>
      <c r="AL70">
        <v>1</v>
      </c>
      <c r="AN70">
        <v>0</v>
      </c>
      <c r="AO70">
        <v>1</v>
      </c>
      <c r="AP70">
        <v>1</v>
      </c>
      <c r="AQ70">
        <v>0</v>
      </c>
      <c r="AR70">
        <v>0</v>
      </c>
      <c r="AS70" t="s">
        <v>3</v>
      </c>
      <c r="AT70">
        <v>0.26</v>
      </c>
      <c r="AU70" t="s">
        <v>3</v>
      </c>
      <c r="AV70">
        <v>0</v>
      </c>
      <c r="AW70">
        <v>2</v>
      </c>
      <c r="AX70">
        <v>36150947</v>
      </c>
      <c r="AY70">
        <v>1</v>
      </c>
      <c r="AZ70">
        <v>0</v>
      </c>
      <c r="BA70">
        <v>72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CX70">
        <f>Y70*Source!I81</f>
        <v>0.23608000000000001</v>
      </c>
      <c r="CY70">
        <f>AB70</f>
        <v>932.72</v>
      </c>
      <c r="CZ70">
        <f>AF70</f>
        <v>87.17</v>
      </c>
      <c r="DA70">
        <f>AJ70</f>
        <v>10.7</v>
      </c>
      <c r="DB70">
        <f t="shared" si="11"/>
        <v>22.66</v>
      </c>
      <c r="DC70">
        <f t="shared" si="12"/>
        <v>3.02</v>
      </c>
    </row>
    <row r="71" spans="1:107">
      <c r="A71">
        <f>ROW(Source!A81)</f>
        <v>81</v>
      </c>
      <c r="B71">
        <v>35841400</v>
      </c>
      <c r="C71">
        <v>35844448</v>
      </c>
      <c r="D71">
        <v>29109162</v>
      </c>
      <c r="E71">
        <v>1</v>
      </c>
      <c r="F71">
        <v>1</v>
      </c>
      <c r="G71">
        <v>1</v>
      </c>
      <c r="H71">
        <v>3</v>
      </c>
      <c r="I71" t="s">
        <v>481</v>
      </c>
      <c r="J71" t="s">
        <v>482</v>
      </c>
      <c r="K71" t="s">
        <v>483</v>
      </c>
      <c r="L71">
        <v>1327</v>
      </c>
      <c r="N71">
        <v>1005</v>
      </c>
      <c r="O71" t="s">
        <v>129</v>
      </c>
      <c r="P71" t="s">
        <v>129</v>
      </c>
      <c r="Q71">
        <v>1</v>
      </c>
      <c r="W71">
        <v>0</v>
      </c>
      <c r="X71">
        <v>2002905425</v>
      </c>
      <c r="Y71">
        <v>21</v>
      </c>
      <c r="AA71">
        <v>33.630000000000003</v>
      </c>
      <c r="AB71">
        <v>0</v>
      </c>
      <c r="AC71">
        <v>0</v>
      </c>
      <c r="AD71">
        <v>0</v>
      </c>
      <c r="AE71">
        <v>5.71</v>
      </c>
      <c r="AF71">
        <v>0</v>
      </c>
      <c r="AG71">
        <v>0</v>
      </c>
      <c r="AH71">
        <v>0</v>
      </c>
      <c r="AI71">
        <v>5.89</v>
      </c>
      <c r="AJ71">
        <v>1</v>
      </c>
      <c r="AK71">
        <v>1</v>
      </c>
      <c r="AL71">
        <v>1</v>
      </c>
      <c r="AN71">
        <v>0</v>
      </c>
      <c r="AO71">
        <v>1</v>
      </c>
      <c r="AP71">
        <v>0</v>
      </c>
      <c r="AQ71">
        <v>0</v>
      </c>
      <c r="AR71">
        <v>0</v>
      </c>
      <c r="AS71" t="s">
        <v>3</v>
      </c>
      <c r="AT71">
        <v>21</v>
      </c>
      <c r="AU71" t="s">
        <v>3</v>
      </c>
      <c r="AV71">
        <v>0</v>
      </c>
      <c r="AW71">
        <v>2</v>
      </c>
      <c r="AX71">
        <v>36150948</v>
      </c>
      <c r="AY71">
        <v>1</v>
      </c>
      <c r="AZ71">
        <v>0</v>
      </c>
      <c r="BA71">
        <v>73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0</v>
      </c>
      <c r="BW71">
        <v>0</v>
      </c>
      <c r="CX71">
        <f>Y71*Source!I81</f>
        <v>19.068000000000001</v>
      </c>
      <c r="CY71">
        <f>AA71</f>
        <v>33.630000000000003</v>
      </c>
      <c r="CZ71">
        <f>AE71</f>
        <v>5.71</v>
      </c>
      <c r="DA71">
        <f>AI71</f>
        <v>5.89</v>
      </c>
      <c r="DB71">
        <f t="shared" si="11"/>
        <v>119.91</v>
      </c>
      <c r="DC71">
        <f t="shared" si="12"/>
        <v>0</v>
      </c>
    </row>
    <row r="72" spans="1:107">
      <c r="A72">
        <f>ROW(Source!A81)</f>
        <v>81</v>
      </c>
      <c r="B72">
        <v>35841400</v>
      </c>
      <c r="C72">
        <v>35844448</v>
      </c>
      <c r="D72">
        <v>29131086</v>
      </c>
      <c r="E72">
        <v>1</v>
      </c>
      <c r="F72">
        <v>1</v>
      </c>
      <c r="G72">
        <v>1</v>
      </c>
      <c r="H72">
        <v>3</v>
      </c>
      <c r="I72" t="s">
        <v>484</v>
      </c>
      <c r="J72" t="s">
        <v>485</v>
      </c>
      <c r="K72" t="s">
        <v>486</v>
      </c>
      <c r="L72">
        <v>1339</v>
      </c>
      <c r="N72">
        <v>1007</v>
      </c>
      <c r="O72" t="s">
        <v>393</v>
      </c>
      <c r="P72" t="s">
        <v>393</v>
      </c>
      <c r="Q72">
        <v>1</v>
      </c>
      <c r="W72">
        <v>0</v>
      </c>
      <c r="X72">
        <v>135382931</v>
      </c>
      <c r="Y72">
        <v>0.82</v>
      </c>
      <c r="AA72">
        <v>8057.34</v>
      </c>
      <c r="AB72">
        <v>0</v>
      </c>
      <c r="AC72">
        <v>0</v>
      </c>
      <c r="AD72">
        <v>0</v>
      </c>
      <c r="AE72">
        <v>1970.01</v>
      </c>
      <c r="AF72">
        <v>0</v>
      </c>
      <c r="AG72">
        <v>0</v>
      </c>
      <c r="AH72">
        <v>0</v>
      </c>
      <c r="AI72">
        <v>4.09</v>
      </c>
      <c r="AJ72">
        <v>1</v>
      </c>
      <c r="AK72">
        <v>1</v>
      </c>
      <c r="AL72">
        <v>1</v>
      </c>
      <c r="AN72">
        <v>0</v>
      </c>
      <c r="AO72">
        <v>1</v>
      </c>
      <c r="AP72">
        <v>0</v>
      </c>
      <c r="AQ72">
        <v>0</v>
      </c>
      <c r="AR72">
        <v>0</v>
      </c>
      <c r="AS72" t="s">
        <v>3</v>
      </c>
      <c r="AT72">
        <v>0.82</v>
      </c>
      <c r="AU72" t="s">
        <v>3</v>
      </c>
      <c r="AV72">
        <v>0</v>
      </c>
      <c r="AW72">
        <v>2</v>
      </c>
      <c r="AX72">
        <v>36150949</v>
      </c>
      <c r="AY72">
        <v>1</v>
      </c>
      <c r="AZ72">
        <v>0</v>
      </c>
      <c r="BA72">
        <v>74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CX72">
        <f>Y72*Source!I81</f>
        <v>0.74456</v>
      </c>
      <c r="CY72">
        <f>AA72</f>
        <v>8057.34</v>
      </c>
      <c r="CZ72">
        <f>AE72</f>
        <v>1970.01</v>
      </c>
      <c r="DA72">
        <f>AI72</f>
        <v>4.09</v>
      </c>
      <c r="DB72">
        <f t="shared" si="11"/>
        <v>1615.41</v>
      </c>
      <c r="DC72">
        <f t="shared" si="12"/>
        <v>0</v>
      </c>
    </row>
    <row r="73" spans="1:107">
      <c r="A73">
        <f>ROW(Source!A82)</f>
        <v>82</v>
      </c>
      <c r="B73">
        <v>35841400</v>
      </c>
      <c r="C73">
        <v>36517075</v>
      </c>
      <c r="D73">
        <v>18409992</v>
      </c>
      <c r="E73">
        <v>1</v>
      </c>
      <c r="F73">
        <v>1</v>
      </c>
      <c r="G73">
        <v>1</v>
      </c>
      <c r="H73">
        <v>1</v>
      </c>
      <c r="I73" t="s">
        <v>487</v>
      </c>
      <c r="J73" t="s">
        <v>3</v>
      </c>
      <c r="K73" t="s">
        <v>488</v>
      </c>
      <c r="L73">
        <v>1369</v>
      </c>
      <c r="N73">
        <v>1013</v>
      </c>
      <c r="O73" t="s">
        <v>361</v>
      </c>
      <c r="P73" t="s">
        <v>361</v>
      </c>
      <c r="Q73">
        <v>1</v>
      </c>
      <c r="W73">
        <v>0</v>
      </c>
      <c r="X73">
        <v>-932636904</v>
      </c>
      <c r="Y73">
        <v>62.07</v>
      </c>
      <c r="AA73">
        <v>0</v>
      </c>
      <c r="AB73">
        <v>0</v>
      </c>
      <c r="AC73">
        <v>0</v>
      </c>
      <c r="AD73">
        <v>268.47000000000003</v>
      </c>
      <c r="AE73">
        <v>0</v>
      </c>
      <c r="AF73">
        <v>0</v>
      </c>
      <c r="AG73">
        <v>0</v>
      </c>
      <c r="AH73">
        <v>268.47000000000003</v>
      </c>
      <c r="AI73">
        <v>1</v>
      </c>
      <c r="AJ73">
        <v>1</v>
      </c>
      <c r="AK73">
        <v>1</v>
      </c>
      <c r="AL73">
        <v>1</v>
      </c>
      <c r="AN73">
        <v>0</v>
      </c>
      <c r="AO73">
        <v>1</v>
      </c>
      <c r="AP73">
        <v>0</v>
      </c>
      <c r="AQ73">
        <v>0</v>
      </c>
      <c r="AR73">
        <v>0</v>
      </c>
      <c r="AS73" t="s">
        <v>3</v>
      </c>
      <c r="AT73">
        <v>62.07</v>
      </c>
      <c r="AU73" t="s">
        <v>3</v>
      </c>
      <c r="AV73">
        <v>1</v>
      </c>
      <c r="AW73">
        <v>2</v>
      </c>
      <c r="AX73">
        <v>36517076</v>
      </c>
      <c r="AY73">
        <v>1</v>
      </c>
      <c r="AZ73">
        <v>0</v>
      </c>
      <c r="BA73">
        <v>75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0</v>
      </c>
      <c r="BV73">
        <v>0</v>
      </c>
      <c r="BW73">
        <v>0</v>
      </c>
      <c r="CX73">
        <f>Y73*Source!I82</f>
        <v>56.359560000000002</v>
      </c>
      <c r="CY73">
        <f>AD73</f>
        <v>268.47000000000003</v>
      </c>
      <c r="CZ73">
        <f>AH73</f>
        <v>268.47000000000003</v>
      </c>
      <c r="DA73">
        <f>AL73</f>
        <v>1</v>
      </c>
      <c r="DB73">
        <f t="shared" si="11"/>
        <v>16663.93</v>
      </c>
      <c r="DC73">
        <f t="shared" si="12"/>
        <v>0</v>
      </c>
    </row>
    <row r="74" spans="1:107">
      <c r="A74">
        <f>ROW(Source!A82)</f>
        <v>82</v>
      </c>
      <c r="B74">
        <v>35841400</v>
      </c>
      <c r="C74">
        <v>36517075</v>
      </c>
      <c r="D74">
        <v>121548</v>
      </c>
      <c r="E74">
        <v>1</v>
      </c>
      <c r="F74">
        <v>1</v>
      </c>
      <c r="G74">
        <v>1</v>
      </c>
      <c r="H74">
        <v>1</v>
      </c>
      <c r="I74" t="s">
        <v>213</v>
      </c>
      <c r="J74" t="s">
        <v>3</v>
      </c>
      <c r="K74" t="s">
        <v>362</v>
      </c>
      <c r="L74">
        <v>608254</v>
      </c>
      <c r="N74">
        <v>1013</v>
      </c>
      <c r="O74" t="s">
        <v>363</v>
      </c>
      <c r="P74" t="s">
        <v>363</v>
      </c>
      <c r="Q74">
        <v>1</v>
      </c>
      <c r="W74">
        <v>0</v>
      </c>
      <c r="X74">
        <v>-185737400</v>
      </c>
      <c r="Y74">
        <v>0.47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1</v>
      </c>
      <c r="AJ74">
        <v>1</v>
      </c>
      <c r="AK74">
        <v>1</v>
      </c>
      <c r="AL74">
        <v>1</v>
      </c>
      <c r="AN74">
        <v>0</v>
      </c>
      <c r="AO74">
        <v>1</v>
      </c>
      <c r="AP74">
        <v>0</v>
      </c>
      <c r="AQ74">
        <v>0</v>
      </c>
      <c r="AR74">
        <v>0</v>
      </c>
      <c r="AS74" t="s">
        <v>3</v>
      </c>
      <c r="AT74">
        <v>0.47</v>
      </c>
      <c r="AU74" t="s">
        <v>3</v>
      </c>
      <c r="AV74">
        <v>2</v>
      </c>
      <c r="AW74">
        <v>2</v>
      </c>
      <c r="AX74">
        <v>36517077</v>
      </c>
      <c r="AY74">
        <v>1</v>
      </c>
      <c r="AZ74">
        <v>0</v>
      </c>
      <c r="BA74">
        <v>76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0</v>
      </c>
      <c r="BW74">
        <v>0</v>
      </c>
      <c r="CX74">
        <f>Y74*Source!I82</f>
        <v>0.42675999999999997</v>
      </c>
      <c r="CY74">
        <f>AD74</f>
        <v>0</v>
      </c>
      <c r="CZ74">
        <f>AH74</f>
        <v>0</v>
      </c>
      <c r="DA74">
        <f>AL74</f>
        <v>1</v>
      </c>
      <c r="DB74">
        <f t="shared" si="11"/>
        <v>0</v>
      </c>
      <c r="DC74">
        <f t="shared" si="12"/>
        <v>0</v>
      </c>
    </row>
    <row r="75" spans="1:107">
      <c r="A75">
        <f>ROW(Source!A82)</f>
        <v>82</v>
      </c>
      <c r="B75">
        <v>35841400</v>
      </c>
      <c r="C75">
        <v>36517075</v>
      </c>
      <c r="D75">
        <v>29172556</v>
      </c>
      <c r="E75">
        <v>1</v>
      </c>
      <c r="F75">
        <v>1</v>
      </c>
      <c r="G75">
        <v>1</v>
      </c>
      <c r="H75">
        <v>2</v>
      </c>
      <c r="I75" t="s">
        <v>364</v>
      </c>
      <c r="J75" t="s">
        <v>365</v>
      </c>
      <c r="K75" t="s">
        <v>366</v>
      </c>
      <c r="L75">
        <v>1368</v>
      </c>
      <c r="N75">
        <v>1011</v>
      </c>
      <c r="O75" t="s">
        <v>367</v>
      </c>
      <c r="P75" t="s">
        <v>367</v>
      </c>
      <c r="Q75">
        <v>1</v>
      </c>
      <c r="W75">
        <v>0</v>
      </c>
      <c r="X75">
        <v>344519037</v>
      </c>
      <c r="Y75">
        <v>0.47</v>
      </c>
      <c r="AA75">
        <v>0</v>
      </c>
      <c r="AB75">
        <v>466.71</v>
      </c>
      <c r="AC75">
        <v>453.6</v>
      </c>
      <c r="AD75">
        <v>0</v>
      </c>
      <c r="AE75">
        <v>0</v>
      </c>
      <c r="AF75">
        <v>31.26</v>
      </c>
      <c r="AG75">
        <v>13.5</v>
      </c>
      <c r="AH75">
        <v>0</v>
      </c>
      <c r="AI75">
        <v>1</v>
      </c>
      <c r="AJ75">
        <v>14.93</v>
      </c>
      <c r="AK75">
        <v>33.6</v>
      </c>
      <c r="AL75">
        <v>1</v>
      </c>
      <c r="AN75">
        <v>0</v>
      </c>
      <c r="AO75">
        <v>1</v>
      </c>
      <c r="AP75">
        <v>0</v>
      </c>
      <c r="AQ75">
        <v>0</v>
      </c>
      <c r="AR75">
        <v>0</v>
      </c>
      <c r="AS75" t="s">
        <v>3</v>
      </c>
      <c r="AT75">
        <v>0.47</v>
      </c>
      <c r="AU75" t="s">
        <v>3</v>
      </c>
      <c r="AV75">
        <v>0</v>
      </c>
      <c r="AW75">
        <v>2</v>
      </c>
      <c r="AX75">
        <v>36517078</v>
      </c>
      <c r="AY75">
        <v>1</v>
      </c>
      <c r="AZ75">
        <v>0</v>
      </c>
      <c r="BA75">
        <v>77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  <c r="BT75">
        <v>0</v>
      </c>
      <c r="BU75">
        <v>0</v>
      </c>
      <c r="BV75">
        <v>0</v>
      </c>
      <c r="BW75">
        <v>0</v>
      </c>
      <c r="CX75">
        <f>Y75*Source!I82</f>
        <v>0.42675999999999997</v>
      </c>
      <c r="CY75">
        <f>AB75</f>
        <v>466.71</v>
      </c>
      <c r="CZ75">
        <f>AF75</f>
        <v>31.26</v>
      </c>
      <c r="DA75">
        <f>AJ75</f>
        <v>14.93</v>
      </c>
      <c r="DB75">
        <f t="shared" si="11"/>
        <v>14.69</v>
      </c>
      <c r="DC75">
        <f t="shared" si="12"/>
        <v>6.35</v>
      </c>
    </row>
    <row r="76" spans="1:107">
      <c r="A76">
        <f>ROW(Source!A82)</f>
        <v>82</v>
      </c>
      <c r="B76">
        <v>35841400</v>
      </c>
      <c r="C76">
        <v>36517075</v>
      </c>
      <c r="D76">
        <v>29174913</v>
      </c>
      <c r="E76">
        <v>1</v>
      </c>
      <c r="F76">
        <v>1</v>
      </c>
      <c r="G76">
        <v>1</v>
      </c>
      <c r="H76">
        <v>2</v>
      </c>
      <c r="I76" t="s">
        <v>381</v>
      </c>
      <c r="J76" t="s">
        <v>382</v>
      </c>
      <c r="K76" t="s">
        <v>383</v>
      </c>
      <c r="L76">
        <v>1368</v>
      </c>
      <c r="N76">
        <v>1011</v>
      </c>
      <c r="O76" t="s">
        <v>367</v>
      </c>
      <c r="P76" t="s">
        <v>367</v>
      </c>
      <c r="Q76">
        <v>1</v>
      </c>
      <c r="W76">
        <v>0</v>
      </c>
      <c r="X76">
        <v>1230759911</v>
      </c>
      <c r="Y76">
        <v>0.7</v>
      </c>
      <c r="AA76">
        <v>0</v>
      </c>
      <c r="AB76">
        <v>932.72</v>
      </c>
      <c r="AC76">
        <v>389.76</v>
      </c>
      <c r="AD76">
        <v>0</v>
      </c>
      <c r="AE76">
        <v>0</v>
      </c>
      <c r="AF76">
        <v>87.17</v>
      </c>
      <c r="AG76">
        <v>11.6</v>
      </c>
      <c r="AH76">
        <v>0</v>
      </c>
      <c r="AI76">
        <v>1</v>
      </c>
      <c r="AJ76">
        <v>10.7</v>
      </c>
      <c r="AK76">
        <v>33.6</v>
      </c>
      <c r="AL76">
        <v>1</v>
      </c>
      <c r="AN76">
        <v>0</v>
      </c>
      <c r="AO76">
        <v>1</v>
      </c>
      <c r="AP76">
        <v>0</v>
      </c>
      <c r="AQ76">
        <v>0</v>
      </c>
      <c r="AR76">
        <v>0</v>
      </c>
      <c r="AS76" t="s">
        <v>3</v>
      </c>
      <c r="AT76">
        <v>0.7</v>
      </c>
      <c r="AU76" t="s">
        <v>3</v>
      </c>
      <c r="AV76">
        <v>0</v>
      </c>
      <c r="AW76">
        <v>2</v>
      </c>
      <c r="AX76">
        <v>36517079</v>
      </c>
      <c r="AY76">
        <v>1</v>
      </c>
      <c r="AZ76">
        <v>0</v>
      </c>
      <c r="BA76">
        <v>78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0</v>
      </c>
      <c r="BT76">
        <v>0</v>
      </c>
      <c r="BU76">
        <v>0</v>
      </c>
      <c r="BV76">
        <v>0</v>
      </c>
      <c r="BW76">
        <v>0</v>
      </c>
      <c r="CX76">
        <f>Y76*Source!I82</f>
        <v>0.63559999999999994</v>
      </c>
      <c r="CY76">
        <f>AB76</f>
        <v>932.72</v>
      </c>
      <c r="CZ76">
        <f>AF76</f>
        <v>87.17</v>
      </c>
      <c r="DA76">
        <f>AJ76</f>
        <v>10.7</v>
      </c>
      <c r="DB76">
        <f t="shared" si="11"/>
        <v>61.02</v>
      </c>
      <c r="DC76">
        <f t="shared" si="12"/>
        <v>8.1199999999999992</v>
      </c>
    </row>
    <row r="77" spans="1:107">
      <c r="A77">
        <f>ROW(Source!A82)</f>
        <v>82</v>
      </c>
      <c r="B77">
        <v>35841400</v>
      </c>
      <c r="C77">
        <v>36517075</v>
      </c>
      <c r="D77">
        <v>29114332</v>
      </c>
      <c r="E77">
        <v>1</v>
      </c>
      <c r="F77">
        <v>1</v>
      </c>
      <c r="G77">
        <v>1</v>
      </c>
      <c r="H77">
        <v>3</v>
      </c>
      <c r="I77" t="s">
        <v>489</v>
      </c>
      <c r="J77" t="s">
        <v>490</v>
      </c>
      <c r="K77" t="s">
        <v>491</v>
      </c>
      <c r="L77">
        <v>1348</v>
      </c>
      <c r="N77">
        <v>1009</v>
      </c>
      <c r="O77" t="s">
        <v>41</v>
      </c>
      <c r="P77" t="s">
        <v>41</v>
      </c>
      <c r="Q77">
        <v>1000</v>
      </c>
      <c r="W77">
        <v>0</v>
      </c>
      <c r="X77">
        <v>1561117559</v>
      </c>
      <c r="Y77">
        <v>1.2999999999999999E-2</v>
      </c>
      <c r="AA77">
        <v>54619.68</v>
      </c>
      <c r="AB77">
        <v>0</v>
      </c>
      <c r="AC77">
        <v>0</v>
      </c>
      <c r="AD77">
        <v>0</v>
      </c>
      <c r="AE77">
        <v>11978</v>
      </c>
      <c r="AF77">
        <v>0</v>
      </c>
      <c r="AG77">
        <v>0</v>
      </c>
      <c r="AH77">
        <v>0</v>
      </c>
      <c r="AI77">
        <v>4.5599999999999996</v>
      </c>
      <c r="AJ77">
        <v>1</v>
      </c>
      <c r="AK77">
        <v>1</v>
      </c>
      <c r="AL77">
        <v>1</v>
      </c>
      <c r="AN77">
        <v>0</v>
      </c>
      <c r="AO77">
        <v>1</v>
      </c>
      <c r="AP77">
        <v>0</v>
      </c>
      <c r="AQ77">
        <v>0</v>
      </c>
      <c r="AR77">
        <v>0</v>
      </c>
      <c r="AS77" t="s">
        <v>3</v>
      </c>
      <c r="AT77">
        <v>1.2999999999999999E-2</v>
      </c>
      <c r="AU77" t="s">
        <v>3</v>
      </c>
      <c r="AV77">
        <v>0</v>
      </c>
      <c r="AW77">
        <v>2</v>
      </c>
      <c r="AX77">
        <v>36517080</v>
      </c>
      <c r="AY77">
        <v>1</v>
      </c>
      <c r="AZ77">
        <v>0</v>
      </c>
      <c r="BA77">
        <v>79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0</v>
      </c>
      <c r="BT77">
        <v>0</v>
      </c>
      <c r="BU77">
        <v>0</v>
      </c>
      <c r="BV77">
        <v>0</v>
      </c>
      <c r="BW77">
        <v>0</v>
      </c>
      <c r="CX77">
        <f>Y77*Source!I82</f>
        <v>1.1804E-2</v>
      </c>
      <c r="CY77">
        <f>AA77</f>
        <v>54619.68</v>
      </c>
      <c r="CZ77">
        <f>AE77</f>
        <v>11978</v>
      </c>
      <c r="DA77">
        <f>AI77</f>
        <v>4.5599999999999996</v>
      </c>
      <c r="DB77">
        <f t="shared" si="11"/>
        <v>155.71</v>
      </c>
      <c r="DC77">
        <f t="shared" si="12"/>
        <v>0</v>
      </c>
    </row>
    <row r="78" spans="1:107">
      <c r="A78">
        <f>ROW(Source!A82)</f>
        <v>82</v>
      </c>
      <c r="B78">
        <v>35841400</v>
      </c>
      <c r="C78">
        <v>36517075</v>
      </c>
      <c r="D78">
        <v>29115646</v>
      </c>
      <c r="E78">
        <v>1</v>
      </c>
      <c r="F78">
        <v>1</v>
      </c>
      <c r="G78">
        <v>1</v>
      </c>
      <c r="H78">
        <v>3</v>
      </c>
      <c r="I78" t="s">
        <v>492</v>
      </c>
      <c r="J78" t="s">
        <v>493</v>
      </c>
      <c r="K78" t="s">
        <v>494</v>
      </c>
      <c r="L78">
        <v>1339</v>
      </c>
      <c r="N78">
        <v>1007</v>
      </c>
      <c r="O78" t="s">
        <v>393</v>
      </c>
      <c r="P78" t="s">
        <v>393</v>
      </c>
      <c r="Q78">
        <v>1</v>
      </c>
      <c r="W78">
        <v>0</v>
      </c>
      <c r="X78">
        <v>2026967772</v>
      </c>
      <c r="Y78">
        <v>4.2</v>
      </c>
      <c r="AA78">
        <v>7184.1</v>
      </c>
      <c r="AB78">
        <v>0</v>
      </c>
      <c r="AC78">
        <v>0</v>
      </c>
      <c r="AD78">
        <v>0</v>
      </c>
      <c r="AE78">
        <v>1155</v>
      </c>
      <c r="AF78">
        <v>0</v>
      </c>
      <c r="AG78">
        <v>0</v>
      </c>
      <c r="AH78">
        <v>0</v>
      </c>
      <c r="AI78">
        <v>6.22</v>
      </c>
      <c r="AJ78">
        <v>1</v>
      </c>
      <c r="AK78">
        <v>1</v>
      </c>
      <c r="AL78">
        <v>1</v>
      </c>
      <c r="AN78">
        <v>0</v>
      </c>
      <c r="AO78">
        <v>1</v>
      </c>
      <c r="AP78">
        <v>0</v>
      </c>
      <c r="AQ78">
        <v>0</v>
      </c>
      <c r="AR78">
        <v>0</v>
      </c>
      <c r="AS78" t="s">
        <v>3</v>
      </c>
      <c r="AT78">
        <v>4.2</v>
      </c>
      <c r="AU78" t="s">
        <v>3</v>
      </c>
      <c r="AV78">
        <v>0</v>
      </c>
      <c r="AW78">
        <v>2</v>
      </c>
      <c r="AX78">
        <v>36517081</v>
      </c>
      <c r="AY78">
        <v>1</v>
      </c>
      <c r="AZ78">
        <v>0</v>
      </c>
      <c r="BA78">
        <v>80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  <c r="BT78">
        <v>0</v>
      </c>
      <c r="BU78">
        <v>0</v>
      </c>
      <c r="BV78">
        <v>0</v>
      </c>
      <c r="BW78">
        <v>0</v>
      </c>
      <c r="CX78">
        <f>Y78*Source!I82</f>
        <v>3.8136000000000001</v>
      </c>
      <c r="CY78">
        <f>AA78</f>
        <v>7184.1</v>
      </c>
      <c r="CZ78">
        <f>AE78</f>
        <v>1155</v>
      </c>
      <c r="DA78">
        <f>AI78</f>
        <v>6.22</v>
      </c>
      <c r="DB78">
        <f t="shared" si="11"/>
        <v>4851</v>
      </c>
      <c r="DC78">
        <f t="shared" si="12"/>
        <v>0</v>
      </c>
    </row>
    <row r="79" spans="1:107">
      <c r="A79">
        <f>ROW(Source!A82)</f>
        <v>82</v>
      </c>
      <c r="B79">
        <v>35841400</v>
      </c>
      <c r="C79">
        <v>36517075</v>
      </c>
      <c r="D79">
        <v>29164349</v>
      </c>
      <c r="E79">
        <v>1</v>
      </c>
      <c r="F79">
        <v>1</v>
      </c>
      <c r="G79">
        <v>1</v>
      </c>
      <c r="H79">
        <v>3</v>
      </c>
      <c r="I79" t="s">
        <v>39</v>
      </c>
      <c r="J79" t="s">
        <v>168</v>
      </c>
      <c r="K79" t="s">
        <v>40</v>
      </c>
      <c r="L79">
        <v>1348</v>
      </c>
      <c r="N79">
        <v>1009</v>
      </c>
      <c r="O79" t="s">
        <v>41</v>
      </c>
      <c r="P79" t="s">
        <v>41</v>
      </c>
      <c r="Q79">
        <v>1000</v>
      </c>
      <c r="W79">
        <v>0</v>
      </c>
      <c r="X79">
        <v>1876412176</v>
      </c>
      <c r="Y79">
        <v>1.86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1</v>
      </c>
      <c r="AJ79">
        <v>1</v>
      </c>
      <c r="AK79">
        <v>1</v>
      </c>
      <c r="AL79">
        <v>1</v>
      </c>
      <c r="AN79">
        <v>0</v>
      </c>
      <c r="AO79">
        <v>0</v>
      </c>
      <c r="AP79">
        <v>0</v>
      </c>
      <c r="AQ79">
        <v>0</v>
      </c>
      <c r="AR79">
        <v>0</v>
      </c>
      <c r="AS79" t="s">
        <v>3</v>
      </c>
      <c r="AT79">
        <v>1.86</v>
      </c>
      <c r="AU79" t="s">
        <v>3</v>
      </c>
      <c r="AV79">
        <v>0</v>
      </c>
      <c r="AW79">
        <v>2</v>
      </c>
      <c r="AX79">
        <v>36517082</v>
      </c>
      <c r="AY79">
        <v>1</v>
      </c>
      <c r="AZ79">
        <v>0</v>
      </c>
      <c r="BA79">
        <v>81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0</v>
      </c>
      <c r="BT79">
        <v>0</v>
      </c>
      <c r="BU79">
        <v>0</v>
      </c>
      <c r="BV79">
        <v>0</v>
      </c>
      <c r="BW79">
        <v>0</v>
      </c>
      <c r="CX79">
        <f>Y79*Source!I82</f>
        <v>1.6888800000000002</v>
      </c>
      <c r="CY79">
        <f>AA79</f>
        <v>0</v>
      </c>
      <c r="CZ79">
        <f>AE79</f>
        <v>0</v>
      </c>
      <c r="DA79">
        <f>AI79</f>
        <v>1</v>
      </c>
      <c r="DB79">
        <f t="shared" si="11"/>
        <v>0</v>
      </c>
      <c r="DC79">
        <f t="shared" si="12"/>
        <v>0</v>
      </c>
    </row>
    <row r="80" spans="1:107">
      <c r="A80">
        <f>ROW(Source!A84)</f>
        <v>84</v>
      </c>
      <c r="B80">
        <v>35841400</v>
      </c>
      <c r="C80">
        <v>35841652</v>
      </c>
      <c r="D80">
        <v>18408291</v>
      </c>
      <c r="E80">
        <v>1</v>
      </c>
      <c r="F80">
        <v>1</v>
      </c>
      <c r="G80">
        <v>1</v>
      </c>
      <c r="H80">
        <v>1</v>
      </c>
      <c r="I80" t="s">
        <v>495</v>
      </c>
      <c r="J80" t="s">
        <v>3</v>
      </c>
      <c r="K80" t="s">
        <v>496</v>
      </c>
      <c r="L80">
        <v>1369</v>
      </c>
      <c r="N80">
        <v>1013</v>
      </c>
      <c r="O80" t="s">
        <v>361</v>
      </c>
      <c r="P80" t="s">
        <v>361</v>
      </c>
      <c r="Q80">
        <v>1</v>
      </c>
      <c r="W80">
        <v>0</v>
      </c>
      <c r="X80">
        <v>1933892413</v>
      </c>
      <c r="Y80">
        <v>35.948999999999998</v>
      </c>
      <c r="AA80">
        <v>0</v>
      </c>
      <c r="AB80">
        <v>0</v>
      </c>
      <c r="AC80">
        <v>0</v>
      </c>
      <c r="AD80">
        <v>271.12</v>
      </c>
      <c r="AE80">
        <v>0</v>
      </c>
      <c r="AF80">
        <v>0</v>
      </c>
      <c r="AG80">
        <v>0</v>
      </c>
      <c r="AH80">
        <v>271.12</v>
      </c>
      <c r="AI80">
        <v>1</v>
      </c>
      <c r="AJ80">
        <v>1</v>
      </c>
      <c r="AK80">
        <v>1</v>
      </c>
      <c r="AL80">
        <v>1</v>
      </c>
      <c r="AN80">
        <v>0</v>
      </c>
      <c r="AO80">
        <v>1</v>
      </c>
      <c r="AP80">
        <v>1</v>
      </c>
      <c r="AQ80">
        <v>0</v>
      </c>
      <c r="AR80">
        <v>0</v>
      </c>
      <c r="AS80" t="s">
        <v>3</v>
      </c>
      <c r="AT80">
        <v>31.26</v>
      </c>
      <c r="AU80" t="s">
        <v>114</v>
      </c>
      <c r="AV80">
        <v>1</v>
      </c>
      <c r="AW80">
        <v>2</v>
      </c>
      <c r="AX80">
        <v>35841660</v>
      </c>
      <c r="AY80">
        <v>2</v>
      </c>
      <c r="AZ80">
        <v>131072</v>
      </c>
      <c r="BA80">
        <v>82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0</v>
      </c>
      <c r="BU80">
        <v>0</v>
      </c>
      <c r="BV80">
        <v>0</v>
      </c>
      <c r="BW80">
        <v>0</v>
      </c>
      <c r="CX80">
        <f>Y80*Source!I84</f>
        <v>32.641691999999999</v>
      </c>
      <c r="CY80">
        <f>AD80</f>
        <v>271.12</v>
      </c>
      <c r="CZ80">
        <f>AH80</f>
        <v>271.12</v>
      </c>
      <c r="DA80">
        <f>AL80</f>
        <v>1</v>
      </c>
      <c r="DB80">
        <f>ROUND((ROUND(AT80*CZ80,2)*1.15),6)</f>
        <v>9746.4915000000001</v>
      </c>
      <c r="DC80">
        <f>ROUND((ROUND(AT80*AG80,2)*1.15),6)</f>
        <v>0</v>
      </c>
    </row>
    <row r="81" spans="1:107">
      <c r="A81">
        <f>ROW(Source!A84)</f>
        <v>84</v>
      </c>
      <c r="B81">
        <v>35841400</v>
      </c>
      <c r="C81">
        <v>35841652</v>
      </c>
      <c r="D81">
        <v>121548</v>
      </c>
      <c r="E81">
        <v>1</v>
      </c>
      <c r="F81">
        <v>1</v>
      </c>
      <c r="G81">
        <v>1</v>
      </c>
      <c r="H81">
        <v>1</v>
      </c>
      <c r="I81" t="s">
        <v>213</v>
      </c>
      <c r="J81" t="s">
        <v>3</v>
      </c>
      <c r="K81" t="s">
        <v>362</v>
      </c>
      <c r="L81">
        <v>608254</v>
      </c>
      <c r="N81">
        <v>1013</v>
      </c>
      <c r="O81" t="s">
        <v>363</v>
      </c>
      <c r="P81" t="s">
        <v>363</v>
      </c>
      <c r="Q81">
        <v>1</v>
      </c>
      <c r="W81">
        <v>0</v>
      </c>
      <c r="X81">
        <v>-185737400</v>
      </c>
      <c r="Y81">
        <v>6.7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1</v>
      </c>
      <c r="AJ81">
        <v>1</v>
      </c>
      <c r="AK81">
        <v>1</v>
      </c>
      <c r="AL81">
        <v>1</v>
      </c>
      <c r="AN81">
        <v>0</v>
      </c>
      <c r="AO81">
        <v>1</v>
      </c>
      <c r="AP81">
        <v>1</v>
      </c>
      <c r="AQ81">
        <v>0</v>
      </c>
      <c r="AR81">
        <v>0</v>
      </c>
      <c r="AS81" t="s">
        <v>3</v>
      </c>
      <c r="AT81">
        <v>6.7</v>
      </c>
      <c r="AU81" t="s">
        <v>3</v>
      </c>
      <c r="AV81">
        <v>2</v>
      </c>
      <c r="AW81">
        <v>2</v>
      </c>
      <c r="AX81">
        <v>35841661</v>
      </c>
      <c r="AY81">
        <v>1</v>
      </c>
      <c r="AZ81">
        <v>0</v>
      </c>
      <c r="BA81">
        <v>83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0</v>
      </c>
      <c r="BT81">
        <v>0</v>
      </c>
      <c r="BU81">
        <v>0</v>
      </c>
      <c r="BV81">
        <v>0</v>
      </c>
      <c r="BW81">
        <v>0</v>
      </c>
      <c r="CX81">
        <f>Y81*Source!I84</f>
        <v>6.0836000000000006</v>
      </c>
      <c r="CY81">
        <f>AD81</f>
        <v>0</v>
      </c>
      <c r="CZ81">
        <f>AH81</f>
        <v>0</v>
      </c>
      <c r="DA81">
        <f>AL81</f>
        <v>1</v>
      </c>
      <c r="DB81">
        <f t="shared" ref="DB81:DB86" si="13">ROUND(ROUND(AT81*CZ81,2),6)</f>
        <v>0</v>
      </c>
      <c r="DC81">
        <f t="shared" ref="DC81:DC86" si="14">ROUND(ROUND(AT81*AG81,2),6)</f>
        <v>0</v>
      </c>
    </row>
    <row r="82" spans="1:107">
      <c r="A82">
        <f>ROW(Source!A84)</f>
        <v>84</v>
      </c>
      <c r="B82">
        <v>35841400</v>
      </c>
      <c r="C82">
        <v>35841652</v>
      </c>
      <c r="D82">
        <v>29172710</v>
      </c>
      <c r="E82">
        <v>1</v>
      </c>
      <c r="F82">
        <v>1</v>
      </c>
      <c r="G82">
        <v>1</v>
      </c>
      <c r="H82">
        <v>2</v>
      </c>
      <c r="I82" t="s">
        <v>497</v>
      </c>
      <c r="J82" t="s">
        <v>498</v>
      </c>
      <c r="K82" t="s">
        <v>499</v>
      </c>
      <c r="L82">
        <v>1368</v>
      </c>
      <c r="N82">
        <v>1011</v>
      </c>
      <c r="O82" t="s">
        <v>367</v>
      </c>
      <c r="P82" t="s">
        <v>367</v>
      </c>
      <c r="Q82">
        <v>1</v>
      </c>
      <c r="W82">
        <v>0</v>
      </c>
      <c r="X82">
        <v>-1676841219</v>
      </c>
      <c r="Y82">
        <v>6.7</v>
      </c>
      <c r="AA82">
        <v>0</v>
      </c>
      <c r="AB82">
        <v>539.16</v>
      </c>
      <c r="AC82">
        <v>338.02</v>
      </c>
      <c r="AD82">
        <v>0</v>
      </c>
      <c r="AE82">
        <v>0</v>
      </c>
      <c r="AF82">
        <v>46.56</v>
      </c>
      <c r="AG82">
        <v>10.06</v>
      </c>
      <c r="AH82">
        <v>0</v>
      </c>
      <c r="AI82">
        <v>1</v>
      </c>
      <c r="AJ82">
        <v>11.58</v>
      </c>
      <c r="AK82">
        <v>33.6</v>
      </c>
      <c r="AL82">
        <v>1</v>
      </c>
      <c r="AN82">
        <v>0</v>
      </c>
      <c r="AO82">
        <v>1</v>
      </c>
      <c r="AP82">
        <v>1</v>
      </c>
      <c r="AQ82">
        <v>0</v>
      </c>
      <c r="AR82">
        <v>0</v>
      </c>
      <c r="AS82" t="s">
        <v>3</v>
      </c>
      <c r="AT82">
        <v>6.7</v>
      </c>
      <c r="AU82" t="s">
        <v>3</v>
      </c>
      <c r="AV82">
        <v>0</v>
      </c>
      <c r="AW82">
        <v>2</v>
      </c>
      <c r="AX82">
        <v>35841662</v>
      </c>
      <c r="AY82">
        <v>1</v>
      </c>
      <c r="AZ82">
        <v>0</v>
      </c>
      <c r="BA82">
        <v>84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0</v>
      </c>
      <c r="BT82">
        <v>0</v>
      </c>
      <c r="BU82">
        <v>0</v>
      </c>
      <c r="BV82">
        <v>0</v>
      </c>
      <c r="BW82">
        <v>0</v>
      </c>
      <c r="CX82">
        <f>Y82*Source!I84</f>
        <v>6.0836000000000006</v>
      </c>
      <c r="CY82">
        <f>AB82</f>
        <v>539.16</v>
      </c>
      <c r="CZ82">
        <f>AF82</f>
        <v>46.56</v>
      </c>
      <c r="DA82">
        <f>AJ82</f>
        <v>11.58</v>
      </c>
      <c r="DB82">
        <f t="shared" si="13"/>
        <v>311.95</v>
      </c>
      <c r="DC82">
        <f t="shared" si="14"/>
        <v>67.400000000000006</v>
      </c>
    </row>
    <row r="83" spans="1:107">
      <c r="A83">
        <f>ROW(Source!A84)</f>
        <v>84</v>
      </c>
      <c r="B83">
        <v>35841400</v>
      </c>
      <c r="C83">
        <v>35841652</v>
      </c>
      <c r="D83">
        <v>29173472</v>
      </c>
      <c r="E83">
        <v>1</v>
      </c>
      <c r="F83">
        <v>1</v>
      </c>
      <c r="G83">
        <v>1</v>
      </c>
      <c r="H83">
        <v>2</v>
      </c>
      <c r="I83" t="s">
        <v>396</v>
      </c>
      <c r="J83" t="s">
        <v>500</v>
      </c>
      <c r="K83" t="s">
        <v>398</v>
      </c>
      <c r="L83">
        <v>1368</v>
      </c>
      <c r="N83">
        <v>1011</v>
      </c>
      <c r="O83" t="s">
        <v>367</v>
      </c>
      <c r="P83" t="s">
        <v>367</v>
      </c>
      <c r="Q83">
        <v>1</v>
      </c>
      <c r="W83">
        <v>0</v>
      </c>
      <c r="X83">
        <v>275932499</v>
      </c>
      <c r="Y83">
        <v>11</v>
      </c>
      <c r="AA83">
        <v>0</v>
      </c>
      <c r="AB83">
        <v>12.75</v>
      </c>
      <c r="AC83">
        <v>0</v>
      </c>
      <c r="AD83">
        <v>0</v>
      </c>
      <c r="AE83">
        <v>0</v>
      </c>
      <c r="AF83">
        <v>3</v>
      </c>
      <c r="AG83">
        <v>0</v>
      </c>
      <c r="AH83">
        <v>0</v>
      </c>
      <c r="AI83">
        <v>1</v>
      </c>
      <c r="AJ83">
        <v>4.25</v>
      </c>
      <c r="AK83">
        <v>33.6</v>
      </c>
      <c r="AL83">
        <v>1</v>
      </c>
      <c r="AN83">
        <v>0</v>
      </c>
      <c r="AO83">
        <v>1</v>
      </c>
      <c r="AP83">
        <v>1</v>
      </c>
      <c r="AQ83">
        <v>0</v>
      </c>
      <c r="AR83">
        <v>0</v>
      </c>
      <c r="AS83" t="s">
        <v>3</v>
      </c>
      <c r="AT83">
        <v>11</v>
      </c>
      <c r="AU83" t="s">
        <v>3</v>
      </c>
      <c r="AV83">
        <v>0</v>
      </c>
      <c r="AW83">
        <v>2</v>
      </c>
      <c r="AX83">
        <v>35841663</v>
      </c>
      <c r="AY83">
        <v>1</v>
      </c>
      <c r="AZ83">
        <v>0</v>
      </c>
      <c r="BA83">
        <v>85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0</v>
      </c>
      <c r="BT83">
        <v>0</v>
      </c>
      <c r="BU83">
        <v>0</v>
      </c>
      <c r="BV83">
        <v>0</v>
      </c>
      <c r="BW83">
        <v>0</v>
      </c>
      <c r="CX83">
        <f>Y83*Source!I84</f>
        <v>9.9879999999999995</v>
      </c>
      <c r="CY83">
        <f>AB83</f>
        <v>12.75</v>
      </c>
      <c r="CZ83">
        <f>AF83</f>
        <v>3</v>
      </c>
      <c r="DA83">
        <f>AJ83</f>
        <v>4.25</v>
      </c>
      <c r="DB83">
        <f t="shared" si="13"/>
        <v>33</v>
      </c>
      <c r="DC83">
        <f t="shared" si="14"/>
        <v>0</v>
      </c>
    </row>
    <row r="84" spans="1:107">
      <c r="A84">
        <f>ROW(Source!A84)</f>
        <v>84</v>
      </c>
      <c r="B84">
        <v>35841400</v>
      </c>
      <c r="C84">
        <v>35841652</v>
      </c>
      <c r="D84">
        <v>29174913</v>
      </c>
      <c r="E84">
        <v>1</v>
      </c>
      <c r="F84">
        <v>1</v>
      </c>
      <c r="G84">
        <v>1</v>
      </c>
      <c r="H84">
        <v>2</v>
      </c>
      <c r="I84" t="s">
        <v>381</v>
      </c>
      <c r="J84" t="s">
        <v>480</v>
      </c>
      <c r="K84" t="s">
        <v>383</v>
      </c>
      <c r="L84">
        <v>1368</v>
      </c>
      <c r="N84">
        <v>1011</v>
      </c>
      <c r="O84" t="s">
        <v>367</v>
      </c>
      <c r="P84" t="s">
        <v>367</v>
      </c>
      <c r="Q84">
        <v>1</v>
      </c>
      <c r="W84">
        <v>0</v>
      </c>
      <c r="X84">
        <v>458544584</v>
      </c>
      <c r="Y84">
        <v>0.35</v>
      </c>
      <c r="AA84">
        <v>0</v>
      </c>
      <c r="AB84">
        <v>932.72</v>
      </c>
      <c r="AC84">
        <v>389.76</v>
      </c>
      <c r="AD84">
        <v>0</v>
      </c>
      <c r="AE84">
        <v>0</v>
      </c>
      <c r="AF84">
        <v>87.17</v>
      </c>
      <c r="AG84">
        <v>11.6</v>
      </c>
      <c r="AH84">
        <v>0</v>
      </c>
      <c r="AI84">
        <v>1</v>
      </c>
      <c r="AJ84">
        <v>10.7</v>
      </c>
      <c r="AK84">
        <v>33.6</v>
      </c>
      <c r="AL84">
        <v>1</v>
      </c>
      <c r="AN84">
        <v>0</v>
      </c>
      <c r="AO84">
        <v>1</v>
      </c>
      <c r="AP84">
        <v>1</v>
      </c>
      <c r="AQ84">
        <v>0</v>
      </c>
      <c r="AR84">
        <v>0</v>
      </c>
      <c r="AS84" t="s">
        <v>3</v>
      </c>
      <c r="AT84">
        <v>0.35</v>
      </c>
      <c r="AU84" t="s">
        <v>3</v>
      </c>
      <c r="AV84">
        <v>0</v>
      </c>
      <c r="AW84">
        <v>2</v>
      </c>
      <c r="AX84">
        <v>35841664</v>
      </c>
      <c r="AY84">
        <v>1</v>
      </c>
      <c r="AZ84">
        <v>0</v>
      </c>
      <c r="BA84">
        <v>86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0</v>
      </c>
      <c r="BT84">
        <v>0</v>
      </c>
      <c r="BU84">
        <v>0</v>
      </c>
      <c r="BV84">
        <v>0</v>
      </c>
      <c r="BW84">
        <v>0</v>
      </c>
      <c r="CX84">
        <f>Y84*Source!I84</f>
        <v>0.31779999999999997</v>
      </c>
      <c r="CY84">
        <f>AB84</f>
        <v>932.72</v>
      </c>
      <c r="CZ84">
        <f>AF84</f>
        <v>87.17</v>
      </c>
      <c r="DA84">
        <f>AJ84</f>
        <v>10.7</v>
      </c>
      <c r="DB84">
        <f t="shared" si="13"/>
        <v>30.51</v>
      </c>
      <c r="DC84">
        <f t="shared" si="14"/>
        <v>4.0599999999999996</v>
      </c>
    </row>
    <row r="85" spans="1:107">
      <c r="A85">
        <f>ROW(Source!A84)</f>
        <v>84</v>
      </c>
      <c r="B85">
        <v>35841400</v>
      </c>
      <c r="C85">
        <v>35841652</v>
      </c>
      <c r="D85">
        <v>29114687</v>
      </c>
      <c r="E85">
        <v>1</v>
      </c>
      <c r="F85">
        <v>1</v>
      </c>
      <c r="G85">
        <v>1</v>
      </c>
      <c r="H85">
        <v>3</v>
      </c>
      <c r="I85" t="s">
        <v>501</v>
      </c>
      <c r="J85" t="s">
        <v>502</v>
      </c>
      <c r="K85" t="s">
        <v>503</v>
      </c>
      <c r="L85">
        <v>1348</v>
      </c>
      <c r="N85">
        <v>1009</v>
      </c>
      <c r="O85" t="s">
        <v>41</v>
      </c>
      <c r="P85" t="s">
        <v>41</v>
      </c>
      <c r="Q85">
        <v>1000</v>
      </c>
      <c r="W85">
        <v>0</v>
      </c>
      <c r="X85">
        <v>157955001</v>
      </c>
      <c r="Y85">
        <v>1.8E-3</v>
      </c>
      <c r="AA85">
        <v>105069.06</v>
      </c>
      <c r="AB85">
        <v>0</v>
      </c>
      <c r="AC85">
        <v>0</v>
      </c>
      <c r="AD85">
        <v>0</v>
      </c>
      <c r="AE85">
        <v>16974</v>
      </c>
      <c r="AF85">
        <v>0</v>
      </c>
      <c r="AG85">
        <v>0</v>
      </c>
      <c r="AH85">
        <v>0</v>
      </c>
      <c r="AI85">
        <v>6.19</v>
      </c>
      <c r="AJ85">
        <v>1</v>
      </c>
      <c r="AK85">
        <v>1</v>
      </c>
      <c r="AL85">
        <v>1</v>
      </c>
      <c r="AN85">
        <v>0</v>
      </c>
      <c r="AO85">
        <v>1</v>
      </c>
      <c r="AP85">
        <v>0</v>
      </c>
      <c r="AQ85">
        <v>0</v>
      </c>
      <c r="AR85">
        <v>0</v>
      </c>
      <c r="AS85" t="s">
        <v>3</v>
      </c>
      <c r="AT85">
        <v>1.8E-3</v>
      </c>
      <c r="AU85" t="s">
        <v>3</v>
      </c>
      <c r="AV85">
        <v>0</v>
      </c>
      <c r="AW85">
        <v>2</v>
      </c>
      <c r="AX85">
        <v>35841665</v>
      </c>
      <c r="AY85">
        <v>1</v>
      </c>
      <c r="AZ85">
        <v>0</v>
      </c>
      <c r="BA85">
        <v>87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0</v>
      </c>
      <c r="BT85">
        <v>0</v>
      </c>
      <c r="BU85">
        <v>0</v>
      </c>
      <c r="BV85">
        <v>0</v>
      </c>
      <c r="BW85">
        <v>0</v>
      </c>
      <c r="CX85">
        <f>Y85*Source!I84</f>
        <v>1.6344E-3</v>
      </c>
      <c r="CY85">
        <f>AA85</f>
        <v>105069.06</v>
      </c>
      <c r="CZ85">
        <f>AE85</f>
        <v>16974</v>
      </c>
      <c r="DA85">
        <f>AI85</f>
        <v>6.19</v>
      </c>
      <c r="DB85">
        <f t="shared" si="13"/>
        <v>30.55</v>
      </c>
      <c r="DC85">
        <f t="shared" si="14"/>
        <v>0</v>
      </c>
    </row>
    <row r="86" spans="1:107">
      <c r="A86">
        <f>ROW(Source!A84)</f>
        <v>84</v>
      </c>
      <c r="B86">
        <v>35841400</v>
      </c>
      <c r="C86">
        <v>35841652</v>
      </c>
      <c r="D86">
        <v>29115292</v>
      </c>
      <c r="E86">
        <v>1</v>
      </c>
      <c r="F86">
        <v>1</v>
      </c>
      <c r="G86">
        <v>1</v>
      </c>
      <c r="H86">
        <v>3</v>
      </c>
      <c r="I86" t="s">
        <v>504</v>
      </c>
      <c r="J86" t="s">
        <v>505</v>
      </c>
      <c r="K86" t="s">
        <v>506</v>
      </c>
      <c r="L86">
        <v>1339</v>
      </c>
      <c r="N86">
        <v>1007</v>
      </c>
      <c r="O86" t="s">
        <v>393</v>
      </c>
      <c r="P86" t="s">
        <v>393</v>
      </c>
      <c r="Q86">
        <v>1</v>
      </c>
      <c r="W86">
        <v>0</v>
      </c>
      <c r="X86">
        <v>582810497</v>
      </c>
      <c r="Y86">
        <v>1.24</v>
      </c>
      <c r="AA86">
        <v>29691.33</v>
      </c>
      <c r="AB86">
        <v>0</v>
      </c>
      <c r="AC86">
        <v>0</v>
      </c>
      <c r="AD86">
        <v>0</v>
      </c>
      <c r="AE86">
        <v>4478.33</v>
      </c>
      <c r="AF86">
        <v>0</v>
      </c>
      <c r="AG86">
        <v>0</v>
      </c>
      <c r="AH86">
        <v>0</v>
      </c>
      <c r="AI86">
        <v>6.63</v>
      </c>
      <c r="AJ86">
        <v>1</v>
      </c>
      <c r="AK86">
        <v>1</v>
      </c>
      <c r="AL86">
        <v>1</v>
      </c>
      <c r="AN86">
        <v>0</v>
      </c>
      <c r="AO86">
        <v>1</v>
      </c>
      <c r="AP86">
        <v>0</v>
      </c>
      <c r="AQ86">
        <v>0</v>
      </c>
      <c r="AR86">
        <v>0</v>
      </c>
      <c r="AS86" t="s">
        <v>3</v>
      </c>
      <c r="AT86">
        <v>1.24</v>
      </c>
      <c r="AU86" t="s">
        <v>3</v>
      </c>
      <c r="AV86">
        <v>0</v>
      </c>
      <c r="AW86">
        <v>2</v>
      </c>
      <c r="AX86">
        <v>35841666</v>
      </c>
      <c r="AY86">
        <v>1</v>
      </c>
      <c r="AZ86">
        <v>0</v>
      </c>
      <c r="BA86">
        <v>88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0</v>
      </c>
      <c r="BT86">
        <v>0</v>
      </c>
      <c r="BU86">
        <v>0</v>
      </c>
      <c r="BV86">
        <v>0</v>
      </c>
      <c r="BW86">
        <v>0</v>
      </c>
      <c r="CX86">
        <f>Y86*Source!I84</f>
        <v>1.12592</v>
      </c>
      <c r="CY86">
        <f>AA86</f>
        <v>29691.33</v>
      </c>
      <c r="CZ86">
        <f>AE86</f>
        <v>4478.33</v>
      </c>
      <c r="DA86">
        <f>AI86</f>
        <v>6.63</v>
      </c>
      <c r="DB86">
        <f t="shared" si="13"/>
        <v>5553.13</v>
      </c>
      <c r="DC86">
        <f t="shared" si="14"/>
        <v>0</v>
      </c>
    </row>
    <row r="87" spans="1:107">
      <c r="A87">
        <f>ROW(Source!A85)</f>
        <v>85</v>
      </c>
      <c r="B87">
        <v>35841400</v>
      </c>
      <c r="C87">
        <v>36517084</v>
      </c>
      <c r="D87">
        <v>18410542</v>
      </c>
      <c r="E87">
        <v>1</v>
      </c>
      <c r="F87">
        <v>1</v>
      </c>
      <c r="G87">
        <v>1</v>
      </c>
      <c r="H87">
        <v>1</v>
      </c>
      <c r="I87" t="s">
        <v>507</v>
      </c>
      <c r="J87" t="s">
        <v>3</v>
      </c>
      <c r="K87" t="s">
        <v>508</v>
      </c>
      <c r="L87">
        <v>1369</v>
      </c>
      <c r="N87">
        <v>1013</v>
      </c>
      <c r="O87" t="s">
        <v>361</v>
      </c>
      <c r="P87" t="s">
        <v>361</v>
      </c>
      <c r="Q87">
        <v>1</v>
      </c>
      <c r="W87">
        <v>0</v>
      </c>
      <c r="X87">
        <v>1415306217</v>
      </c>
      <c r="Y87">
        <v>48.76</v>
      </c>
      <c r="AA87">
        <v>0</v>
      </c>
      <c r="AB87">
        <v>0</v>
      </c>
      <c r="AC87">
        <v>0</v>
      </c>
      <c r="AD87">
        <v>275.77</v>
      </c>
      <c r="AE87">
        <v>0</v>
      </c>
      <c r="AF87">
        <v>0</v>
      </c>
      <c r="AG87">
        <v>0</v>
      </c>
      <c r="AH87">
        <v>275.77</v>
      </c>
      <c r="AI87">
        <v>1</v>
      </c>
      <c r="AJ87">
        <v>1</v>
      </c>
      <c r="AK87">
        <v>1</v>
      </c>
      <c r="AL87">
        <v>1</v>
      </c>
      <c r="AN87">
        <v>0</v>
      </c>
      <c r="AO87">
        <v>1</v>
      </c>
      <c r="AP87">
        <v>1</v>
      </c>
      <c r="AQ87">
        <v>0</v>
      </c>
      <c r="AR87">
        <v>0</v>
      </c>
      <c r="AS87" t="s">
        <v>3</v>
      </c>
      <c r="AT87">
        <v>42.4</v>
      </c>
      <c r="AU87" t="s">
        <v>114</v>
      </c>
      <c r="AV87">
        <v>1</v>
      </c>
      <c r="AW87">
        <v>2</v>
      </c>
      <c r="AX87">
        <v>37374075</v>
      </c>
      <c r="AY87">
        <v>1</v>
      </c>
      <c r="AZ87">
        <v>0</v>
      </c>
      <c r="BA87">
        <v>89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0</v>
      </c>
      <c r="BT87">
        <v>0</v>
      </c>
      <c r="BU87">
        <v>0</v>
      </c>
      <c r="BV87">
        <v>0</v>
      </c>
      <c r="BW87">
        <v>0</v>
      </c>
      <c r="CX87">
        <f>Y87*Source!I85</f>
        <v>44.274079999999998</v>
      </c>
      <c r="CY87">
        <f>AD87</f>
        <v>275.77</v>
      </c>
      <c r="CZ87">
        <f>AH87</f>
        <v>275.77</v>
      </c>
      <c r="DA87">
        <f>AL87</f>
        <v>1</v>
      </c>
      <c r="DB87">
        <f>ROUND((ROUND(AT87*CZ87,2)*1.15),6)</f>
        <v>13446.547500000001</v>
      </c>
      <c r="DC87">
        <f>ROUND((ROUND(AT87*AG87,2)*1.15),6)</f>
        <v>0</v>
      </c>
    </row>
    <row r="88" spans="1:107">
      <c r="A88">
        <f>ROW(Source!A85)</f>
        <v>85</v>
      </c>
      <c r="B88">
        <v>35841400</v>
      </c>
      <c r="C88">
        <v>36517084</v>
      </c>
      <c r="D88">
        <v>121548</v>
      </c>
      <c r="E88">
        <v>1</v>
      </c>
      <c r="F88">
        <v>1</v>
      </c>
      <c r="G88">
        <v>1</v>
      </c>
      <c r="H88">
        <v>1</v>
      </c>
      <c r="I88" t="s">
        <v>213</v>
      </c>
      <c r="J88" t="s">
        <v>3</v>
      </c>
      <c r="K88" t="s">
        <v>362</v>
      </c>
      <c r="L88">
        <v>608254</v>
      </c>
      <c r="N88">
        <v>1013</v>
      </c>
      <c r="O88" t="s">
        <v>363</v>
      </c>
      <c r="P88" t="s">
        <v>363</v>
      </c>
      <c r="Q88">
        <v>1</v>
      </c>
      <c r="W88">
        <v>0</v>
      </c>
      <c r="X88">
        <v>-185737400</v>
      </c>
      <c r="Y88">
        <v>0.4375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1</v>
      </c>
      <c r="AJ88">
        <v>1</v>
      </c>
      <c r="AK88">
        <v>1</v>
      </c>
      <c r="AL88">
        <v>1</v>
      </c>
      <c r="AN88">
        <v>0</v>
      </c>
      <c r="AO88">
        <v>1</v>
      </c>
      <c r="AP88">
        <v>1</v>
      </c>
      <c r="AQ88">
        <v>0</v>
      </c>
      <c r="AR88">
        <v>0</v>
      </c>
      <c r="AS88" t="s">
        <v>3</v>
      </c>
      <c r="AT88">
        <v>0.35</v>
      </c>
      <c r="AU88" t="s">
        <v>139</v>
      </c>
      <c r="AV88">
        <v>2</v>
      </c>
      <c r="AW88">
        <v>2</v>
      </c>
      <c r="AX88">
        <v>37374076</v>
      </c>
      <c r="AY88">
        <v>1</v>
      </c>
      <c r="AZ88">
        <v>0</v>
      </c>
      <c r="BA88">
        <v>90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0</v>
      </c>
      <c r="BT88">
        <v>0</v>
      </c>
      <c r="BU88">
        <v>0</v>
      </c>
      <c r="BV88">
        <v>0</v>
      </c>
      <c r="BW88">
        <v>0</v>
      </c>
      <c r="CX88">
        <f>Y88*Source!I85</f>
        <v>0.39724999999999999</v>
      </c>
      <c r="CY88">
        <f>AD88</f>
        <v>0</v>
      </c>
      <c r="CZ88">
        <f>AH88</f>
        <v>0</v>
      </c>
      <c r="DA88">
        <f>AL88</f>
        <v>1</v>
      </c>
      <c r="DB88">
        <f>ROUND((ROUND(AT88*CZ88,2)*1.25),6)</f>
        <v>0</v>
      </c>
      <c r="DC88">
        <f>ROUND((ROUND(AT88*AG88,2)*1.25),6)</f>
        <v>0</v>
      </c>
    </row>
    <row r="89" spans="1:107">
      <c r="A89">
        <f>ROW(Source!A85)</f>
        <v>85</v>
      </c>
      <c r="B89">
        <v>35841400</v>
      </c>
      <c r="C89">
        <v>36517084</v>
      </c>
      <c r="D89">
        <v>29172556</v>
      </c>
      <c r="E89">
        <v>1</v>
      </c>
      <c r="F89">
        <v>1</v>
      </c>
      <c r="G89">
        <v>1</v>
      </c>
      <c r="H89">
        <v>2</v>
      </c>
      <c r="I89" t="s">
        <v>364</v>
      </c>
      <c r="J89" t="s">
        <v>365</v>
      </c>
      <c r="K89" t="s">
        <v>366</v>
      </c>
      <c r="L89">
        <v>1368</v>
      </c>
      <c r="N89">
        <v>1011</v>
      </c>
      <c r="O89" t="s">
        <v>367</v>
      </c>
      <c r="P89" t="s">
        <v>367</v>
      </c>
      <c r="Q89">
        <v>1</v>
      </c>
      <c r="W89">
        <v>0</v>
      </c>
      <c r="X89">
        <v>344519037</v>
      </c>
      <c r="Y89">
        <v>0.4375</v>
      </c>
      <c r="AA89">
        <v>0</v>
      </c>
      <c r="AB89">
        <v>466.71</v>
      </c>
      <c r="AC89">
        <v>453.6</v>
      </c>
      <c r="AD89">
        <v>0</v>
      </c>
      <c r="AE89">
        <v>0</v>
      </c>
      <c r="AF89">
        <v>31.26</v>
      </c>
      <c r="AG89">
        <v>13.5</v>
      </c>
      <c r="AH89">
        <v>0</v>
      </c>
      <c r="AI89">
        <v>1</v>
      </c>
      <c r="AJ89">
        <v>14.93</v>
      </c>
      <c r="AK89">
        <v>33.6</v>
      </c>
      <c r="AL89">
        <v>1</v>
      </c>
      <c r="AN89">
        <v>0</v>
      </c>
      <c r="AO89">
        <v>1</v>
      </c>
      <c r="AP89">
        <v>1</v>
      </c>
      <c r="AQ89">
        <v>0</v>
      </c>
      <c r="AR89">
        <v>0</v>
      </c>
      <c r="AS89" t="s">
        <v>3</v>
      </c>
      <c r="AT89">
        <v>0.35</v>
      </c>
      <c r="AU89" t="s">
        <v>139</v>
      </c>
      <c r="AV89">
        <v>0</v>
      </c>
      <c r="AW89">
        <v>2</v>
      </c>
      <c r="AX89">
        <v>37374077</v>
      </c>
      <c r="AY89">
        <v>1</v>
      </c>
      <c r="AZ89">
        <v>0</v>
      </c>
      <c r="BA89">
        <v>91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0</v>
      </c>
      <c r="BT89">
        <v>0</v>
      </c>
      <c r="BU89">
        <v>0</v>
      </c>
      <c r="BV89">
        <v>0</v>
      </c>
      <c r="BW89">
        <v>0</v>
      </c>
      <c r="CX89">
        <f>Y89*Source!I85</f>
        <v>0.39724999999999999</v>
      </c>
      <c r="CY89">
        <f>AB89</f>
        <v>466.71</v>
      </c>
      <c r="CZ89">
        <f>AF89</f>
        <v>31.26</v>
      </c>
      <c r="DA89">
        <f>AJ89</f>
        <v>14.93</v>
      </c>
      <c r="DB89">
        <f>ROUND((ROUND(AT89*CZ89,2)*1.25),6)</f>
        <v>13.675000000000001</v>
      </c>
      <c r="DC89">
        <f>ROUND((ROUND(AT89*AG89,2)*1.25),6)</f>
        <v>5.9124999999999996</v>
      </c>
    </row>
    <row r="90" spans="1:107">
      <c r="A90">
        <f>ROW(Source!A85)</f>
        <v>85</v>
      </c>
      <c r="B90">
        <v>35841400</v>
      </c>
      <c r="C90">
        <v>36517084</v>
      </c>
      <c r="D90">
        <v>29174913</v>
      </c>
      <c r="E90">
        <v>1</v>
      </c>
      <c r="F90">
        <v>1</v>
      </c>
      <c r="G90">
        <v>1</v>
      </c>
      <c r="H90">
        <v>2</v>
      </c>
      <c r="I90" t="s">
        <v>381</v>
      </c>
      <c r="J90" t="s">
        <v>382</v>
      </c>
      <c r="K90" t="s">
        <v>383</v>
      </c>
      <c r="L90">
        <v>1368</v>
      </c>
      <c r="N90">
        <v>1011</v>
      </c>
      <c r="O90" t="s">
        <v>367</v>
      </c>
      <c r="P90" t="s">
        <v>367</v>
      </c>
      <c r="Q90">
        <v>1</v>
      </c>
      <c r="W90">
        <v>0</v>
      </c>
      <c r="X90">
        <v>1230759911</v>
      </c>
      <c r="Y90">
        <v>0.625</v>
      </c>
      <c r="AA90">
        <v>0</v>
      </c>
      <c r="AB90">
        <v>932.72</v>
      </c>
      <c r="AC90">
        <v>389.76</v>
      </c>
      <c r="AD90">
        <v>0</v>
      </c>
      <c r="AE90">
        <v>0</v>
      </c>
      <c r="AF90">
        <v>87.17</v>
      </c>
      <c r="AG90">
        <v>11.6</v>
      </c>
      <c r="AH90">
        <v>0</v>
      </c>
      <c r="AI90">
        <v>1</v>
      </c>
      <c r="AJ90">
        <v>10.7</v>
      </c>
      <c r="AK90">
        <v>33.6</v>
      </c>
      <c r="AL90">
        <v>1</v>
      </c>
      <c r="AN90">
        <v>0</v>
      </c>
      <c r="AO90">
        <v>1</v>
      </c>
      <c r="AP90">
        <v>1</v>
      </c>
      <c r="AQ90">
        <v>0</v>
      </c>
      <c r="AR90">
        <v>0</v>
      </c>
      <c r="AS90" t="s">
        <v>3</v>
      </c>
      <c r="AT90">
        <v>0.5</v>
      </c>
      <c r="AU90" t="s">
        <v>139</v>
      </c>
      <c r="AV90">
        <v>0</v>
      </c>
      <c r="AW90">
        <v>2</v>
      </c>
      <c r="AX90">
        <v>37374078</v>
      </c>
      <c r="AY90">
        <v>1</v>
      </c>
      <c r="AZ90">
        <v>0</v>
      </c>
      <c r="BA90">
        <v>92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0</v>
      </c>
      <c r="BT90">
        <v>0</v>
      </c>
      <c r="BU90">
        <v>0</v>
      </c>
      <c r="BV90">
        <v>0</v>
      </c>
      <c r="BW90">
        <v>0</v>
      </c>
      <c r="CX90">
        <f>Y90*Source!I85</f>
        <v>0.5675</v>
      </c>
      <c r="CY90">
        <f>AB90</f>
        <v>932.72</v>
      </c>
      <c r="CZ90">
        <f>AF90</f>
        <v>87.17</v>
      </c>
      <c r="DA90">
        <f>AJ90</f>
        <v>10.7</v>
      </c>
      <c r="DB90">
        <f>ROUND((ROUND(AT90*CZ90,2)*1.25),6)</f>
        <v>54.487499999999997</v>
      </c>
      <c r="DC90">
        <f>ROUND((ROUND(AT90*AG90,2)*1.25),6)</f>
        <v>7.25</v>
      </c>
    </row>
    <row r="91" spans="1:107">
      <c r="A91">
        <f>ROW(Source!A85)</f>
        <v>85</v>
      </c>
      <c r="B91">
        <v>35841400</v>
      </c>
      <c r="C91">
        <v>36517084</v>
      </c>
      <c r="D91">
        <v>29110876</v>
      </c>
      <c r="E91">
        <v>1</v>
      </c>
      <c r="F91">
        <v>1</v>
      </c>
      <c r="G91">
        <v>1</v>
      </c>
      <c r="H91">
        <v>3</v>
      </c>
      <c r="I91" t="s">
        <v>179</v>
      </c>
      <c r="J91" t="s">
        <v>181</v>
      </c>
      <c r="K91" t="s">
        <v>180</v>
      </c>
      <c r="L91">
        <v>1327</v>
      </c>
      <c r="N91">
        <v>1005</v>
      </c>
      <c r="O91" t="s">
        <v>129</v>
      </c>
      <c r="P91" t="s">
        <v>129</v>
      </c>
      <c r="Q91">
        <v>1</v>
      </c>
      <c r="W91">
        <v>1</v>
      </c>
      <c r="X91">
        <v>1326798435</v>
      </c>
      <c r="Y91">
        <v>-102</v>
      </c>
      <c r="AA91">
        <v>184.42</v>
      </c>
      <c r="AB91">
        <v>0</v>
      </c>
      <c r="AC91">
        <v>0</v>
      </c>
      <c r="AD91">
        <v>0</v>
      </c>
      <c r="AE91">
        <v>67.8</v>
      </c>
      <c r="AF91">
        <v>0</v>
      </c>
      <c r="AG91">
        <v>0</v>
      </c>
      <c r="AH91">
        <v>0</v>
      </c>
      <c r="AI91">
        <v>2.72</v>
      </c>
      <c r="AJ91">
        <v>1</v>
      </c>
      <c r="AK91">
        <v>1</v>
      </c>
      <c r="AL91">
        <v>1</v>
      </c>
      <c r="AN91">
        <v>0</v>
      </c>
      <c r="AO91">
        <v>1</v>
      </c>
      <c r="AP91">
        <v>0</v>
      </c>
      <c r="AQ91">
        <v>0</v>
      </c>
      <c r="AR91">
        <v>0</v>
      </c>
      <c r="AS91" t="s">
        <v>3</v>
      </c>
      <c r="AT91">
        <v>-102</v>
      </c>
      <c r="AU91" t="s">
        <v>3</v>
      </c>
      <c r="AV91">
        <v>0</v>
      </c>
      <c r="AW91">
        <v>2</v>
      </c>
      <c r="AX91">
        <v>37374079</v>
      </c>
      <c r="AY91">
        <v>1</v>
      </c>
      <c r="AZ91">
        <v>6144</v>
      </c>
      <c r="BA91">
        <v>93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0</v>
      </c>
      <c r="BW91">
        <v>0</v>
      </c>
      <c r="CX91">
        <f>Y91*Source!I85</f>
        <v>-92.616</v>
      </c>
      <c r="CY91">
        <f>AA91</f>
        <v>184.42</v>
      </c>
      <c r="CZ91">
        <f>AE91</f>
        <v>67.8</v>
      </c>
      <c r="DA91">
        <f>AI91</f>
        <v>2.72</v>
      </c>
      <c r="DB91">
        <f>ROUND(ROUND(AT91*CZ91,2),6)</f>
        <v>-6915.6</v>
      </c>
      <c r="DC91">
        <f>ROUND(ROUND(AT91*AG91,2),6)</f>
        <v>0</v>
      </c>
    </row>
    <row r="92" spans="1:107">
      <c r="A92">
        <f>ROW(Source!A85)</f>
        <v>85</v>
      </c>
      <c r="B92">
        <v>35841400</v>
      </c>
      <c r="C92">
        <v>36517084</v>
      </c>
      <c r="D92">
        <v>29109386</v>
      </c>
      <c r="E92">
        <v>1</v>
      </c>
      <c r="F92">
        <v>1</v>
      </c>
      <c r="G92">
        <v>1</v>
      </c>
      <c r="H92">
        <v>3</v>
      </c>
      <c r="I92" t="s">
        <v>509</v>
      </c>
      <c r="J92" t="s">
        <v>510</v>
      </c>
      <c r="K92" t="s">
        <v>511</v>
      </c>
      <c r="L92">
        <v>1348</v>
      </c>
      <c r="N92">
        <v>1009</v>
      </c>
      <c r="O92" t="s">
        <v>41</v>
      </c>
      <c r="P92" t="s">
        <v>41</v>
      </c>
      <c r="Q92">
        <v>1000</v>
      </c>
      <c r="W92">
        <v>0</v>
      </c>
      <c r="X92">
        <v>-884973578</v>
      </c>
      <c r="Y92">
        <v>0.05</v>
      </c>
      <c r="AA92">
        <v>55935.05</v>
      </c>
      <c r="AB92">
        <v>0</v>
      </c>
      <c r="AC92">
        <v>0</v>
      </c>
      <c r="AD92">
        <v>0</v>
      </c>
      <c r="AE92">
        <v>11300.01</v>
      </c>
      <c r="AF92">
        <v>0</v>
      </c>
      <c r="AG92">
        <v>0</v>
      </c>
      <c r="AH92">
        <v>0</v>
      </c>
      <c r="AI92">
        <v>4.95</v>
      </c>
      <c r="AJ92">
        <v>1</v>
      </c>
      <c r="AK92">
        <v>1</v>
      </c>
      <c r="AL92">
        <v>1</v>
      </c>
      <c r="AN92">
        <v>0</v>
      </c>
      <c r="AO92">
        <v>1</v>
      </c>
      <c r="AP92">
        <v>0</v>
      </c>
      <c r="AQ92">
        <v>0</v>
      </c>
      <c r="AR92">
        <v>0</v>
      </c>
      <c r="AS92" t="s">
        <v>3</v>
      </c>
      <c r="AT92">
        <v>0.05</v>
      </c>
      <c r="AU92" t="s">
        <v>3</v>
      </c>
      <c r="AV92">
        <v>0</v>
      </c>
      <c r="AW92">
        <v>2</v>
      </c>
      <c r="AX92">
        <v>37374080</v>
      </c>
      <c r="AY92">
        <v>1</v>
      </c>
      <c r="AZ92">
        <v>0</v>
      </c>
      <c r="BA92">
        <v>94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0</v>
      </c>
      <c r="BT92">
        <v>0</v>
      </c>
      <c r="BU92">
        <v>0</v>
      </c>
      <c r="BV92">
        <v>0</v>
      </c>
      <c r="BW92">
        <v>0</v>
      </c>
      <c r="CX92">
        <f>Y92*Source!I85</f>
        <v>4.5400000000000003E-2</v>
      </c>
      <c r="CY92">
        <f>AA92</f>
        <v>55935.05</v>
      </c>
      <c r="CZ92">
        <f>AE92</f>
        <v>11300.01</v>
      </c>
      <c r="DA92">
        <f>AI92</f>
        <v>4.95</v>
      </c>
      <c r="DB92">
        <f>ROUND(ROUND(AT92*CZ92,2),6)</f>
        <v>565</v>
      </c>
      <c r="DC92">
        <f>ROUND(ROUND(AT92*AG92,2),6)</f>
        <v>0</v>
      </c>
    </row>
    <row r="93" spans="1:107">
      <c r="A93">
        <f>ROW(Source!A85)</f>
        <v>85</v>
      </c>
      <c r="B93">
        <v>35841400</v>
      </c>
      <c r="C93">
        <v>36517084</v>
      </c>
      <c r="D93">
        <v>29107800</v>
      </c>
      <c r="E93">
        <v>1</v>
      </c>
      <c r="F93">
        <v>1</v>
      </c>
      <c r="G93">
        <v>1</v>
      </c>
      <c r="H93">
        <v>3</v>
      </c>
      <c r="I93" t="s">
        <v>384</v>
      </c>
      <c r="J93" t="s">
        <v>385</v>
      </c>
      <c r="K93" t="s">
        <v>386</v>
      </c>
      <c r="L93">
        <v>1346</v>
      </c>
      <c r="N93">
        <v>1009</v>
      </c>
      <c r="O93" t="s">
        <v>151</v>
      </c>
      <c r="P93" t="s">
        <v>151</v>
      </c>
      <c r="Q93">
        <v>1</v>
      </c>
      <c r="W93">
        <v>0</v>
      </c>
      <c r="X93">
        <v>644139035</v>
      </c>
      <c r="Y93">
        <v>0.5</v>
      </c>
      <c r="AA93">
        <v>46.61</v>
      </c>
      <c r="AB93">
        <v>0</v>
      </c>
      <c r="AC93">
        <v>0</v>
      </c>
      <c r="AD93">
        <v>0</v>
      </c>
      <c r="AE93">
        <v>1.81</v>
      </c>
      <c r="AF93">
        <v>0</v>
      </c>
      <c r="AG93">
        <v>0</v>
      </c>
      <c r="AH93">
        <v>0</v>
      </c>
      <c r="AI93">
        <v>25.75</v>
      </c>
      <c r="AJ93">
        <v>1</v>
      </c>
      <c r="AK93">
        <v>1</v>
      </c>
      <c r="AL93">
        <v>1</v>
      </c>
      <c r="AN93">
        <v>0</v>
      </c>
      <c r="AO93">
        <v>1</v>
      </c>
      <c r="AP93">
        <v>0</v>
      </c>
      <c r="AQ93">
        <v>0</v>
      </c>
      <c r="AR93">
        <v>0</v>
      </c>
      <c r="AS93" t="s">
        <v>3</v>
      </c>
      <c r="AT93">
        <v>0.5</v>
      </c>
      <c r="AU93" t="s">
        <v>3</v>
      </c>
      <c r="AV93">
        <v>0</v>
      </c>
      <c r="AW93">
        <v>2</v>
      </c>
      <c r="AX93">
        <v>37374081</v>
      </c>
      <c r="AY93">
        <v>1</v>
      </c>
      <c r="AZ93">
        <v>0</v>
      </c>
      <c r="BA93">
        <v>95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0</v>
      </c>
      <c r="BT93">
        <v>0</v>
      </c>
      <c r="BU93">
        <v>0</v>
      </c>
      <c r="BV93">
        <v>0</v>
      </c>
      <c r="BW93">
        <v>0</v>
      </c>
      <c r="CX93">
        <f>Y93*Source!I85</f>
        <v>0.45400000000000001</v>
      </c>
      <c r="CY93">
        <f>AA93</f>
        <v>46.61</v>
      </c>
      <c r="CZ93">
        <f>AE93</f>
        <v>1.81</v>
      </c>
      <c r="DA93">
        <f>AI93</f>
        <v>25.75</v>
      </c>
      <c r="DB93">
        <f>ROUND(ROUND(AT93*CZ93,2),6)</f>
        <v>0.91</v>
      </c>
      <c r="DC93">
        <f>ROUND(ROUND(AT93*AG93,2),6)</f>
        <v>0</v>
      </c>
    </row>
    <row r="94" spans="1:107">
      <c r="A94">
        <f>ROW(Source!A85)</f>
        <v>85</v>
      </c>
      <c r="B94">
        <v>35841400</v>
      </c>
      <c r="C94">
        <v>36517084</v>
      </c>
      <c r="D94">
        <v>0</v>
      </c>
      <c r="E94">
        <v>0</v>
      </c>
      <c r="F94">
        <v>1</v>
      </c>
      <c r="G94">
        <v>1</v>
      </c>
      <c r="H94">
        <v>3</v>
      </c>
      <c r="I94" t="s">
        <v>183</v>
      </c>
      <c r="J94" t="s">
        <v>3</v>
      </c>
      <c r="K94" t="s">
        <v>184</v>
      </c>
      <c r="L94">
        <v>20307006</v>
      </c>
      <c r="N94">
        <v>1005</v>
      </c>
      <c r="O94" t="s">
        <v>129</v>
      </c>
      <c r="P94" t="s">
        <v>185</v>
      </c>
      <c r="Q94">
        <v>1</v>
      </c>
      <c r="W94">
        <v>0</v>
      </c>
      <c r="X94">
        <v>-89030892</v>
      </c>
      <c r="Y94">
        <v>102</v>
      </c>
      <c r="AA94">
        <v>1625</v>
      </c>
      <c r="AB94">
        <v>0</v>
      </c>
      <c r="AC94">
        <v>0</v>
      </c>
      <c r="AD94">
        <v>0</v>
      </c>
      <c r="AE94">
        <v>1625</v>
      </c>
      <c r="AF94">
        <v>0</v>
      </c>
      <c r="AG94">
        <v>0</v>
      </c>
      <c r="AH94">
        <v>0</v>
      </c>
      <c r="AI94">
        <v>1</v>
      </c>
      <c r="AJ94">
        <v>1</v>
      </c>
      <c r="AK94">
        <v>1</v>
      </c>
      <c r="AL94">
        <v>1</v>
      </c>
      <c r="AN94">
        <v>0</v>
      </c>
      <c r="AO94">
        <v>0</v>
      </c>
      <c r="AP94">
        <v>2</v>
      </c>
      <c r="AQ94">
        <v>0</v>
      </c>
      <c r="AR94">
        <v>0</v>
      </c>
      <c r="AS94" t="s">
        <v>3</v>
      </c>
      <c r="AT94">
        <v>102</v>
      </c>
      <c r="AU94" t="s">
        <v>3</v>
      </c>
      <c r="AV94">
        <v>0</v>
      </c>
      <c r="AW94">
        <v>1</v>
      </c>
      <c r="AX94">
        <v>-1</v>
      </c>
      <c r="AY94">
        <v>0</v>
      </c>
      <c r="AZ94">
        <v>0</v>
      </c>
      <c r="BA94" t="s">
        <v>3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0</v>
      </c>
      <c r="BW94">
        <v>0</v>
      </c>
      <c r="CX94">
        <f>Y94*Source!I85</f>
        <v>92.616</v>
      </c>
      <c r="CY94">
        <f>AA94</f>
        <v>1625</v>
      </c>
      <c r="CZ94">
        <f>AE94</f>
        <v>1625</v>
      </c>
      <c r="DA94">
        <f>AI94</f>
        <v>1</v>
      </c>
      <c r="DB94">
        <f>ROUND(ROUND(AT94*CZ94,2),6)</f>
        <v>165750</v>
      </c>
      <c r="DC94">
        <f>ROUND(ROUND(AT94*AG94,2),6)</f>
        <v>0</v>
      </c>
    </row>
    <row r="95" spans="1:107">
      <c r="A95">
        <f>ROW(Source!A155)</f>
        <v>155</v>
      </c>
      <c r="B95">
        <v>35841400</v>
      </c>
      <c r="C95">
        <v>36517114</v>
      </c>
      <c r="D95">
        <v>18406804</v>
      </c>
      <c r="E95">
        <v>1</v>
      </c>
      <c r="F95">
        <v>1</v>
      </c>
      <c r="G95">
        <v>1</v>
      </c>
      <c r="H95">
        <v>1</v>
      </c>
      <c r="I95" t="s">
        <v>368</v>
      </c>
      <c r="J95" t="s">
        <v>3</v>
      </c>
      <c r="K95" t="s">
        <v>369</v>
      </c>
      <c r="L95">
        <v>1369</v>
      </c>
      <c r="N95">
        <v>1013</v>
      </c>
      <c r="O95" t="s">
        <v>361</v>
      </c>
      <c r="P95" t="s">
        <v>361</v>
      </c>
      <c r="Q95">
        <v>1</v>
      </c>
      <c r="W95">
        <v>0</v>
      </c>
      <c r="X95">
        <v>254330056</v>
      </c>
      <c r="Y95">
        <v>20.8</v>
      </c>
      <c r="AA95">
        <v>0</v>
      </c>
      <c r="AB95">
        <v>0</v>
      </c>
      <c r="AC95">
        <v>0</v>
      </c>
      <c r="AD95">
        <v>258.83999999999997</v>
      </c>
      <c r="AE95">
        <v>0</v>
      </c>
      <c r="AF95">
        <v>0</v>
      </c>
      <c r="AG95">
        <v>0</v>
      </c>
      <c r="AH95">
        <v>258.83999999999997</v>
      </c>
      <c r="AI95">
        <v>1</v>
      </c>
      <c r="AJ95">
        <v>1</v>
      </c>
      <c r="AK95">
        <v>1</v>
      </c>
      <c r="AL95">
        <v>1</v>
      </c>
      <c r="AN95">
        <v>0</v>
      </c>
      <c r="AO95">
        <v>1</v>
      </c>
      <c r="AP95">
        <v>0</v>
      </c>
      <c r="AQ95">
        <v>0</v>
      </c>
      <c r="AR95">
        <v>0</v>
      </c>
      <c r="AS95" t="s">
        <v>3</v>
      </c>
      <c r="AT95">
        <v>20.8</v>
      </c>
      <c r="AU95" t="s">
        <v>3</v>
      </c>
      <c r="AV95">
        <v>1</v>
      </c>
      <c r="AW95">
        <v>2</v>
      </c>
      <c r="AX95">
        <v>36517115</v>
      </c>
      <c r="AY95">
        <v>1</v>
      </c>
      <c r="AZ95">
        <v>0</v>
      </c>
      <c r="BA95">
        <v>96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CX95">
        <f>Y95*Source!I155</f>
        <v>18.886400000000002</v>
      </c>
      <c r="CY95">
        <f>AD95</f>
        <v>258.83999999999997</v>
      </c>
      <c r="CZ95">
        <f>AH95</f>
        <v>258.83999999999997</v>
      </c>
      <c r="DA95">
        <f>AL95</f>
        <v>1</v>
      </c>
      <c r="DB95">
        <f>ROUND(ROUND(AT95*CZ95,2),6)</f>
        <v>5383.87</v>
      </c>
      <c r="DC95">
        <f>ROUND(ROUND(AT95*AG95,2),6)</f>
        <v>0</v>
      </c>
    </row>
    <row r="96" spans="1:107">
      <c r="A96">
        <f>ROW(Source!A156)</f>
        <v>156</v>
      </c>
      <c r="B96">
        <v>35841400</v>
      </c>
      <c r="C96">
        <v>36513439</v>
      </c>
      <c r="D96">
        <v>18410631</v>
      </c>
      <c r="E96">
        <v>1</v>
      </c>
      <c r="F96">
        <v>1</v>
      </c>
      <c r="G96">
        <v>1</v>
      </c>
      <c r="H96">
        <v>1</v>
      </c>
      <c r="I96" t="s">
        <v>373</v>
      </c>
      <c r="J96" t="s">
        <v>3</v>
      </c>
      <c r="K96" t="s">
        <v>374</v>
      </c>
      <c r="L96">
        <v>1369</v>
      </c>
      <c r="N96">
        <v>1013</v>
      </c>
      <c r="O96" t="s">
        <v>361</v>
      </c>
      <c r="P96" t="s">
        <v>361</v>
      </c>
      <c r="Q96">
        <v>1</v>
      </c>
      <c r="W96">
        <v>0</v>
      </c>
      <c r="X96">
        <v>-1896518065</v>
      </c>
      <c r="Y96">
        <v>6.8309999999999995</v>
      </c>
      <c r="AA96">
        <v>0</v>
      </c>
      <c r="AB96">
        <v>0</v>
      </c>
      <c r="AC96">
        <v>0</v>
      </c>
      <c r="AD96">
        <v>280.75</v>
      </c>
      <c r="AE96">
        <v>0</v>
      </c>
      <c r="AF96">
        <v>0</v>
      </c>
      <c r="AG96">
        <v>0</v>
      </c>
      <c r="AH96">
        <v>280.75</v>
      </c>
      <c r="AI96">
        <v>1</v>
      </c>
      <c r="AJ96">
        <v>1</v>
      </c>
      <c r="AK96">
        <v>1</v>
      </c>
      <c r="AL96">
        <v>1</v>
      </c>
      <c r="AN96">
        <v>0</v>
      </c>
      <c r="AO96">
        <v>1</v>
      </c>
      <c r="AP96">
        <v>1</v>
      </c>
      <c r="AQ96">
        <v>0</v>
      </c>
      <c r="AR96">
        <v>0</v>
      </c>
      <c r="AS96" t="s">
        <v>3</v>
      </c>
      <c r="AT96">
        <v>5.94</v>
      </c>
      <c r="AU96" t="s">
        <v>114</v>
      </c>
      <c r="AV96">
        <v>1</v>
      </c>
      <c r="AW96">
        <v>2</v>
      </c>
      <c r="AX96">
        <v>36513440</v>
      </c>
      <c r="AY96">
        <v>2</v>
      </c>
      <c r="AZ96">
        <v>131072</v>
      </c>
      <c r="BA96">
        <v>97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0</v>
      </c>
      <c r="BV96">
        <v>0</v>
      </c>
      <c r="BW96">
        <v>0</v>
      </c>
      <c r="CX96">
        <f>Y96*Source!I156</f>
        <v>6.2025480000000002</v>
      </c>
      <c r="CY96">
        <f>AD96</f>
        <v>280.75</v>
      </c>
      <c r="CZ96">
        <f>AH96</f>
        <v>280.75</v>
      </c>
      <c r="DA96">
        <f>AL96</f>
        <v>1</v>
      </c>
      <c r="DB96">
        <f>ROUND((ROUND(AT96*CZ96,2)*1.15),6)</f>
        <v>1917.809</v>
      </c>
      <c r="DC96">
        <f>ROUND((ROUND(AT96*AG96,2)*1.15),6)</f>
        <v>0</v>
      </c>
    </row>
    <row r="97" spans="1:107">
      <c r="A97">
        <f>ROW(Source!A156)</f>
        <v>156</v>
      </c>
      <c r="B97">
        <v>35841400</v>
      </c>
      <c r="C97">
        <v>36513439</v>
      </c>
      <c r="D97">
        <v>121548</v>
      </c>
      <c r="E97">
        <v>1</v>
      </c>
      <c r="F97">
        <v>1</v>
      </c>
      <c r="G97">
        <v>1</v>
      </c>
      <c r="H97">
        <v>1</v>
      </c>
      <c r="I97" t="s">
        <v>213</v>
      </c>
      <c r="J97" t="s">
        <v>3</v>
      </c>
      <c r="K97" t="s">
        <v>362</v>
      </c>
      <c r="L97">
        <v>608254</v>
      </c>
      <c r="N97">
        <v>1013</v>
      </c>
      <c r="O97" t="s">
        <v>363</v>
      </c>
      <c r="P97" t="s">
        <v>363</v>
      </c>
      <c r="Q97">
        <v>1</v>
      </c>
      <c r="W97">
        <v>0</v>
      </c>
      <c r="X97">
        <v>-185737400</v>
      </c>
      <c r="Y97">
        <v>0.04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1</v>
      </c>
      <c r="AJ97">
        <v>1</v>
      </c>
      <c r="AK97">
        <v>1</v>
      </c>
      <c r="AL97">
        <v>1</v>
      </c>
      <c r="AN97">
        <v>0</v>
      </c>
      <c r="AO97">
        <v>1</v>
      </c>
      <c r="AP97">
        <v>1</v>
      </c>
      <c r="AQ97">
        <v>0</v>
      </c>
      <c r="AR97">
        <v>0</v>
      </c>
      <c r="AS97" t="s">
        <v>3</v>
      </c>
      <c r="AT97">
        <v>0.04</v>
      </c>
      <c r="AU97" t="s">
        <v>3</v>
      </c>
      <c r="AV97">
        <v>2</v>
      </c>
      <c r="AW97">
        <v>2</v>
      </c>
      <c r="AX97">
        <v>36513441</v>
      </c>
      <c r="AY97">
        <v>1</v>
      </c>
      <c r="AZ97">
        <v>0</v>
      </c>
      <c r="BA97">
        <v>98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  <c r="BQ97">
        <v>0</v>
      </c>
      <c r="BR97">
        <v>0</v>
      </c>
      <c r="BS97">
        <v>0</v>
      </c>
      <c r="BT97">
        <v>0</v>
      </c>
      <c r="BU97">
        <v>0</v>
      </c>
      <c r="BV97">
        <v>0</v>
      </c>
      <c r="BW97">
        <v>0</v>
      </c>
      <c r="CX97">
        <f>Y97*Source!I156</f>
        <v>3.6320000000000005E-2</v>
      </c>
      <c r="CY97">
        <f>AD97</f>
        <v>0</v>
      </c>
      <c r="CZ97">
        <f>AH97</f>
        <v>0</v>
      </c>
      <c r="DA97">
        <f>AL97</f>
        <v>1</v>
      </c>
      <c r="DB97">
        <f t="shared" ref="DB97:DB103" si="15">ROUND(ROUND(AT97*CZ97,2),6)</f>
        <v>0</v>
      </c>
      <c r="DC97">
        <f t="shared" ref="DC97:DC103" si="16">ROUND(ROUND(AT97*AG97,2),6)</f>
        <v>0</v>
      </c>
    </row>
    <row r="98" spans="1:107">
      <c r="A98">
        <f>ROW(Source!A156)</f>
        <v>156</v>
      </c>
      <c r="B98">
        <v>35841400</v>
      </c>
      <c r="C98">
        <v>36513439</v>
      </c>
      <c r="D98">
        <v>29172554</v>
      </c>
      <c r="E98">
        <v>1</v>
      </c>
      <c r="F98">
        <v>1</v>
      </c>
      <c r="G98">
        <v>1</v>
      </c>
      <c r="H98">
        <v>2</v>
      </c>
      <c r="I98" t="s">
        <v>375</v>
      </c>
      <c r="J98" t="s">
        <v>376</v>
      </c>
      <c r="K98" t="s">
        <v>377</v>
      </c>
      <c r="L98">
        <v>1368</v>
      </c>
      <c r="N98">
        <v>1011</v>
      </c>
      <c r="O98" t="s">
        <v>367</v>
      </c>
      <c r="P98" t="s">
        <v>367</v>
      </c>
      <c r="Q98">
        <v>1</v>
      </c>
      <c r="W98">
        <v>0</v>
      </c>
      <c r="X98">
        <v>-1902254956</v>
      </c>
      <c r="Y98">
        <v>0.04</v>
      </c>
      <c r="AA98">
        <v>0</v>
      </c>
      <c r="AB98">
        <v>429.56</v>
      </c>
      <c r="AC98">
        <v>389.76</v>
      </c>
      <c r="AD98">
        <v>0</v>
      </c>
      <c r="AE98">
        <v>0</v>
      </c>
      <c r="AF98">
        <v>27.66</v>
      </c>
      <c r="AG98">
        <v>11.6</v>
      </c>
      <c r="AH98">
        <v>0</v>
      </c>
      <c r="AI98">
        <v>1</v>
      </c>
      <c r="AJ98">
        <v>15.53</v>
      </c>
      <c r="AK98">
        <v>33.6</v>
      </c>
      <c r="AL98">
        <v>1</v>
      </c>
      <c r="AN98">
        <v>0</v>
      </c>
      <c r="AO98">
        <v>1</v>
      </c>
      <c r="AP98">
        <v>1</v>
      </c>
      <c r="AQ98">
        <v>0</v>
      </c>
      <c r="AR98">
        <v>0</v>
      </c>
      <c r="AS98" t="s">
        <v>3</v>
      </c>
      <c r="AT98">
        <v>0.04</v>
      </c>
      <c r="AU98" t="s">
        <v>3</v>
      </c>
      <c r="AV98">
        <v>0</v>
      </c>
      <c r="AW98">
        <v>2</v>
      </c>
      <c r="AX98">
        <v>36513442</v>
      </c>
      <c r="AY98">
        <v>1</v>
      </c>
      <c r="AZ98">
        <v>0</v>
      </c>
      <c r="BA98">
        <v>99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</v>
      </c>
      <c r="BP98">
        <v>0</v>
      </c>
      <c r="BQ98">
        <v>0</v>
      </c>
      <c r="BR98">
        <v>0</v>
      </c>
      <c r="BS98">
        <v>0</v>
      </c>
      <c r="BT98">
        <v>0</v>
      </c>
      <c r="BU98">
        <v>0</v>
      </c>
      <c r="BV98">
        <v>0</v>
      </c>
      <c r="BW98">
        <v>0</v>
      </c>
      <c r="CX98">
        <f>Y98*Source!I156</f>
        <v>3.6320000000000005E-2</v>
      </c>
      <c r="CY98">
        <f>AB98</f>
        <v>429.56</v>
      </c>
      <c r="CZ98">
        <f>AF98</f>
        <v>27.66</v>
      </c>
      <c r="DA98">
        <f>AJ98</f>
        <v>15.53</v>
      </c>
      <c r="DB98">
        <f t="shared" si="15"/>
        <v>1.1100000000000001</v>
      </c>
      <c r="DC98">
        <f t="shared" si="16"/>
        <v>0.46</v>
      </c>
    </row>
    <row r="99" spans="1:107">
      <c r="A99">
        <f>ROW(Source!A156)</f>
        <v>156</v>
      </c>
      <c r="B99">
        <v>35841400</v>
      </c>
      <c r="C99">
        <v>36513439</v>
      </c>
      <c r="D99">
        <v>29174653</v>
      </c>
      <c r="E99">
        <v>1</v>
      </c>
      <c r="F99">
        <v>1</v>
      </c>
      <c r="G99">
        <v>1</v>
      </c>
      <c r="H99">
        <v>2</v>
      </c>
      <c r="I99" t="s">
        <v>378</v>
      </c>
      <c r="J99" t="s">
        <v>379</v>
      </c>
      <c r="K99" t="s">
        <v>380</v>
      </c>
      <c r="L99">
        <v>1368</v>
      </c>
      <c r="N99">
        <v>1011</v>
      </c>
      <c r="O99" t="s">
        <v>367</v>
      </c>
      <c r="P99" t="s">
        <v>367</v>
      </c>
      <c r="Q99">
        <v>1</v>
      </c>
      <c r="W99">
        <v>0</v>
      </c>
      <c r="X99">
        <v>2094841884</v>
      </c>
      <c r="Y99">
        <v>5.12</v>
      </c>
      <c r="AA99">
        <v>0</v>
      </c>
      <c r="AB99">
        <v>31.51</v>
      </c>
      <c r="AC99">
        <v>0</v>
      </c>
      <c r="AD99">
        <v>0</v>
      </c>
      <c r="AE99">
        <v>0</v>
      </c>
      <c r="AF99">
        <v>6.82</v>
      </c>
      <c r="AG99">
        <v>0</v>
      </c>
      <c r="AH99">
        <v>0</v>
      </c>
      <c r="AI99">
        <v>1</v>
      </c>
      <c r="AJ99">
        <v>4.62</v>
      </c>
      <c r="AK99">
        <v>33.6</v>
      </c>
      <c r="AL99">
        <v>1</v>
      </c>
      <c r="AN99">
        <v>0</v>
      </c>
      <c r="AO99">
        <v>1</v>
      </c>
      <c r="AP99">
        <v>1</v>
      </c>
      <c r="AQ99">
        <v>0</v>
      </c>
      <c r="AR99">
        <v>0</v>
      </c>
      <c r="AS99" t="s">
        <v>3</v>
      </c>
      <c r="AT99">
        <v>5.12</v>
      </c>
      <c r="AU99" t="s">
        <v>3</v>
      </c>
      <c r="AV99">
        <v>0</v>
      </c>
      <c r="AW99">
        <v>2</v>
      </c>
      <c r="AX99">
        <v>36513443</v>
      </c>
      <c r="AY99">
        <v>1</v>
      </c>
      <c r="AZ99">
        <v>0</v>
      </c>
      <c r="BA99">
        <v>100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0</v>
      </c>
      <c r="BR99">
        <v>0</v>
      </c>
      <c r="BS99">
        <v>0</v>
      </c>
      <c r="BT99">
        <v>0</v>
      </c>
      <c r="BU99">
        <v>0</v>
      </c>
      <c r="BV99">
        <v>0</v>
      </c>
      <c r="BW99">
        <v>0</v>
      </c>
      <c r="CX99">
        <f>Y99*Source!I156</f>
        <v>4.6489600000000006</v>
      </c>
      <c r="CY99">
        <f>AB99</f>
        <v>31.51</v>
      </c>
      <c r="CZ99">
        <f>AF99</f>
        <v>6.82</v>
      </c>
      <c r="DA99">
        <f>AJ99</f>
        <v>4.62</v>
      </c>
      <c r="DB99">
        <f t="shared" si="15"/>
        <v>34.92</v>
      </c>
      <c r="DC99">
        <f t="shared" si="16"/>
        <v>0</v>
      </c>
    </row>
    <row r="100" spans="1:107">
      <c r="A100">
        <f>ROW(Source!A156)</f>
        <v>156</v>
      </c>
      <c r="B100">
        <v>35841400</v>
      </c>
      <c r="C100">
        <v>36513439</v>
      </c>
      <c r="D100">
        <v>29174913</v>
      </c>
      <c r="E100">
        <v>1</v>
      </c>
      <c r="F100">
        <v>1</v>
      </c>
      <c r="G100">
        <v>1</v>
      </c>
      <c r="H100">
        <v>2</v>
      </c>
      <c r="I100" t="s">
        <v>381</v>
      </c>
      <c r="J100" t="s">
        <v>382</v>
      </c>
      <c r="K100" t="s">
        <v>383</v>
      </c>
      <c r="L100">
        <v>1368</v>
      </c>
      <c r="N100">
        <v>1011</v>
      </c>
      <c r="O100" t="s">
        <v>367</v>
      </c>
      <c r="P100" t="s">
        <v>367</v>
      </c>
      <c r="Q100">
        <v>1</v>
      </c>
      <c r="W100">
        <v>0</v>
      </c>
      <c r="X100">
        <v>1230759911</v>
      </c>
      <c r="Y100">
        <v>0.1</v>
      </c>
      <c r="AA100">
        <v>0</v>
      </c>
      <c r="AB100">
        <v>932.72</v>
      </c>
      <c r="AC100">
        <v>389.76</v>
      </c>
      <c r="AD100">
        <v>0</v>
      </c>
      <c r="AE100">
        <v>0</v>
      </c>
      <c r="AF100">
        <v>87.17</v>
      </c>
      <c r="AG100">
        <v>11.6</v>
      </c>
      <c r="AH100">
        <v>0</v>
      </c>
      <c r="AI100">
        <v>1</v>
      </c>
      <c r="AJ100">
        <v>10.7</v>
      </c>
      <c r="AK100">
        <v>33.6</v>
      </c>
      <c r="AL100">
        <v>1</v>
      </c>
      <c r="AN100">
        <v>0</v>
      </c>
      <c r="AO100">
        <v>1</v>
      </c>
      <c r="AP100">
        <v>1</v>
      </c>
      <c r="AQ100">
        <v>0</v>
      </c>
      <c r="AR100">
        <v>0</v>
      </c>
      <c r="AS100" t="s">
        <v>3</v>
      </c>
      <c r="AT100">
        <v>0.1</v>
      </c>
      <c r="AU100" t="s">
        <v>3</v>
      </c>
      <c r="AV100">
        <v>0</v>
      </c>
      <c r="AW100">
        <v>2</v>
      </c>
      <c r="AX100">
        <v>36513444</v>
      </c>
      <c r="AY100">
        <v>1</v>
      </c>
      <c r="AZ100">
        <v>0</v>
      </c>
      <c r="BA100">
        <v>101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0</v>
      </c>
      <c r="BT100">
        <v>0</v>
      </c>
      <c r="BU100">
        <v>0</v>
      </c>
      <c r="BV100">
        <v>0</v>
      </c>
      <c r="BW100">
        <v>0</v>
      </c>
      <c r="CX100">
        <f>Y100*Source!I156</f>
        <v>9.0800000000000006E-2</v>
      </c>
      <c r="CY100">
        <f>AB100</f>
        <v>932.72</v>
      </c>
      <c r="CZ100">
        <f>AF100</f>
        <v>87.17</v>
      </c>
      <c r="DA100">
        <f>AJ100</f>
        <v>10.7</v>
      </c>
      <c r="DB100">
        <f t="shared" si="15"/>
        <v>8.7200000000000006</v>
      </c>
      <c r="DC100">
        <f t="shared" si="16"/>
        <v>1.1599999999999999</v>
      </c>
    </row>
    <row r="101" spans="1:107">
      <c r="A101">
        <f>ROW(Source!A156)</f>
        <v>156</v>
      </c>
      <c r="B101">
        <v>35841400</v>
      </c>
      <c r="C101">
        <v>36513439</v>
      </c>
      <c r="D101">
        <v>29107800</v>
      </c>
      <c r="E101">
        <v>1</v>
      </c>
      <c r="F101">
        <v>1</v>
      </c>
      <c r="G101">
        <v>1</v>
      </c>
      <c r="H101">
        <v>3</v>
      </c>
      <c r="I101" t="s">
        <v>384</v>
      </c>
      <c r="J101" t="s">
        <v>385</v>
      </c>
      <c r="K101" t="s">
        <v>386</v>
      </c>
      <c r="L101">
        <v>1346</v>
      </c>
      <c r="N101">
        <v>1009</v>
      </c>
      <c r="O101" t="s">
        <v>151</v>
      </c>
      <c r="P101" t="s">
        <v>151</v>
      </c>
      <c r="Q101">
        <v>1</v>
      </c>
      <c r="W101">
        <v>0</v>
      </c>
      <c r="X101">
        <v>644139035</v>
      </c>
      <c r="Y101">
        <v>1</v>
      </c>
      <c r="AA101">
        <v>46.61</v>
      </c>
      <c r="AB101">
        <v>0</v>
      </c>
      <c r="AC101">
        <v>0</v>
      </c>
      <c r="AD101">
        <v>0</v>
      </c>
      <c r="AE101">
        <v>1.81</v>
      </c>
      <c r="AF101">
        <v>0</v>
      </c>
      <c r="AG101">
        <v>0</v>
      </c>
      <c r="AH101">
        <v>0</v>
      </c>
      <c r="AI101">
        <v>25.75</v>
      </c>
      <c r="AJ101">
        <v>1</v>
      </c>
      <c r="AK101">
        <v>1</v>
      </c>
      <c r="AL101">
        <v>1</v>
      </c>
      <c r="AN101">
        <v>0</v>
      </c>
      <c r="AO101">
        <v>1</v>
      </c>
      <c r="AP101">
        <v>0</v>
      </c>
      <c r="AQ101">
        <v>0</v>
      </c>
      <c r="AR101">
        <v>0</v>
      </c>
      <c r="AS101" t="s">
        <v>3</v>
      </c>
      <c r="AT101">
        <v>1</v>
      </c>
      <c r="AU101" t="s">
        <v>3</v>
      </c>
      <c r="AV101">
        <v>0</v>
      </c>
      <c r="AW101">
        <v>2</v>
      </c>
      <c r="AX101">
        <v>36513445</v>
      </c>
      <c r="AY101">
        <v>1</v>
      </c>
      <c r="AZ101">
        <v>0</v>
      </c>
      <c r="BA101">
        <v>102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0</v>
      </c>
      <c r="BI101">
        <v>0</v>
      </c>
      <c r="BJ101">
        <v>0</v>
      </c>
      <c r="BK101">
        <v>0</v>
      </c>
      <c r="BL101">
        <v>0</v>
      </c>
      <c r="BM101">
        <v>0</v>
      </c>
      <c r="BN101">
        <v>0</v>
      </c>
      <c r="BO101">
        <v>0</v>
      </c>
      <c r="BP101">
        <v>0</v>
      </c>
      <c r="BQ101">
        <v>0</v>
      </c>
      <c r="BR101">
        <v>0</v>
      </c>
      <c r="BS101">
        <v>0</v>
      </c>
      <c r="BT101">
        <v>0</v>
      </c>
      <c r="BU101">
        <v>0</v>
      </c>
      <c r="BV101">
        <v>0</v>
      </c>
      <c r="BW101">
        <v>0</v>
      </c>
      <c r="CX101">
        <f>Y101*Source!I156</f>
        <v>0.90800000000000003</v>
      </c>
      <c r="CY101">
        <f>AA101</f>
        <v>46.61</v>
      </c>
      <c r="CZ101">
        <f>AE101</f>
        <v>1.81</v>
      </c>
      <c r="DA101">
        <f>AI101</f>
        <v>25.75</v>
      </c>
      <c r="DB101">
        <f t="shared" si="15"/>
        <v>1.81</v>
      </c>
      <c r="DC101">
        <f t="shared" si="16"/>
        <v>0</v>
      </c>
    </row>
    <row r="102" spans="1:107">
      <c r="A102">
        <f>ROW(Source!A156)</f>
        <v>156</v>
      </c>
      <c r="B102">
        <v>35841400</v>
      </c>
      <c r="C102">
        <v>36513439</v>
      </c>
      <c r="D102">
        <v>29122063</v>
      </c>
      <c r="E102">
        <v>1</v>
      </c>
      <c r="F102">
        <v>1</v>
      </c>
      <c r="G102">
        <v>1</v>
      </c>
      <c r="H102">
        <v>3</v>
      </c>
      <c r="I102" t="s">
        <v>387</v>
      </c>
      <c r="J102" t="s">
        <v>388</v>
      </c>
      <c r="K102" t="s">
        <v>389</v>
      </c>
      <c r="L102">
        <v>1346</v>
      </c>
      <c r="N102">
        <v>1009</v>
      </c>
      <c r="O102" t="s">
        <v>151</v>
      </c>
      <c r="P102" t="s">
        <v>151</v>
      </c>
      <c r="Q102">
        <v>1</v>
      </c>
      <c r="W102">
        <v>0</v>
      </c>
      <c r="X102">
        <v>1129793306</v>
      </c>
      <c r="Y102">
        <v>9.1999999999999993</v>
      </c>
      <c r="AA102">
        <v>171.04</v>
      </c>
      <c r="AB102">
        <v>0</v>
      </c>
      <c r="AC102">
        <v>0</v>
      </c>
      <c r="AD102">
        <v>0</v>
      </c>
      <c r="AE102">
        <v>16.59</v>
      </c>
      <c r="AF102">
        <v>0</v>
      </c>
      <c r="AG102">
        <v>0</v>
      </c>
      <c r="AH102">
        <v>0</v>
      </c>
      <c r="AI102">
        <v>10.31</v>
      </c>
      <c r="AJ102">
        <v>1</v>
      </c>
      <c r="AK102">
        <v>1</v>
      </c>
      <c r="AL102">
        <v>1</v>
      </c>
      <c r="AN102">
        <v>0</v>
      </c>
      <c r="AO102">
        <v>1</v>
      </c>
      <c r="AP102">
        <v>0</v>
      </c>
      <c r="AQ102">
        <v>0</v>
      </c>
      <c r="AR102">
        <v>0</v>
      </c>
      <c r="AS102" t="s">
        <v>3</v>
      </c>
      <c r="AT102">
        <v>9.1999999999999993</v>
      </c>
      <c r="AU102" t="s">
        <v>3</v>
      </c>
      <c r="AV102">
        <v>0</v>
      </c>
      <c r="AW102">
        <v>2</v>
      </c>
      <c r="AX102">
        <v>36513446</v>
      </c>
      <c r="AY102">
        <v>1</v>
      </c>
      <c r="AZ102">
        <v>0</v>
      </c>
      <c r="BA102">
        <v>103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0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>
        <v>0</v>
      </c>
      <c r="BP102">
        <v>0</v>
      </c>
      <c r="BQ102">
        <v>0</v>
      </c>
      <c r="BR102">
        <v>0</v>
      </c>
      <c r="BS102">
        <v>0</v>
      </c>
      <c r="BT102">
        <v>0</v>
      </c>
      <c r="BU102">
        <v>0</v>
      </c>
      <c r="BV102">
        <v>0</v>
      </c>
      <c r="BW102">
        <v>0</v>
      </c>
      <c r="CX102">
        <f>Y102*Source!I156</f>
        <v>8.3536000000000001</v>
      </c>
      <c r="CY102">
        <f>AA102</f>
        <v>171.04</v>
      </c>
      <c r="CZ102">
        <f>AE102</f>
        <v>16.59</v>
      </c>
      <c r="DA102">
        <f>AI102</f>
        <v>10.31</v>
      </c>
      <c r="DB102">
        <f t="shared" si="15"/>
        <v>152.63</v>
      </c>
      <c r="DC102">
        <f t="shared" si="16"/>
        <v>0</v>
      </c>
    </row>
    <row r="103" spans="1:107">
      <c r="A103">
        <f>ROW(Source!A156)</f>
        <v>156</v>
      </c>
      <c r="B103">
        <v>35841400</v>
      </c>
      <c r="C103">
        <v>36513439</v>
      </c>
      <c r="D103">
        <v>29150040</v>
      </c>
      <c r="E103">
        <v>1</v>
      </c>
      <c r="F103">
        <v>1</v>
      </c>
      <c r="G103">
        <v>1</v>
      </c>
      <c r="H103">
        <v>3</v>
      </c>
      <c r="I103" t="s">
        <v>390</v>
      </c>
      <c r="J103" t="s">
        <v>391</v>
      </c>
      <c r="K103" t="s">
        <v>392</v>
      </c>
      <c r="L103">
        <v>1339</v>
      </c>
      <c r="N103">
        <v>1007</v>
      </c>
      <c r="O103" t="s">
        <v>393</v>
      </c>
      <c r="P103" t="s">
        <v>393</v>
      </c>
      <c r="Q103">
        <v>1</v>
      </c>
      <c r="W103">
        <v>0</v>
      </c>
      <c r="X103">
        <v>619799737</v>
      </c>
      <c r="Y103">
        <v>0.01</v>
      </c>
      <c r="AA103">
        <v>22.2</v>
      </c>
      <c r="AB103">
        <v>0</v>
      </c>
      <c r="AC103">
        <v>0</v>
      </c>
      <c r="AD103">
        <v>0</v>
      </c>
      <c r="AE103">
        <v>2.44</v>
      </c>
      <c r="AF103">
        <v>0</v>
      </c>
      <c r="AG103">
        <v>0</v>
      </c>
      <c r="AH103">
        <v>0</v>
      </c>
      <c r="AI103">
        <v>9.1</v>
      </c>
      <c r="AJ103">
        <v>1</v>
      </c>
      <c r="AK103">
        <v>1</v>
      </c>
      <c r="AL103">
        <v>1</v>
      </c>
      <c r="AN103">
        <v>0</v>
      </c>
      <c r="AO103">
        <v>1</v>
      </c>
      <c r="AP103">
        <v>0</v>
      </c>
      <c r="AQ103">
        <v>0</v>
      </c>
      <c r="AR103">
        <v>0</v>
      </c>
      <c r="AS103" t="s">
        <v>3</v>
      </c>
      <c r="AT103">
        <v>0.01</v>
      </c>
      <c r="AU103" t="s">
        <v>3</v>
      </c>
      <c r="AV103">
        <v>0</v>
      </c>
      <c r="AW103">
        <v>2</v>
      </c>
      <c r="AX103">
        <v>36513447</v>
      </c>
      <c r="AY103">
        <v>1</v>
      </c>
      <c r="AZ103">
        <v>0</v>
      </c>
      <c r="BA103">
        <v>104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0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0</v>
      </c>
      <c r="BT103">
        <v>0</v>
      </c>
      <c r="BU103">
        <v>0</v>
      </c>
      <c r="BV103">
        <v>0</v>
      </c>
      <c r="BW103">
        <v>0</v>
      </c>
      <c r="CX103">
        <f>Y103*Source!I156</f>
        <v>9.0800000000000013E-3</v>
      </c>
      <c r="CY103">
        <f>AA103</f>
        <v>22.2</v>
      </c>
      <c r="CZ103">
        <f>AE103</f>
        <v>2.44</v>
      </c>
      <c r="DA103">
        <f>AI103</f>
        <v>9.1</v>
      </c>
      <c r="DB103">
        <f t="shared" si="15"/>
        <v>0.02</v>
      </c>
      <c r="DC103">
        <f t="shared" si="16"/>
        <v>0</v>
      </c>
    </row>
    <row r="104" spans="1:107">
      <c r="A104">
        <f>ROW(Source!A157)</f>
        <v>157</v>
      </c>
      <c r="B104">
        <v>35841400</v>
      </c>
      <c r="C104">
        <v>36513461</v>
      </c>
      <c r="D104">
        <v>18410171</v>
      </c>
      <c r="E104">
        <v>1</v>
      </c>
      <c r="F104">
        <v>1</v>
      </c>
      <c r="G104">
        <v>1</v>
      </c>
      <c r="H104">
        <v>1</v>
      </c>
      <c r="I104" t="s">
        <v>456</v>
      </c>
      <c r="J104" t="s">
        <v>3</v>
      </c>
      <c r="K104" t="s">
        <v>457</v>
      </c>
      <c r="L104">
        <v>1369</v>
      </c>
      <c r="N104">
        <v>1013</v>
      </c>
      <c r="O104" t="s">
        <v>361</v>
      </c>
      <c r="P104" t="s">
        <v>361</v>
      </c>
      <c r="Q104">
        <v>1</v>
      </c>
      <c r="W104">
        <v>0</v>
      </c>
      <c r="X104">
        <v>1151098980</v>
      </c>
      <c r="Y104">
        <v>61.984999999999992</v>
      </c>
      <c r="AA104">
        <v>0</v>
      </c>
      <c r="AB104">
        <v>0</v>
      </c>
      <c r="AC104">
        <v>0</v>
      </c>
      <c r="AD104">
        <v>297.67</v>
      </c>
      <c r="AE104">
        <v>0</v>
      </c>
      <c r="AF104">
        <v>0</v>
      </c>
      <c r="AG104">
        <v>0</v>
      </c>
      <c r="AH104">
        <v>297.67</v>
      </c>
      <c r="AI104">
        <v>1</v>
      </c>
      <c r="AJ104">
        <v>1</v>
      </c>
      <c r="AK104">
        <v>1</v>
      </c>
      <c r="AL104">
        <v>1</v>
      </c>
      <c r="AN104">
        <v>0</v>
      </c>
      <c r="AO104">
        <v>1</v>
      </c>
      <c r="AP104">
        <v>1</v>
      </c>
      <c r="AQ104">
        <v>0</v>
      </c>
      <c r="AR104">
        <v>0</v>
      </c>
      <c r="AS104" t="s">
        <v>3</v>
      </c>
      <c r="AT104">
        <v>53.9</v>
      </c>
      <c r="AU104" t="s">
        <v>114</v>
      </c>
      <c r="AV104">
        <v>1</v>
      </c>
      <c r="AW104">
        <v>2</v>
      </c>
      <c r="AX104">
        <v>36517124</v>
      </c>
      <c r="AY104">
        <v>1</v>
      </c>
      <c r="AZ104">
        <v>0</v>
      </c>
      <c r="BA104">
        <v>105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0</v>
      </c>
      <c r="BI104">
        <v>0</v>
      </c>
      <c r="BJ104">
        <v>0</v>
      </c>
      <c r="BK104">
        <v>0</v>
      </c>
      <c r="BL104">
        <v>0</v>
      </c>
      <c r="BM104">
        <v>0</v>
      </c>
      <c r="BN104">
        <v>0</v>
      </c>
      <c r="BO104">
        <v>0</v>
      </c>
      <c r="BP104">
        <v>0</v>
      </c>
      <c r="BQ104">
        <v>0</v>
      </c>
      <c r="BR104">
        <v>0</v>
      </c>
      <c r="BS104">
        <v>0</v>
      </c>
      <c r="BT104">
        <v>0</v>
      </c>
      <c r="BU104">
        <v>0</v>
      </c>
      <c r="BV104">
        <v>0</v>
      </c>
      <c r="BW104">
        <v>0</v>
      </c>
      <c r="CX104">
        <f>Y104*Source!I157</f>
        <v>56.282379999999996</v>
      </c>
      <c r="CY104">
        <f>AD104</f>
        <v>297.67</v>
      </c>
      <c r="CZ104">
        <f>AH104</f>
        <v>297.67</v>
      </c>
      <c r="DA104">
        <f>AL104</f>
        <v>1</v>
      </c>
      <c r="DB104">
        <f>ROUND((ROUND(AT104*CZ104,2)*1.15),6)</f>
        <v>18451.071499999998</v>
      </c>
      <c r="DC104">
        <f>ROUND((ROUND(AT104*AG104,2)*1.15),6)</f>
        <v>0</v>
      </c>
    </row>
    <row r="105" spans="1:107">
      <c r="A105">
        <f>ROW(Source!A157)</f>
        <v>157</v>
      </c>
      <c r="B105">
        <v>35841400</v>
      </c>
      <c r="C105">
        <v>36513461</v>
      </c>
      <c r="D105">
        <v>121548</v>
      </c>
      <c r="E105">
        <v>1</v>
      </c>
      <c r="F105">
        <v>1</v>
      </c>
      <c r="G105">
        <v>1</v>
      </c>
      <c r="H105">
        <v>1</v>
      </c>
      <c r="I105" t="s">
        <v>213</v>
      </c>
      <c r="J105" t="s">
        <v>3</v>
      </c>
      <c r="K105" t="s">
        <v>362</v>
      </c>
      <c r="L105">
        <v>608254</v>
      </c>
      <c r="N105">
        <v>1013</v>
      </c>
      <c r="O105" t="s">
        <v>363</v>
      </c>
      <c r="P105" t="s">
        <v>363</v>
      </c>
      <c r="Q105">
        <v>1</v>
      </c>
      <c r="W105">
        <v>0</v>
      </c>
      <c r="X105">
        <v>-185737400</v>
      </c>
      <c r="Y105">
        <v>0.02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1</v>
      </c>
      <c r="AJ105">
        <v>1</v>
      </c>
      <c r="AK105">
        <v>1</v>
      </c>
      <c r="AL105">
        <v>1</v>
      </c>
      <c r="AN105">
        <v>0</v>
      </c>
      <c r="AO105">
        <v>1</v>
      </c>
      <c r="AP105">
        <v>1</v>
      </c>
      <c r="AQ105">
        <v>0</v>
      </c>
      <c r="AR105">
        <v>0</v>
      </c>
      <c r="AS105" t="s">
        <v>3</v>
      </c>
      <c r="AT105">
        <v>0.02</v>
      </c>
      <c r="AU105" t="s">
        <v>3</v>
      </c>
      <c r="AV105">
        <v>2</v>
      </c>
      <c r="AW105">
        <v>2</v>
      </c>
      <c r="AX105">
        <v>36517125</v>
      </c>
      <c r="AY105">
        <v>1</v>
      </c>
      <c r="AZ105">
        <v>0</v>
      </c>
      <c r="BA105">
        <v>106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0</v>
      </c>
      <c r="BR105">
        <v>0</v>
      </c>
      <c r="BS105">
        <v>0</v>
      </c>
      <c r="BT105">
        <v>0</v>
      </c>
      <c r="BU105">
        <v>0</v>
      </c>
      <c r="BV105">
        <v>0</v>
      </c>
      <c r="BW105">
        <v>0</v>
      </c>
      <c r="CX105">
        <f>Y105*Source!I157</f>
        <v>1.8160000000000003E-2</v>
      </c>
      <c r="CY105">
        <f>AD105</f>
        <v>0</v>
      </c>
      <c r="CZ105">
        <f>AH105</f>
        <v>0</v>
      </c>
      <c r="DA105">
        <f>AL105</f>
        <v>1</v>
      </c>
      <c r="DB105">
        <f t="shared" ref="DB105:DB111" si="17">ROUND(ROUND(AT105*CZ105,2),6)</f>
        <v>0</v>
      </c>
      <c r="DC105">
        <f t="shared" ref="DC105:DC111" si="18">ROUND(ROUND(AT105*AG105,2),6)</f>
        <v>0</v>
      </c>
    </row>
    <row r="106" spans="1:107">
      <c r="A106">
        <f>ROW(Source!A157)</f>
        <v>157</v>
      </c>
      <c r="B106">
        <v>35841400</v>
      </c>
      <c r="C106">
        <v>36513461</v>
      </c>
      <c r="D106">
        <v>29172556</v>
      </c>
      <c r="E106">
        <v>1</v>
      </c>
      <c r="F106">
        <v>1</v>
      </c>
      <c r="G106">
        <v>1</v>
      </c>
      <c r="H106">
        <v>2</v>
      </c>
      <c r="I106" t="s">
        <v>364</v>
      </c>
      <c r="J106" t="s">
        <v>365</v>
      </c>
      <c r="K106" t="s">
        <v>366</v>
      </c>
      <c r="L106">
        <v>1368</v>
      </c>
      <c r="N106">
        <v>1011</v>
      </c>
      <c r="O106" t="s">
        <v>367</v>
      </c>
      <c r="P106" t="s">
        <v>367</v>
      </c>
      <c r="Q106">
        <v>1</v>
      </c>
      <c r="W106">
        <v>0</v>
      </c>
      <c r="X106">
        <v>344519037</v>
      </c>
      <c r="Y106">
        <v>0.02</v>
      </c>
      <c r="AA106">
        <v>0</v>
      </c>
      <c r="AB106">
        <v>466.71</v>
      </c>
      <c r="AC106">
        <v>453.6</v>
      </c>
      <c r="AD106">
        <v>0</v>
      </c>
      <c r="AE106">
        <v>0</v>
      </c>
      <c r="AF106">
        <v>31.26</v>
      </c>
      <c r="AG106">
        <v>13.5</v>
      </c>
      <c r="AH106">
        <v>0</v>
      </c>
      <c r="AI106">
        <v>1</v>
      </c>
      <c r="AJ106">
        <v>14.93</v>
      </c>
      <c r="AK106">
        <v>33.6</v>
      </c>
      <c r="AL106">
        <v>1</v>
      </c>
      <c r="AN106">
        <v>0</v>
      </c>
      <c r="AO106">
        <v>1</v>
      </c>
      <c r="AP106">
        <v>1</v>
      </c>
      <c r="AQ106">
        <v>0</v>
      </c>
      <c r="AR106">
        <v>0</v>
      </c>
      <c r="AS106" t="s">
        <v>3</v>
      </c>
      <c r="AT106">
        <v>0.02</v>
      </c>
      <c r="AU106" t="s">
        <v>3</v>
      </c>
      <c r="AV106">
        <v>0</v>
      </c>
      <c r="AW106">
        <v>2</v>
      </c>
      <c r="AX106">
        <v>36517126</v>
      </c>
      <c r="AY106">
        <v>1</v>
      </c>
      <c r="AZ106">
        <v>0</v>
      </c>
      <c r="BA106">
        <v>107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0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0</v>
      </c>
      <c r="BQ106">
        <v>0</v>
      </c>
      <c r="BR106">
        <v>0</v>
      </c>
      <c r="BS106">
        <v>0</v>
      </c>
      <c r="BT106">
        <v>0</v>
      </c>
      <c r="BU106">
        <v>0</v>
      </c>
      <c r="BV106">
        <v>0</v>
      </c>
      <c r="BW106">
        <v>0</v>
      </c>
      <c r="CX106">
        <f>Y106*Source!I157</f>
        <v>1.8160000000000003E-2</v>
      </c>
      <c r="CY106">
        <f>AB106</f>
        <v>466.71</v>
      </c>
      <c r="CZ106">
        <f>AF106</f>
        <v>31.26</v>
      </c>
      <c r="DA106">
        <f>AJ106</f>
        <v>14.93</v>
      </c>
      <c r="DB106">
        <f t="shared" si="17"/>
        <v>0.63</v>
      </c>
      <c r="DC106">
        <f t="shared" si="18"/>
        <v>0.27</v>
      </c>
    </row>
    <row r="107" spans="1:107">
      <c r="A107">
        <f>ROW(Source!A157)</f>
        <v>157</v>
      </c>
      <c r="B107">
        <v>35841400</v>
      </c>
      <c r="C107">
        <v>36513461</v>
      </c>
      <c r="D107">
        <v>29174913</v>
      </c>
      <c r="E107">
        <v>1</v>
      </c>
      <c r="F107">
        <v>1</v>
      </c>
      <c r="G107">
        <v>1</v>
      </c>
      <c r="H107">
        <v>2</v>
      </c>
      <c r="I107" t="s">
        <v>381</v>
      </c>
      <c r="J107" t="s">
        <v>382</v>
      </c>
      <c r="K107" t="s">
        <v>383</v>
      </c>
      <c r="L107">
        <v>1368</v>
      </c>
      <c r="N107">
        <v>1011</v>
      </c>
      <c r="O107" t="s">
        <v>367</v>
      </c>
      <c r="P107" t="s">
        <v>367</v>
      </c>
      <c r="Q107">
        <v>1</v>
      </c>
      <c r="W107">
        <v>0</v>
      </c>
      <c r="X107">
        <v>1230759911</v>
      </c>
      <c r="Y107">
        <v>0.16</v>
      </c>
      <c r="AA107">
        <v>0</v>
      </c>
      <c r="AB107">
        <v>932.72</v>
      </c>
      <c r="AC107">
        <v>389.76</v>
      </c>
      <c r="AD107">
        <v>0</v>
      </c>
      <c r="AE107">
        <v>0</v>
      </c>
      <c r="AF107">
        <v>87.17</v>
      </c>
      <c r="AG107">
        <v>11.6</v>
      </c>
      <c r="AH107">
        <v>0</v>
      </c>
      <c r="AI107">
        <v>1</v>
      </c>
      <c r="AJ107">
        <v>10.7</v>
      </c>
      <c r="AK107">
        <v>33.6</v>
      </c>
      <c r="AL107">
        <v>1</v>
      </c>
      <c r="AN107">
        <v>0</v>
      </c>
      <c r="AO107">
        <v>1</v>
      </c>
      <c r="AP107">
        <v>1</v>
      </c>
      <c r="AQ107">
        <v>0</v>
      </c>
      <c r="AR107">
        <v>0</v>
      </c>
      <c r="AS107" t="s">
        <v>3</v>
      </c>
      <c r="AT107">
        <v>0.16</v>
      </c>
      <c r="AU107" t="s">
        <v>3</v>
      </c>
      <c r="AV107">
        <v>0</v>
      </c>
      <c r="AW107">
        <v>2</v>
      </c>
      <c r="AX107">
        <v>36517127</v>
      </c>
      <c r="AY107">
        <v>1</v>
      </c>
      <c r="AZ107">
        <v>0</v>
      </c>
      <c r="BA107">
        <v>108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0</v>
      </c>
      <c r="BI107">
        <v>0</v>
      </c>
      <c r="BJ107">
        <v>0</v>
      </c>
      <c r="BK107">
        <v>0</v>
      </c>
      <c r="BL107">
        <v>0</v>
      </c>
      <c r="BM107">
        <v>0</v>
      </c>
      <c r="BN107">
        <v>0</v>
      </c>
      <c r="BO107">
        <v>0</v>
      </c>
      <c r="BP107">
        <v>0</v>
      </c>
      <c r="BQ107">
        <v>0</v>
      </c>
      <c r="BR107">
        <v>0</v>
      </c>
      <c r="BS107">
        <v>0</v>
      </c>
      <c r="BT107">
        <v>0</v>
      </c>
      <c r="BU107">
        <v>0</v>
      </c>
      <c r="BV107">
        <v>0</v>
      </c>
      <c r="BW107">
        <v>0</v>
      </c>
      <c r="CX107">
        <f>Y107*Source!I157</f>
        <v>0.14528000000000002</v>
      </c>
      <c r="CY107">
        <f>AB107</f>
        <v>932.72</v>
      </c>
      <c r="CZ107">
        <f>AF107</f>
        <v>87.17</v>
      </c>
      <c r="DA107">
        <f>AJ107</f>
        <v>10.7</v>
      </c>
      <c r="DB107">
        <f t="shared" si="17"/>
        <v>13.95</v>
      </c>
      <c r="DC107">
        <f t="shared" si="18"/>
        <v>1.86</v>
      </c>
    </row>
    <row r="108" spans="1:107">
      <c r="A108">
        <f>ROW(Source!A157)</f>
        <v>157</v>
      </c>
      <c r="B108">
        <v>35841400</v>
      </c>
      <c r="C108">
        <v>36513461</v>
      </c>
      <c r="D108">
        <v>29107779</v>
      </c>
      <c r="E108">
        <v>1</v>
      </c>
      <c r="F108">
        <v>1</v>
      </c>
      <c r="G108">
        <v>1</v>
      </c>
      <c r="H108">
        <v>3</v>
      </c>
      <c r="I108" t="s">
        <v>458</v>
      </c>
      <c r="J108" t="s">
        <v>459</v>
      </c>
      <c r="K108" t="s">
        <v>460</v>
      </c>
      <c r="L108">
        <v>1327</v>
      </c>
      <c r="N108">
        <v>1005</v>
      </c>
      <c r="O108" t="s">
        <v>129</v>
      </c>
      <c r="P108" t="s">
        <v>129</v>
      </c>
      <c r="Q108">
        <v>1</v>
      </c>
      <c r="W108">
        <v>0</v>
      </c>
      <c r="X108">
        <v>-1827594923</v>
      </c>
      <c r="Y108">
        <v>0.84</v>
      </c>
      <c r="AA108">
        <v>203.19</v>
      </c>
      <c r="AB108">
        <v>0</v>
      </c>
      <c r="AC108">
        <v>0</v>
      </c>
      <c r="AD108">
        <v>0</v>
      </c>
      <c r="AE108">
        <v>72.31</v>
      </c>
      <c r="AF108">
        <v>0</v>
      </c>
      <c r="AG108">
        <v>0</v>
      </c>
      <c r="AH108">
        <v>0</v>
      </c>
      <c r="AI108">
        <v>2.81</v>
      </c>
      <c r="AJ108">
        <v>1</v>
      </c>
      <c r="AK108">
        <v>1</v>
      </c>
      <c r="AL108">
        <v>1</v>
      </c>
      <c r="AN108">
        <v>0</v>
      </c>
      <c r="AO108">
        <v>1</v>
      </c>
      <c r="AP108">
        <v>0</v>
      </c>
      <c r="AQ108">
        <v>0</v>
      </c>
      <c r="AR108">
        <v>0</v>
      </c>
      <c r="AS108" t="s">
        <v>3</v>
      </c>
      <c r="AT108">
        <v>0.84</v>
      </c>
      <c r="AU108" t="s">
        <v>3</v>
      </c>
      <c r="AV108">
        <v>0</v>
      </c>
      <c r="AW108">
        <v>2</v>
      </c>
      <c r="AX108">
        <v>36517128</v>
      </c>
      <c r="AY108">
        <v>1</v>
      </c>
      <c r="AZ108">
        <v>0</v>
      </c>
      <c r="BA108">
        <v>109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0</v>
      </c>
      <c r="BI108">
        <v>0</v>
      </c>
      <c r="BJ108">
        <v>0</v>
      </c>
      <c r="BK108">
        <v>0</v>
      </c>
      <c r="BL108">
        <v>0</v>
      </c>
      <c r="BM108">
        <v>0</v>
      </c>
      <c r="BN108">
        <v>0</v>
      </c>
      <c r="BO108">
        <v>0</v>
      </c>
      <c r="BP108">
        <v>0</v>
      </c>
      <c r="BQ108">
        <v>0</v>
      </c>
      <c r="BR108">
        <v>0</v>
      </c>
      <c r="BS108">
        <v>0</v>
      </c>
      <c r="BT108">
        <v>0</v>
      </c>
      <c r="BU108">
        <v>0</v>
      </c>
      <c r="BV108">
        <v>0</v>
      </c>
      <c r="BW108">
        <v>0</v>
      </c>
      <c r="CX108">
        <f>Y108*Source!I157</f>
        <v>0.76271999999999995</v>
      </c>
      <c r="CY108">
        <f>AA108</f>
        <v>203.19</v>
      </c>
      <c r="CZ108">
        <f>AE108</f>
        <v>72.31</v>
      </c>
      <c r="DA108">
        <f>AI108</f>
        <v>2.81</v>
      </c>
      <c r="DB108">
        <f t="shared" si="17"/>
        <v>60.74</v>
      </c>
      <c r="DC108">
        <f t="shared" si="18"/>
        <v>0</v>
      </c>
    </row>
    <row r="109" spans="1:107">
      <c r="A109">
        <f>ROW(Source!A157)</f>
        <v>157</v>
      </c>
      <c r="B109">
        <v>35841400</v>
      </c>
      <c r="C109">
        <v>36513461</v>
      </c>
      <c r="D109">
        <v>29109797</v>
      </c>
      <c r="E109">
        <v>1</v>
      </c>
      <c r="F109">
        <v>1</v>
      </c>
      <c r="G109">
        <v>1</v>
      </c>
      <c r="H109">
        <v>3</v>
      </c>
      <c r="I109" t="s">
        <v>461</v>
      </c>
      <c r="J109" t="s">
        <v>462</v>
      </c>
      <c r="K109" t="s">
        <v>463</v>
      </c>
      <c r="L109">
        <v>1348</v>
      </c>
      <c r="N109">
        <v>1009</v>
      </c>
      <c r="O109" t="s">
        <v>41</v>
      </c>
      <c r="P109" t="s">
        <v>41</v>
      </c>
      <c r="Q109">
        <v>1000</v>
      </c>
      <c r="W109">
        <v>0</v>
      </c>
      <c r="X109">
        <v>-1515146857</v>
      </c>
      <c r="Y109">
        <v>5.5E-2</v>
      </c>
      <c r="AA109">
        <v>19924.25</v>
      </c>
      <c r="AB109">
        <v>0</v>
      </c>
      <c r="AC109">
        <v>0</v>
      </c>
      <c r="AD109">
        <v>0</v>
      </c>
      <c r="AE109">
        <v>4294.0200000000004</v>
      </c>
      <c r="AF109">
        <v>0</v>
      </c>
      <c r="AG109">
        <v>0</v>
      </c>
      <c r="AH109">
        <v>0</v>
      </c>
      <c r="AI109">
        <v>4.6399999999999997</v>
      </c>
      <c r="AJ109">
        <v>1</v>
      </c>
      <c r="AK109">
        <v>1</v>
      </c>
      <c r="AL109">
        <v>1</v>
      </c>
      <c r="AN109">
        <v>0</v>
      </c>
      <c r="AO109">
        <v>1</v>
      </c>
      <c r="AP109">
        <v>0</v>
      </c>
      <c r="AQ109">
        <v>0</v>
      </c>
      <c r="AR109">
        <v>0</v>
      </c>
      <c r="AS109" t="s">
        <v>3</v>
      </c>
      <c r="AT109">
        <v>5.5E-2</v>
      </c>
      <c r="AU109" t="s">
        <v>3</v>
      </c>
      <c r="AV109">
        <v>0</v>
      </c>
      <c r="AW109">
        <v>2</v>
      </c>
      <c r="AX109">
        <v>36517129</v>
      </c>
      <c r="AY109">
        <v>1</v>
      </c>
      <c r="AZ109">
        <v>0</v>
      </c>
      <c r="BA109">
        <v>110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0</v>
      </c>
      <c r="BI109">
        <v>0</v>
      </c>
      <c r="BJ109">
        <v>0</v>
      </c>
      <c r="BK109">
        <v>0</v>
      </c>
      <c r="BL109">
        <v>0</v>
      </c>
      <c r="BM109">
        <v>0</v>
      </c>
      <c r="BN109">
        <v>0</v>
      </c>
      <c r="BO109">
        <v>0</v>
      </c>
      <c r="BP109">
        <v>0</v>
      </c>
      <c r="BQ109">
        <v>0</v>
      </c>
      <c r="BR109">
        <v>0</v>
      </c>
      <c r="BS109">
        <v>0</v>
      </c>
      <c r="BT109">
        <v>0</v>
      </c>
      <c r="BU109">
        <v>0</v>
      </c>
      <c r="BV109">
        <v>0</v>
      </c>
      <c r="BW109">
        <v>0</v>
      </c>
      <c r="CX109">
        <f>Y109*Source!I157</f>
        <v>4.9940000000000005E-2</v>
      </c>
      <c r="CY109">
        <f>AA109</f>
        <v>19924.25</v>
      </c>
      <c r="CZ109">
        <f>AE109</f>
        <v>4294.0200000000004</v>
      </c>
      <c r="DA109">
        <f>AI109</f>
        <v>4.6399999999999997</v>
      </c>
      <c r="DB109">
        <f t="shared" si="17"/>
        <v>236.17</v>
      </c>
      <c r="DC109">
        <f t="shared" si="18"/>
        <v>0</v>
      </c>
    </row>
    <row r="110" spans="1:107">
      <c r="A110">
        <f>ROW(Source!A157)</f>
        <v>157</v>
      </c>
      <c r="B110">
        <v>35841400</v>
      </c>
      <c r="C110">
        <v>36513461</v>
      </c>
      <c r="D110">
        <v>29107800</v>
      </c>
      <c r="E110">
        <v>1</v>
      </c>
      <c r="F110">
        <v>1</v>
      </c>
      <c r="G110">
        <v>1</v>
      </c>
      <c r="H110">
        <v>3</v>
      </c>
      <c r="I110" t="s">
        <v>384</v>
      </c>
      <c r="J110" t="s">
        <v>385</v>
      </c>
      <c r="K110" t="s">
        <v>386</v>
      </c>
      <c r="L110">
        <v>1346</v>
      </c>
      <c r="N110">
        <v>1009</v>
      </c>
      <c r="O110" t="s">
        <v>151</v>
      </c>
      <c r="P110" t="s">
        <v>151</v>
      </c>
      <c r="Q110">
        <v>1</v>
      </c>
      <c r="W110">
        <v>0</v>
      </c>
      <c r="X110">
        <v>644139035</v>
      </c>
      <c r="Y110">
        <v>0.31</v>
      </c>
      <c r="AA110">
        <v>46.61</v>
      </c>
      <c r="AB110">
        <v>0</v>
      </c>
      <c r="AC110">
        <v>0</v>
      </c>
      <c r="AD110">
        <v>0</v>
      </c>
      <c r="AE110">
        <v>1.81</v>
      </c>
      <c r="AF110">
        <v>0</v>
      </c>
      <c r="AG110">
        <v>0</v>
      </c>
      <c r="AH110">
        <v>0</v>
      </c>
      <c r="AI110">
        <v>25.75</v>
      </c>
      <c r="AJ110">
        <v>1</v>
      </c>
      <c r="AK110">
        <v>1</v>
      </c>
      <c r="AL110">
        <v>1</v>
      </c>
      <c r="AN110">
        <v>0</v>
      </c>
      <c r="AO110">
        <v>1</v>
      </c>
      <c r="AP110">
        <v>0</v>
      </c>
      <c r="AQ110">
        <v>0</v>
      </c>
      <c r="AR110">
        <v>0</v>
      </c>
      <c r="AS110" t="s">
        <v>3</v>
      </c>
      <c r="AT110">
        <v>0.31</v>
      </c>
      <c r="AU110" t="s">
        <v>3</v>
      </c>
      <c r="AV110">
        <v>0</v>
      </c>
      <c r="AW110">
        <v>2</v>
      </c>
      <c r="AX110">
        <v>36517130</v>
      </c>
      <c r="AY110">
        <v>1</v>
      </c>
      <c r="AZ110">
        <v>0</v>
      </c>
      <c r="BA110">
        <v>111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0</v>
      </c>
      <c r="BI110">
        <v>0</v>
      </c>
      <c r="BJ110">
        <v>0</v>
      </c>
      <c r="BK110">
        <v>0</v>
      </c>
      <c r="BL110">
        <v>0</v>
      </c>
      <c r="BM110">
        <v>0</v>
      </c>
      <c r="BN110">
        <v>0</v>
      </c>
      <c r="BO110">
        <v>0</v>
      </c>
      <c r="BP110">
        <v>0</v>
      </c>
      <c r="BQ110">
        <v>0</v>
      </c>
      <c r="BR110">
        <v>0</v>
      </c>
      <c r="BS110">
        <v>0</v>
      </c>
      <c r="BT110">
        <v>0</v>
      </c>
      <c r="BU110">
        <v>0</v>
      </c>
      <c r="BV110">
        <v>0</v>
      </c>
      <c r="BW110">
        <v>0</v>
      </c>
      <c r="CX110">
        <f>Y110*Source!I157</f>
        <v>0.28148000000000001</v>
      </c>
      <c r="CY110">
        <f>AA110</f>
        <v>46.61</v>
      </c>
      <c r="CZ110">
        <f>AE110</f>
        <v>1.81</v>
      </c>
      <c r="DA110">
        <f>AI110</f>
        <v>25.75</v>
      </c>
      <c r="DB110">
        <f t="shared" si="17"/>
        <v>0.56000000000000005</v>
      </c>
      <c r="DC110">
        <f t="shared" si="18"/>
        <v>0</v>
      </c>
    </row>
    <row r="111" spans="1:107">
      <c r="A111">
        <f>ROW(Source!A157)</f>
        <v>157</v>
      </c>
      <c r="B111">
        <v>35841400</v>
      </c>
      <c r="C111">
        <v>36513461</v>
      </c>
      <c r="D111">
        <v>29110439</v>
      </c>
      <c r="E111">
        <v>1</v>
      </c>
      <c r="F111">
        <v>1</v>
      </c>
      <c r="G111">
        <v>1</v>
      </c>
      <c r="H111">
        <v>3</v>
      </c>
      <c r="I111" t="s">
        <v>464</v>
      </c>
      <c r="J111" t="s">
        <v>465</v>
      </c>
      <c r="K111" t="s">
        <v>466</v>
      </c>
      <c r="L111">
        <v>1348</v>
      </c>
      <c r="N111">
        <v>1009</v>
      </c>
      <c r="O111" t="s">
        <v>41</v>
      </c>
      <c r="P111" t="s">
        <v>41</v>
      </c>
      <c r="Q111">
        <v>1000</v>
      </c>
      <c r="W111">
        <v>0</v>
      </c>
      <c r="X111">
        <v>-764270001</v>
      </c>
      <c r="Y111">
        <v>6.9000000000000006E-2</v>
      </c>
      <c r="AA111">
        <v>60221.13</v>
      </c>
      <c r="AB111">
        <v>0</v>
      </c>
      <c r="AC111">
        <v>0</v>
      </c>
      <c r="AD111">
        <v>0</v>
      </c>
      <c r="AE111">
        <v>15481.01</v>
      </c>
      <c r="AF111">
        <v>0</v>
      </c>
      <c r="AG111">
        <v>0</v>
      </c>
      <c r="AH111">
        <v>0</v>
      </c>
      <c r="AI111">
        <v>3.89</v>
      </c>
      <c r="AJ111">
        <v>1</v>
      </c>
      <c r="AK111">
        <v>1</v>
      </c>
      <c r="AL111">
        <v>1</v>
      </c>
      <c r="AN111">
        <v>0</v>
      </c>
      <c r="AO111">
        <v>1</v>
      </c>
      <c r="AP111">
        <v>0</v>
      </c>
      <c r="AQ111">
        <v>0</v>
      </c>
      <c r="AR111">
        <v>0</v>
      </c>
      <c r="AS111" t="s">
        <v>3</v>
      </c>
      <c r="AT111">
        <v>6.9000000000000006E-2</v>
      </c>
      <c r="AU111" t="s">
        <v>3</v>
      </c>
      <c r="AV111">
        <v>0</v>
      </c>
      <c r="AW111">
        <v>2</v>
      </c>
      <c r="AX111">
        <v>36517131</v>
      </c>
      <c r="AY111">
        <v>1</v>
      </c>
      <c r="AZ111">
        <v>0</v>
      </c>
      <c r="BA111">
        <v>112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0</v>
      </c>
      <c r="BI111">
        <v>0</v>
      </c>
      <c r="BJ111">
        <v>0</v>
      </c>
      <c r="BK111">
        <v>0</v>
      </c>
      <c r="BL111">
        <v>0</v>
      </c>
      <c r="BM111">
        <v>0</v>
      </c>
      <c r="BN111">
        <v>0</v>
      </c>
      <c r="BO111">
        <v>0</v>
      </c>
      <c r="BP111">
        <v>0</v>
      </c>
      <c r="BQ111">
        <v>0</v>
      </c>
      <c r="BR111">
        <v>0</v>
      </c>
      <c r="BS111">
        <v>0</v>
      </c>
      <c r="BT111">
        <v>0</v>
      </c>
      <c r="BU111">
        <v>0</v>
      </c>
      <c r="BV111">
        <v>0</v>
      </c>
      <c r="BW111">
        <v>0</v>
      </c>
      <c r="CX111">
        <f>Y111*Source!I157</f>
        <v>6.2652000000000013E-2</v>
      </c>
      <c r="CY111">
        <f>AA111</f>
        <v>60221.13</v>
      </c>
      <c r="CZ111">
        <f>AE111</f>
        <v>15481.01</v>
      </c>
      <c r="DA111">
        <f>AI111</f>
        <v>3.89</v>
      </c>
      <c r="DB111">
        <f t="shared" si="17"/>
        <v>1068.19</v>
      </c>
      <c r="DC111">
        <f t="shared" si="18"/>
        <v>0</v>
      </c>
    </row>
    <row r="112" spans="1:107">
      <c r="A112">
        <f>ROW(Source!A193)</f>
        <v>193</v>
      </c>
      <c r="B112">
        <v>35841400</v>
      </c>
      <c r="C112">
        <v>36514399</v>
      </c>
      <c r="D112">
        <v>18410171</v>
      </c>
      <c r="E112">
        <v>1</v>
      </c>
      <c r="F112">
        <v>1</v>
      </c>
      <c r="G112">
        <v>1</v>
      </c>
      <c r="H112">
        <v>1</v>
      </c>
      <c r="I112" t="s">
        <v>456</v>
      </c>
      <c r="J112" t="s">
        <v>3</v>
      </c>
      <c r="K112" t="s">
        <v>457</v>
      </c>
      <c r="L112">
        <v>1369</v>
      </c>
      <c r="N112">
        <v>1013</v>
      </c>
      <c r="O112" t="s">
        <v>361</v>
      </c>
      <c r="P112" t="s">
        <v>361</v>
      </c>
      <c r="Q112">
        <v>1</v>
      </c>
      <c r="W112">
        <v>0</v>
      </c>
      <c r="X112">
        <v>1151098980</v>
      </c>
      <c r="Y112">
        <v>14.145</v>
      </c>
      <c r="AA112">
        <v>0</v>
      </c>
      <c r="AB112">
        <v>0</v>
      </c>
      <c r="AC112">
        <v>0</v>
      </c>
      <c r="AD112">
        <v>297.67</v>
      </c>
      <c r="AE112">
        <v>0</v>
      </c>
      <c r="AF112">
        <v>0</v>
      </c>
      <c r="AG112">
        <v>0</v>
      </c>
      <c r="AH112">
        <v>297.67</v>
      </c>
      <c r="AI112">
        <v>1</v>
      </c>
      <c r="AJ112">
        <v>1</v>
      </c>
      <c r="AK112">
        <v>1</v>
      </c>
      <c r="AL112">
        <v>1</v>
      </c>
      <c r="AN112">
        <v>0</v>
      </c>
      <c r="AO112">
        <v>1</v>
      </c>
      <c r="AP112">
        <v>1</v>
      </c>
      <c r="AQ112">
        <v>0</v>
      </c>
      <c r="AR112">
        <v>0</v>
      </c>
      <c r="AS112" t="s">
        <v>3</v>
      </c>
      <c r="AT112">
        <v>12.3</v>
      </c>
      <c r="AU112" t="s">
        <v>114</v>
      </c>
      <c r="AV112">
        <v>1</v>
      </c>
      <c r="AW112">
        <v>2</v>
      </c>
      <c r="AX112">
        <v>36514400</v>
      </c>
      <c r="AY112">
        <v>2</v>
      </c>
      <c r="AZ112">
        <v>131072</v>
      </c>
      <c r="BA112">
        <v>113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0</v>
      </c>
      <c r="BI112">
        <v>0</v>
      </c>
      <c r="BJ112">
        <v>0</v>
      </c>
      <c r="BK112">
        <v>0</v>
      </c>
      <c r="BL112">
        <v>0</v>
      </c>
      <c r="BM112">
        <v>0</v>
      </c>
      <c r="BN112">
        <v>0</v>
      </c>
      <c r="BO112">
        <v>0</v>
      </c>
      <c r="BP112">
        <v>0</v>
      </c>
      <c r="BQ112">
        <v>0</v>
      </c>
      <c r="BR112">
        <v>0</v>
      </c>
      <c r="BS112">
        <v>0</v>
      </c>
      <c r="BT112">
        <v>0</v>
      </c>
      <c r="BU112">
        <v>0</v>
      </c>
      <c r="BV112">
        <v>0</v>
      </c>
      <c r="BW112">
        <v>0</v>
      </c>
      <c r="CX112">
        <f>Y112*Source!I193</f>
        <v>21.641849999999998</v>
      </c>
      <c r="CY112">
        <f>AD112</f>
        <v>297.67</v>
      </c>
      <c r="CZ112">
        <f>AH112</f>
        <v>297.67</v>
      </c>
      <c r="DA112">
        <f>AL112</f>
        <v>1</v>
      </c>
      <c r="DB112">
        <f>ROUND((ROUND(AT112*CZ112,2)*1.15),6)</f>
        <v>4210.5410000000002</v>
      </c>
      <c r="DC112">
        <f>ROUND((ROUND(AT112*AG112,2)*1.15),6)</f>
        <v>0</v>
      </c>
    </row>
    <row r="113" spans="1:107">
      <c r="A113">
        <f>ROW(Source!A193)</f>
        <v>193</v>
      </c>
      <c r="B113">
        <v>35841400</v>
      </c>
      <c r="C113">
        <v>36514399</v>
      </c>
      <c r="D113">
        <v>121548</v>
      </c>
      <c r="E113">
        <v>1</v>
      </c>
      <c r="F113">
        <v>1</v>
      </c>
      <c r="G113">
        <v>1</v>
      </c>
      <c r="H113">
        <v>1</v>
      </c>
      <c r="I113" t="s">
        <v>213</v>
      </c>
      <c r="J113" t="s">
        <v>3</v>
      </c>
      <c r="K113" t="s">
        <v>362</v>
      </c>
      <c r="L113">
        <v>608254</v>
      </c>
      <c r="N113">
        <v>1013</v>
      </c>
      <c r="O113" t="s">
        <v>363</v>
      </c>
      <c r="P113" t="s">
        <v>363</v>
      </c>
      <c r="Q113">
        <v>1</v>
      </c>
      <c r="W113">
        <v>0</v>
      </c>
      <c r="X113">
        <v>-185737400</v>
      </c>
      <c r="Y113">
        <v>2.54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1</v>
      </c>
      <c r="AJ113">
        <v>1</v>
      </c>
      <c r="AK113">
        <v>1</v>
      </c>
      <c r="AL113">
        <v>1</v>
      </c>
      <c r="AN113">
        <v>0</v>
      </c>
      <c r="AO113">
        <v>1</v>
      </c>
      <c r="AP113">
        <v>1</v>
      </c>
      <c r="AQ113">
        <v>0</v>
      </c>
      <c r="AR113">
        <v>0</v>
      </c>
      <c r="AS113" t="s">
        <v>3</v>
      </c>
      <c r="AT113">
        <v>2.54</v>
      </c>
      <c r="AU113" t="s">
        <v>3</v>
      </c>
      <c r="AV113">
        <v>2</v>
      </c>
      <c r="AW113">
        <v>2</v>
      </c>
      <c r="AX113">
        <v>36514401</v>
      </c>
      <c r="AY113">
        <v>1</v>
      </c>
      <c r="AZ113">
        <v>0</v>
      </c>
      <c r="BA113">
        <v>114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0</v>
      </c>
      <c r="BI113">
        <v>0</v>
      </c>
      <c r="BJ113">
        <v>0</v>
      </c>
      <c r="BK113">
        <v>0</v>
      </c>
      <c r="BL113">
        <v>0</v>
      </c>
      <c r="BM113">
        <v>0</v>
      </c>
      <c r="BN113">
        <v>0</v>
      </c>
      <c r="BO113">
        <v>0</v>
      </c>
      <c r="BP113">
        <v>0</v>
      </c>
      <c r="BQ113">
        <v>0</v>
      </c>
      <c r="BR113">
        <v>0</v>
      </c>
      <c r="BS113">
        <v>0</v>
      </c>
      <c r="BT113">
        <v>0</v>
      </c>
      <c r="BU113">
        <v>0</v>
      </c>
      <c r="BV113">
        <v>0</v>
      </c>
      <c r="BW113">
        <v>0</v>
      </c>
      <c r="CX113">
        <f>Y113*Source!I193</f>
        <v>3.8862000000000001</v>
      </c>
      <c r="CY113">
        <f>AD113</f>
        <v>0</v>
      </c>
      <c r="CZ113">
        <f>AH113</f>
        <v>0</v>
      </c>
      <c r="DA113">
        <f>AL113</f>
        <v>1</v>
      </c>
      <c r="DB113">
        <f>ROUND(ROUND(AT113*CZ113,2),6)</f>
        <v>0</v>
      </c>
      <c r="DC113">
        <f>ROUND(ROUND(AT113*AG113,2),6)</f>
        <v>0</v>
      </c>
    </row>
    <row r="114" spans="1:107">
      <c r="A114">
        <f>ROW(Source!A193)</f>
        <v>193</v>
      </c>
      <c r="B114">
        <v>35841400</v>
      </c>
      <c r="C114">
        <v>36514399</v>
      </c>
      <c r="D114">
        <v>29172710</v>
      </c>
      <c r="E114">
        <v>1</v>
      </c>
      <c r="F114">
        <v>1</v>
      </c>
      <c r="G114">
        <v>1</v>
      </c>
      <c r="H114">
        <v>2</v>
      </c>
      <c r="I114" t="s">
        <v>497</v>
      </c>
      <c r="J114" t="s">
        <v>512</v>
      </c>
      <c r="K114" t="s">
        <v>499</v>
      </c>
      <c r="L114">
        <v>1368</v>
      </c>
      <c r="N114">
        <v>1011</v>
      </c>
      <c r="O114" t="s">
        <v>367</v>
      </c>
      <c r="P114" t="s">
        <v>367</v>
      </c>
      <c r="Q114">
        <v>1</v>
      </c>
      <c r="W114">
        <v>0</v>
      </c>
      <c r="X114">
        <v>315863809</v>
      </c>
      <c r="Y114">
        <v>2.54</v>
      </c>
      <c r="AA114">
        <v>0</v>
      </c>
      <c r="AB114">
        <v>539.16</v>
      </c>
      <c r="AC114">
        <v>338.02</v>
      </c>
      <c r="AD114">
        <v>0</v>
      </c>
      <c r="AE114">
        <v>0</v>
      </c>
      <c r="AF114">
        <v>46.56</v>
      </c>
      <c r="AG114">
        <v>10.06</v>
      </c>
      <c r="AH114">
        <v>0</v>
      </c>
      <c r="AI114">
        <v>1</v>
      </c>
      <c r="AJ114">
        <v>11.58</v>
      </c>
      <c r="AK114">
        <v>33.6</v>
      </c>
      <c r="AL114">
        <v>1</v>
      </c>
      <c r="AN114">
        <v>0</v>
      </c>
      <c r="AO114">
        <v>1</v>
      </c>
      <c r="AP114">
        <v>1</v>
      </c>
      <c r="AQ114">
        <v>0</v>
      </c>
      <c r="AR114">
        <v>0</v>
      </c>
      <c r="AS114" t="s">
        <v>3</v>
      </c>
      <c r="AT114">
        <v>2.54</v>
      </c>
      <c r="AU114" t="s">
        <v>3</v>
      </c>
      <c r="AV114">
        <v>0</v>
      </c>
      <c r="AW114">
        <v>2</v>
      </c>
      <c r="AX114">
        <v>36514402</v>
      </c>
      <c r="AY114">
        <v>1</v>
      </c>
      <c r="AZ114">
        <v>0</v>
      </c>
      <c r="BA114">
        <v>115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0</v>
      </c>
      <c r="BI114">
        <v>0</v>
      </c>
      <c r="BJ114">
        <v>0</v>
      </c>
      <c r="BK114">
        <v>0</v>
      </c>
      <c r="BL114">
        <v>0</v>
      </c>
      <c r="BM114">
        <v>0</v>
      </c>
      <c r="BN114">
        <v>0</v>
      </c>
      <c r="BO114">
        <v>0</v>
      </c>
      <c r="BP114">
        <v>0</v>
      </c>
      <c r="BQ114">
        <v>0</v>
      </c>
      <c r="BR114">
        <v>0</v>
      </c>
      <c r="BS114">
        <v>0</v>
      </c>
      <c r="BT114">
        <v>0</v>
      </c>
      <c r="BU114">
        <v>0</v>
      </c>
      <c r="BV114">
        <v>0</v>
      </c>
      <c r="BW114">
        <v>0</v>
      </c>
      <c r="CX114">
        <f>Y114*Source!I193</f>
        <v>3.8862000000000001</v>
      </c>
      <c r="CY114">
        <f>AB114</f>
        <v>539.16</v>
      </c>
      <c r="CZ114">
        <f>AF114</f>
        <v>46.56</v>
      </c>
      <c r="DA114">
        <f>AJ114</f>
        <v>11.58</v>
      </c>
      <c r="DB114">
        <f>ROUND(ROUND(AT114*CZ114,2),6)</f>
        <v>118.26</v>
      </c>
      <c r="DC114">
        <f>ROUND(ROUND(AT114*AG114,2),6)</f>
        <v>25.55</v>
      </c>
    </row>
    <row r="115" spans="1:107">
      <c r="A115">
        <f>ROW(Source!A193)</f>
        <v>193</v>
      </c>
      <c r="B115">
        <v>35841400</v>
      </c>
      <c r="C115">
        <v>36514399</v>
      </c>
      <c r="D115">
        <v>29174533</v>
      </c>
      <c r="E115">
        <v>1</v>
      </c>
      <c r="F115">
        <v>1</v>
      </c>
      <c r="G115">
        <v>1</v>
      </c>
      <c r="H115">
        <v>2</v>
      </c>
      <c r="I115" t="s">
        <v>513</v>
      </c>
      <c r="J115" t="s">
        <v>514</v>
      </c>
      <c r="K115" t="s">
        <v>515</v>
      </c>
      <c r="L115">
        <v>1368</v>
      </c>
      <c r="N115">
        <v>1011</v>
      </c>
      <c r="O115" t="s">
        <v>367</v>
      </c>
      <c r="P115" t="s">
        <v>367</v>
      </c>
      <c r="Q115">
        <v>1</v>
      </c>
      <c r="W115">
        <v>0</v>
      </c>
      <c r="X115">
        <v>-2071518695</v>
      </c>
      <c r="Y115">
        <v>5.08</v>
      </c>
      <c r="AA115">
        <v>0</v>
      </c>
      <c r="AB115">
        <v>5.0599999999999996</v>
      </c>
      <c r="AC115">
        <v>0</v>
      </c>
      <c r="AD115">
        <v>0</v>
      </c>
      <c r="AE115">
        <v>0</v>
      </c>
      <c r="AF115">
        <v>1.53</v>
      </c>
      <c r="AG115">
        <v>0</v>
      </c>
      <c r="AH115">
        <v>0</v>
      </c>
      <c r="AI115">
        <v>1</v>
      </c>
      <c r="AJ115">
        <v>3.31</v>
      </c>
      <c r="AK115">
        <v>33.6</v>
      </c>
      <c r="AL115">
        <v>1</v>
      </c>
      <c r="AN115">
        <v>0</v>
      </c>
      <c r="AO115">
        <v>1</v>
      </c>
      <c r="AP115">
        <v>1</v>
      </c>
      <c r="AQ115">
        <v>0</v>
      </c>
      <c r="AR115">
        <v>0</v>
      </c>
      <c r="AS115" t="s">
        <v>3</v>
      </c>
      <c r="AT115">
        <v>5.08</v>
      </c>
      <c r="AU115" t="s">
        <v>3</v>
      </c>
      <c r="AV115">
        <v>0</v>
      </c>
      <c r="AW115">
        <v>2</v>
      </c>
      <c r="AX115">
        <v>36514403</v>
      </c>
      <c r="AY115">
        <v>1</v>
      </c>
      <c r="AZ115">
        <v>0</v>
      </c>
      <c r="BA115">
        <v>116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0</v>
      </c>
      <c r="BL115">
        <v>0</v>
      </c>
      <c r="BM115">
        <v>0</v>
      </c>
      <c r="BN115">
        <v>0</v>
      </c>
      <c r="BO115">
        <v>0</v>
      </c>
      <c r="BP115">
        <v>0</v>
      </c>
      <c r="BQ115">
        <v>0</v>
      </c>
      <c r="BR115">
        <v>0</v>
      </c>
      <c r="BS115">
        <v>0</v>
      </c>
      <c r="BT115">
        <v>0</v>
      </c>
      <c r="BU115">
        <v>0</v>
      </c>
      <c r="BV115">
        <v>0</v>
      </c>
      <c r="BW115">
        <v>0</v>
      </c>
      <c r="CX115">
        <f>Y115*Source!I193</f>
        <v>7.7724000000000002</v>
      </c>
      <c r="CY115">
        <f>AB115</f>
        <v>5.0599999999999996</v>
      </c>
      <c r="CZ115">
        <f>AF115</f>
        <v>1.53</v>
      </c>
      <c r="DA115">
        <f>AJ115</f>
        <v>3.31</v>
      </c>
      <c r="DB115">
        <f>ROUND(ROUND(AT115*CZ115,2),6)</f>
        <v>7.77</v>
      </c>
      <c r="DC115">
        <f>ROUND(ROUND(AT115*AG115,2),6)</f>
        <v>0</v>
      </c>
    </row>
    <row r="116" spans="1:107">
      <c r="A116">
        <f>ROW(Source!A194)</f>
        <v>194</v>
      </c>
      <c r="B116">
        <v>35841400</v>
      </c>
      <c r="C116">
        <v>36514404</v>
      </c>
      <c r="D116">
        <v>18410572</v>
      </c>
      <c r="E116">
        <v>1</v>
      </c>
      <c r="F116">
        <v>1</v>
      </c>
      <c r="G116">
        <v>1</v>
      </c>
      <c r="H116">
        <v>1</v>
      </c>
      <c r="I116" t="s">
        <v>516</v>
      </c>
      <c r="J116" t="s">
        <v>3</v>
      </c>
      <c r="K116" t="s">
        <v>517</v>
      </c>
      <c r="L116">
        <v>1369</v>
      </c>
      <c r="N116">
        <v>1013</v>
      </c>
      <c r="O116" t="s">
        <v>361</v>
      </c>
      <c r="P116" t="s">
        <v>361</v>
      </c>
      <c r="Q116">
        <v>1</v>
      </c>
      <c r="W116">
        <v>0</v>
      </c>
      <c r="X116">
        <v>-546915240</v>
      </c>
      <c r="Y116">
        <v>196.36249999999998</v>
      </c>
      <c r="AA116">
        <v>0</v>
      </c>
      <c r="AB116">
        <v>0</v>
      </c>
      <c r="AC116">
        <v>0</v>
      </c>
      <c r="AD116">
        <v>290.04000000000002</v>
      </c>
      <c r="AE116">
        <v>0</v>
      </c>
      <c r="AF116">
        <v>0</v>
      </c>
      <c r="AG116">
        <v>0</v>
      </c>
      <c r="AH116">
        <v>290.04000000000002</v>
      </c>
      <c r="AI116">
        <v>1</v>
      </c>
      <c r="AJ116">
        <v>1</v>
      </c>
      <c r="AK116">
        <v>1</v>
      </c>
      <c r="AL116">
        <v>1</v>
      </c>
      <c r="AN116">
        <v>0</v>
      </c>
      <c r="AO116">
        <v>1</v>
      </c>
      <c r="AP116">
        <v>1</v>
      </c>
      <c r="AQ116">
        <v>0</v>
      </c>
      <c r="AR116">
        <v>0</v>
      </c>
      <c r="AS116" t="s">
        <v>3</v>
      </c>
      <c r="AT116">
        <v>170.75</v>
      </c>
      <c r="AU116" t="s">
        <v>114</v>
      </c>
      <c r="AV116">
        <v>1</v>
      </c>
      <c r="AW116">
        <v>2</v>
      </c>
      <c r="AX116">
        <v>36514405</v>
      </c>
      <c r="AY116">
        <v>2</v>
      </c>
      <c r="AZ116">
        <v>131072</v>
      </c>
      <c r="BA116">
        <v>117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0</v>
      </c>
      <c r="BI116">
        <v>0</v>
      </c>
      <c r="BJ116">
        <v>0</v>
      </c>
      <c r="BK116">
        <v>0</v>
      </c>
      <c r="BL116">
        <v>0</v>
      </c>
      <c r="BM116">
        <v>0</v>
      </c>
      <c r="BN116">
        <v>0</v>
      </c>
      <c r="BO116">
        <v>0</v>
      </c>
      <c r="BP116">
        <v>0</v>
      </c>
      <c r="BQ116">
        <v>0</v>
      </c>
      <c r="BR116">
        <v>0</v>
      </c>
      <c r="BS116">
        <v>0</v>
      </c>
      <c r="BT116">
        <v>0</v>
      </c>
      <c r="BU116">
        <v>0</v>
      </c>
      <c r="BV116">
        <v>0</v>
      </c>
      <c r="BW116">
        <v>0</v>
      </c>
      <c r="CX116">
        <f>Y116*Source!I194</f>
        <v>3.9272499999999999</v>
      </c>
      <c r="CY116">
        <f>AD116</f>
        <v>290.04000000000002</v>
      </c>
      <c r="CZ116">
        <f>AH116</f>
        <v>290.04000000000002</v>
      </c>
      <c r="DA116">
        <f>AL116</f>
        <v>1</v>
      </c>
      <c r="DB116">
        <f>ROUND((ROUND(AT116*CZ116,2)*1.15),6)</f>
        <v>56952.979500000001</v>
      </c>
      <c r="DC116">
        <f>ROUND((ROUND(AT116*AG116,2)*1.15),6)</f>
        <v>0</v>
      </c>
    </row>
    <row r="117" spans="1:107">
      <c r="A117">
        <f>ROW(Source!A194)</f>
        <v>194</v>
      </c>
      <c r="B117">
        <v>35841400</v>
      </c>
      <c r="C117">
        <v>36514404</v>
      </c>
      <c r="D117">
        <v>121548</v>
      </c>
      <c r="E117">
        <v>1</v>
      </c>
      <c r="F117">
        <v>1</v>
      </c>
      <c r="G117">
        <v>1</v>
      </c>
      <c r="H117">
        <v>1</v>
      </c>
      <c r="I117" t="s">
        <v>213</v>
      </c>
      <c r="J117" t="s">
        <v>3</v>
      </c>
      <c r="K117" t="s">
        <v>362</v>
      </c>
      <c r="L117">
        <v>608254</v>
      </c>
      <c r="N117">
        <v>1013</v>
      </c>
      <c r="O117" t="s">
        <v>363</v>
      </c>
      <c r="P117" t="s">
        <v>363</v>
      </c>
      <c r="Q117">
        <v>1</v>
      </c>
      <c r="W117">
        <v>0</v>
      </c>
      <c r="X117">
        <v>-185737400</v>
      </c>
      <c r="Y117">
        <v>1.76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1</v>
      </c>
      <c r="AJ117">
        <v>1</v>
      </c>
      <c r="AK117">
        <v>1</v>
      </c>
      <c r="AL117">
        <v>1</v>
      </c>
      <c r="AN117">
        <v>0</v>
      </c>
      <c r="AO117">
        <v>1</v>
      </c>
      <c r="AP117">
        <v>1</v>
      </c>
      <c r="AQ117">
        <v>0</v>
      </c>
      <c r="AR117">
        <v>0</v>
      </c>
      <c r="AS117" t="s">
        <v>3</v>
      </c>
      <c r="AT117">
        <v>1.76</v>
      </c>
      <c r="AU117" t="s">
        <v>3</v>
      </c>
      <c r="AV117">
        <v>2</v>
      </c>
      <c r="AW117">
        <v>2</v>
      </c>
      <c r="AX117">
        <v>36514406</v>
      </c>
      <c r="AY117">
        <v>1</v>
      </c>
      <c r="AZ117">
        <v>0</v>
      </c>
      <c r="BA117">
        <v>118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0</v>
      </c>
      <c r="BI117">
        <v>0</v>
      </c>
      <c r="BJ117">
        <v>0</v>
      </c>
      <c r="BK117">
        <v>0</v>
      </c>
      <c r="BL117">
        <v>0</v>
      </c>
      <c r="BM117">
        <v>0</v>
      </c>
      <c r="BN117">
        <v>0</v>
      </c>
      <c r="BO117">
        <v>0</v>
      </c>
      <c r="BP117">
        <v>0</v>
      </c>
      <c r="BQ117">
        <v>0</v>
      </c>
      <c r="BR117">
        <v>0</v>
      </c>
      <c r="BS117">
        <v>0</v>
      </c>
      <c r="BT117">
        <v>0</v>
      </c>
      <c r="BU117">
        <v>0</v>
      </c>
      <c r="BV117">
        <v>0</v>
      </c>
      <c r="BW117">
        <v>0</v>
      </c>
      <c r="CX117">
        <f>Y117*Source!I194</f>
        <v>3.5200000000000002E-2</v>
      </c>
      <c r="CY117">
        <f>AD117</f>
        <v>0</v>
      </c>
      <c r="CZ117">
        <f>AH117</f>
        <v>0</v>
      </c>
      <c r="DA117">
        <f>AL117</f>
        <v>1</v>
      </c>
      <c r="DB117">
        <f t="shared" ref="DB117:DB129" si="19">ROUND(ROUND(AT117*CZ117,2),6)</f>
        <v>0</v>
      </c>
      <c r="DC117">
        <f t="shared" ref="DC117:DC129" si="20">ROUND(ROUND(AT117*AG117,2),6)</f>
        <v>0</v>
      </c>
    </row>
    <row r="118" spans="1:107">
      <c r="A118">
        <f>ROW(Source!A194)</f>
        <v>194</v>
      </c>
      <c r="B118">
        <v>35841400</v>
      </c>
      <c r="C118">
        <v>36514404</v>
      </c>
      <c r="D118">
        <v>29172556</v>
      </c>
      <c r="E118">
        <v>1</v>
      </c>
      <c r="F118">
        <v>1</v>
      </c>
      <c r="G118">
        <v>1</v>
      </c>
      <c r="H118">
        <v>2</v>
      </c>
      <c r="I118" t="s">
        <v>364</v>
      </c>
      <c r="J118" t="s">
        <v>365</v>
      </c>
      <c r="K118" t="s">
        <v>366</v>
      </c>
      <c r="L118">
        <v>1368</v>
      </c>
      <c r="N118">
        <v>1011</v>
      </c>
      <c r="O118" t="s">
        <v>367</v>
      </c>
      <c r="P118" t="s">
        <v>367</v>
      </c>
      <c r="Q118">
        <v>1</v>
      </c>
      <c r="W118">
        <v>0</v>
      </c>
      <c r="X118">
        <v>344519037</v>
      </c>
      <c r="Y118">
        <v>1.76</v>
      </c>
      <c r="AA118">
        <v>0</v>
      </c>
      <c r="AB118">
        <v>466.71</v>
      </c>
      <c r="AC118">
        <v>453.6</v>
      </c>
      <c r="AD118">
        <v>0</v>
      </c>
      <c r="AE118">
        <v>0</v>
      </c>
      <c r="AF118">
        <v>31.26</v>
      </c>
      <c r="AG118">
        <v>13.5</v>
      </c>
      <c r="AH118">
        <v>0</v>
      </c>
      <c r="AI118">
        <v>1</v>
      </c>
      <c r="AJ118">
        <v>14.93</v>
      </c>
      <c r="AK118">
        <v>33.6</v>
      </c>
      <c r="AL118">
        <v>1</v>
      </c>
      <c r="AN118">
        <v>0</v>
      </c>
      <c r="AO118">
        <v>1</v>
      </c>
      <c r="AP118">
        <v>1</v>
      </c>
      <c r="AQ118">
        <v>0</v>
      </c>
      <c r="AR118">
        <v>0</v>
      </c>
      <c r="AS118" t="s">
        <v>3</v>
      </c>
      <c r="AT118">
        <v>1.76</v>
      </c>
      <c r="AU118" t="s">
        <v>3</v>
      </c>
      <c r="AV118">
        <v>0</v>
      </c>
      <c r="AW118">
        <v>2</v>
      </c>
      <c r="AX118">
        <v>36514407</v>
      </c>
      <c r="AY118">
        <v>1</v>
      </c>
      <c r="AZ118">
        <v>0</v>
      </c>
      <c r="BA118">
        <v>119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0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0</v>
      </c>
      <c r="BO118">
        <v>0</v>
      </c>
      <c r="BP118">
        <v>0</v>
      </c>
      <c r="BQ118">
        <v>0</v>
      </c>
      <c r="BR118">
        <v>0</v>
      </c>
      <c r="BS118">
        <v>0</v>
      </c>
      <c r="BT118">
        <v>0</v>
      </c>
      <c r="BU118">
        <v>0</v>
      </c>
      <c r="BV118">
        <v>0</v>
      </c>
      <c r="BW118">
        <v>0</v>
      </c>
      <c r="CX118">
        <f>Y118*Source!I194</f>
        <v>3.5200000000000002E-2</v>
      </c>
      <c r="CY118">
        <f>AB118</f>
        <v>466.71</v>
      </c>
      <c r="CZ118">
        <f>AF118</f>
        <v>31.26</v>
      </c>
      <c r="DA118">
        <f>AJ118</f>
        <v>14.93</v>
      </c>
      <c r="DB118">
        <f t="shared" si="19"/>
        <v>55.02</v>
      </c>
      <c r="DC118">
        <f t="shared" si="20"/>
        <v>23.76</v>
      </c>
    </row>
    <row r="119" spans="1:107">
      <c r="A119">
        <f>ROW(Source!A194)</f>
        <v>194</v>
      </c>
      <c r="B119">
        <v>35841400</v>
      </c>
      <c r="C119">
        <v>36514404</v>
      </c>
      <c r="D119">
        <v>29173472</v>
      </c>
      <c r="E119">
        <v>1</v>
      </c>
      <c r="F119">
        <v>1</v>
      </c>
      <c r="G119">
        <v>1</v>
      </c>
      <c r="H119">
        <v>2</v>
      </c>
      <c r="I119" t="s">
        <v>396</v>
      </c>
      <c r="J119" t="s">
        <v>397</v>
      </c>
      <c r="K119" t="s">
        <v>398</v>
      </c>
      <c r="L119">
        <v>1368</v>
      </c>
      <c r="N119">
        <v>1011</v>
      </c>
      <c r="O119" t="s">
        <v>367</v>
      </c>
      <c r="P119" t="s">
        <v>367</v>
      </c>
      <c r="Q119">
        <v>1</v>
      </c>
      <c r="W119">
        <v>0</v>
      </c>
      <c r="X119">
        <v>-1937814132</v>
      </c>
      <c r="Y119">
        <v>9.81</v>
      </c>
      <c r="AA119">
        <v>0</v>
      </c>
      <c r="AB119">
        <v>12.75</v>
      </c>
      <c r="AC119">
        <v>0</v>
      </c>
      <c r="AD119">
        <v>0</v>
      </c>
      <c r="AE119">
        <v>0</v>
      </c>
      <c r="AF119">
        <v>3</v>
      </c>
      <c r="AG119">
        <v>0</v>
      </c>
      <c r="AH119">
        <v>0</v>
      </c>
      <c r="AI119">
        <v>1</v>
      </c>
      <c r="AJ119">
        <v>4.25</v>
      </c>
      <c r="AK119">
        <v>33.6</v>
      </c>
      <c r="AL119">
        <v>1</v>
      </c>
      <c r="AN119">
        <v>0</v>
      </c>
      <c r="AO119">
        <v>1</v>
      </c>
      <c r="AP119">
        <v>1</v>
      </c>
      <c r="AQ119">
        <v>0</v>
      </c>
      <c r="AR119">
        <v>0</v>
      </c>
      <c r="AS119" t="s">
        <v>3</v>
      </c>
      <c r="AT119">
        <v>9.81</v>
      </c>
      <c r="AU119" t="s">
        <v>3</v>
      </c>
      <c r="AV119">
        <v>0</v>
      </c>
      <c r="AW119">
        <v>2</v>
      </c>
      <c r="AX119">
        <v>36514408</v>
      </c>
      <c r="AY119">
        <v>1</v>
      </c>
      <c r="AZ119">
        <v>0</v>
      </c>
      <c r="BA119">
        <v>120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0</v>
      </c>
      <c r="BI119">
        <v>0</v>
      </c>
      <c r="BJ119">
        <v>0</v>
      </c>
      <c r="BK119">
        <v>0</v>
      </c>
      <c r="BL119">
        <v>0</v>
      </c>
      <c r="BM119">
        <v>0</v>
      </c>
      <c r="BN119">
        <v>0</v>
      </c>
      <c r="BO119">
        <v>0</v>
      </c>
      <c r="BP119">
        <v>0</v>
      </c>
      <c r="BQ119">
        <v>0</v>
      </c>
      <c r="BR119">
        <v>0</v>
      </c>
      <c r="BS119">
        <v>0</v>
      </c>
      <c r="BT119">
        <v>0</v>
      </c>
      <c r="BU119">
        <v>0</v>
      </c>
      <c r="BV119">
        <v>0</v>
      </c>
      <c r="BW119">
        <v>0</v>
      </c>
      <c r="CX119">
        <f>Y119*Source!I194</f>
        <v>0.19620000000000001</v>
      </c>
      <c r="CY119">
        <f>AB119</f>
        <v>12.75</v>
      </c>
      <c r="CZ119">
        <f>AF119</f>
        <v>3</v>
      </c>
      <c r="DA119">
        <f>AJ119</f>
        <v>4.25</v>
      </c>
      <c r="DB119">
        <f t="shared" si="19"/>
        <v>29.43</v>
      </c>
      <c r="DC119">
        <f t="shared" si="20"/>
        <v>0</v>
      </c>
    </row>
    <row r="120" spans="1:107">
      <c r="A120">
        <f>ROW(Source!A194)</f>
        <v>194</v>
      </c>
      <c r="B120">
        <v>35841400</v>
      </c>
      <c r="C120">
        <v>36514404</v>
      </c>
      <c r="D120">
        <v>29174580</v>
      </c>
      <c r="E120">
        <v>1</v>
      </c>
      <c r="F120">
        <v>1</v>
      </c>
      <c r="G120">
        <v>1</v>
      </c>
      <c r="H120">
        <v>2</v>
      </c>
      <c r="I120" t="s">
        <v>402</v>
      </c>
      <c r="J120" t="s">
        <v>403</v>
      </c>
      <c r="K120" t="s">
        <v>404</v>
      </c>
      <c r="L120">
        <v>1368</v>
      </c>
      <c r="N120">
        <v>1011</v>
      </c>
      <c r="O120" t="s">
        <v>367</v>
      </c>
      <c r="P120" t="s">
        <v>367</v>
      </c>
      <c r="Q120">
        <v>1</v>
      </c>
      <c r="W120">
        <v>0</v>
      </c>
      <c r="X120">
        <v>-991672839</v>
      </c>
      <c r="Y120">
        <v>15.12</v>
      </c>
      <c r="AA120">
        <v>0</v>
      </c>
      <c r="AB120">
        <v>31.87</v>
      </c>
      <c r="AC120">
        <v>0</v>
      </c>
      <c r="AD120">
        <v>0</v>
      </c>
      <c r="AE120">
        <v>0</v>
      </c>
      <c r="AF120">
        <v>2.08</v>
      </c>
      <c r="AG120">
        <v>0</v>
      </c>
      <c r="AH120">
        <v>0</v>
      </c>
      <c r="AI120">
        <v>1</v>
      </c>
      <c r="AJ120">
        <v>15.32</v>
      </c>
      <c r="AK120">
        <v>33.6</v>
      </c>
      <c r="AL120">
        <v>1</v>
      </c>
      <c r="AN120">
        <v>0</v>
      </c>
      <c r="AO120">
        <v>1</v>
      </c>
      <c r="AP120">
        <v>1</v>
      </c>
      <c r="AQ120">
        <v>0</v>
      </c>
      <c r="AR120">
        <v>0</v>
      </c>
      <c r="AS120" t="s">
        <v>3</v>
      </c>
      <c r="AT120">
        <v>15.12</v>
      </c>
      <c r="AU120" t="s">
        <v>3</v>
      </c>
      <c r="AV120">
        <v>0</v>
      </c>
      <c r="AW120">
        <v>2</v>
      </c>
      <c r="AX120">
        <v>36514409</v>
      </c>
      <c r="AY120">
        <v>1</v>
      </c>
      <c r="AZ120">
        <v>0</v>
      </c>
      <c r="BA120">
        <v>121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0</v>
      </c>
      <c r="BI120">
        <v>0</v>
      </c>
      <c r="BJ120">
        <v>0</v>
      </c>
      <c r="BK120">
        <v>0</v>
      </c>
      <c r="BL120">
        <v>0</v>
      </c>
      <c r="BM120">
        <v>0</v>
      </c>
      <c r="BN120">
        <v>0</v>
      </c>
      <c r="BO120">
        <v>0</v>
      </c>
      <c r="BP120">
        <v>0</v>
      </c>
      <c r="BQ120">
        <v>0</v>
      </c>
      <c r="BR120">
        <v>0</v>
      </c>
      <c r="BS120">
        <v>0</v>
      </c>
      <c r="BT120">
        <v>0</v>
      </c>
      <c r="BU120">
        <v>0</v>
      </c>
      <c r="BV120">
        <v>0</v>
      </c>
      <c r="BW120">
        <v>0</v>
      </c>
      <c r="CX120">
        <f>Y120*Source!I194</f>
        <v>0.3024</v>
      </c>
      <c r="CY120">
        <f>AB120</f>
        <v>31.87</v>
      </c>
      <c r="CZ120">
        <f>AF120</f>
        <v>2.08</v>
      </c>
      <c r="DA120">
        <f>AJ120</f>
        <v>15.32</v>
      </c>
      <c r="DB120">
        <f t="shared" si="19"/>
        <v>31.45</v>
      </c>
      <c r="DC120">
        <f t="shared" si="20"/>
        <v>0</v>
      </c>
    </row>
    <row r="121" spans="1:107">
      <c r="A121">
        <f>ROW(Source!A194)</f>
        <v>194</v>
      </c>
      <c r="B121">
        <v>35841400</v>
      </c>
      <c r="C121">
        <v>36514404</v>
      </c>
      <c r="D121">
        <v>29174913</v>
      </c>
      <c r="E121">
        <v>1</v>
      </c>
      <c r="F121">
        <v>1</v>
      </c>
      <c r="G121">
        <v>1</v>
      </c>
      <c r="H121">
        <v>2</v>
      </c>
      <c r="I121" t="s">
        <v>381</v>
      </c>
      <c r="J121" t="s">
        <v>382</v>
      </c>
      <c r="K121" t="s">
        <v>383</v>
      </c>
      <c r="L121">
        <v>1368</v>
      </c>
      <c r="N121">
        <v>1011</v>
      </c>
      <c r="O121" t="s">
        <v>367</v>
      </c>
      <c r="P121" t="s">
        <v>367</v>
      </c>
      <c r="Q121">
        <v>1</v>
      </c>
      <c r="W121">
        <v>0</v>
      </c>
      <c r="X121">
        <v>1230759911</v>
      </c>
      <c r="Y121">
        <v>3.57</v>
      </c>
      <c r="AA121">
        <v>0</v>
      </c>
      <c r="AB121">
        <v>932.72</v>
      </c>
      <c r="AC121">
        <v>389.76</v>
      </c>
      <c r="AD121">
        <v>0</v>
      </c>
      <c r="AE121">
        <v>0</v>
      </c>
      <c r="AF121">
        <v>87.17</v>
      </c>
      <c r="AG121">
        <v>11.6</v>
      </c>
      <c r="AH121">
        <v>0</v>
      </c>
      <c r="AI121">
        <v>1</v>
      </c>
      <c r="AJ121">
        <v>10.7</v>
      </c>
      <c r="AK121">
        <v>33.6</v>
      </c>
      <c r="AL121">
        <v>1</v>
      </c>
      <c r="AN121">
        <v>0</v>
      </c>
      <c r="AO121">
        <v>1</v>
      </c>
      <c r="AP121">
        <v>1</v>
      </c>
      <c r="AQ121">
        <v>0</v>
      </c>
      <c r="AR121">
        <v>0</v>
      </c>
      <c r="AS121" t="s">
        <v>3</v>
      </c>
      <c r="AT121">
        <v>3.57</v>
      </c>
      <c r="AU121" t="s">
        <v>3</v>
      </c>
      <c r="AV121">
        <v>0</v>
      </c>
      <c r="AW121">
        <v>2</v>
      </c>
      <c r="AX121">
        <v>36514410</v>
      </c>
      <c r="AY121">
        <v>1</v>
      </c>
      <c r="AZ121">
        <v>0</v>
      </c>
      <c r="BA121">
        <v>122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0</v>
      </c>
      <c r="BI121">
        <v>0</v>
      </c>
      <c r="BJ121">
        <v>0</v>
      </c>
      <c r="BK121">
        <v>0</v>
      </c>
      <c r="BL121">
        <v>0</v>
      </c>
      <c r="BM121">
        <v>0</v>
      </c>
      <c r="BN121">
        <v>0</v>
      </c>
      <c r="BO121">
        <v>0</v>
      </c>
      <c r="BP121">
        <v>0</v>
      </c>
      <c r="BQ121">
        <v>0</v>
      </c>
      <c r="BR121">
        <v>0</v>
      </c>
      <c r="BS121">
        <v>0</v>
      </c>
      <c r="BT121">
        <v>0</v>
      </c>
      <c r="BU121">
        <v>0</v>
      </c>
      <c r="BV121">
        <v>0</v>
      </c>
      <c r="BW121">
        <v>0</v>
      </c>
      <c r="CX121">
        <f>Y121*Source!I194</f>
        <v>7.1400000000000005E-2</v>
      </c>
      <c r="CY121">
        <f>AB121</f>
        <v>932.72</v>
      </c>
      <c r="CZ121">
        <f>AF121</f>
        <v>87.17</v>
      </c>
      <c r="DA121">
        <f>AJ121</f>
        <v>10.7</v>
      </c>
      <c r="DB121">
        <f t="shared" si="19"/>
        <v>311.2</v>
      </c>
      <c r="DC121">
        <f t="shared" si="20"/>
        <v>41.41</v>
      </c>
    </row>
    <row r="122" spans="1:107">
      <c r="A122">
        <f>ROW(Source!A194)</f>
        <v>194</v>
      </c>
      <c r="B122">
        <v>35841400</v>
      </c>
      <c r="C122">
        <v>36514404</v>
      </c>
      <c r="D122">
        <v>29110827</v>
      </c>
      <c r="E122">
        <v>1</v>
      </c>
      <c r="F122">
        <v>1</v>
      </c>
      <c r="G122">
        <v>1</v>
      </c>
      <c r="H122">
        <v>3</v>
      </c>
      <c r="I122" t="s">
        <v>518</v>
      </c>
      <c r="J122" t="s">
        <v>519</v>
      </c>
      <c r="K122" t="s">
        <v>520</v>
      </c>
      <c r="L122">
        <v>1301</v>
      </c>
      <c r="N122">
        <v>1003</v>
      </c>
      <c r="O122" t="s">
        <v>238</v>
      </c>
      <c r="P122" t="s">
        <v>238</v>
      </c>
      <c r="Q122">
        <v>1</v>
      </c>
      <c r="W122">
        <v>0</v>
      </c>
      <c r="X122">
        <v>-115581563</v>
      </c>
      <c r="Y122">
        <v>347</v>
      </c>
      <c r="AA122">
        <v>19.329999999999998</v>
      </c>
      <c r="AB122">
        <v>0</v>
      </c>
      <c r="AC122">
        <v>0</v>
      </c>
      <c r="AD122">
        <v>0</v>
      </c>
      <c r="AE122">
        <v>6.4</v>
      </c>
      <c r="AF122">
        <v>0</v>
      </c>
      <c r="AG122">
        <v>0</v>
      </c>
      <c r="AH122">
        <v>0</v>
      </c>
      <c r="AI122">
        <v>3.02</v>
      </c>
      <c r="AJ122">
        <v>1</v>
      </c>
      <c r="AK122">
        <v>1</v>
      </c>
      <c r="AL122">
        <v>1</v>
      </c>
      <c r="AN122">
        <v>0</v>
      </c>
      <c r="AO122">
        <v>1</v>
      </c>
      <c r="AP122">
        <v>0</v>
      </c>
      <c r="AQ122">
        <v>0</v>
      </c>
      <c r="AR122">
        <v>0</v>
      </c>
      <c r="AS122" t="s">
        <v>3</v>
      </c>
      <c r="AT122">
        <v>347</v>
      </c>
      <c r="AU122" t="s">
        <v>3</v>
      </c>
      <c r="AV122">
        <v>0</v>
      </c>
      <c r="AW122">
        <v>2</v>
      </c>
      <c r="AX122">
        <v>36514411</v>
      </c>
      <c r="AY122">
        <v>1</v>
      </c>
      <c r="AZ122">
        <v>0</v>
      </c>
      <c r="BA122">
        <v>123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0</v>
      </c>
      <c r="BI122">
        <v>0</v>
      </c>
      <c r="BJ122">
        <v>0</v>
      </c>
      <c r="BK122">
        <v>0</v>
      </c>
      <c r="BL122">
        <v>0</v>
      </c>
      <c r="BM122">
        <v>0</v>
      </c>
      <c r="BN122">
        <v>0</v>
      </c>
      <c r="BO122">
        <v>0</v>
      </c>
      <c r="BP122">
        <v>0</v>
      </c>
      <c r="BQ122">
        <v>0</v>
      </c>
      <c r="BR122">
        <v>0</v>
      </c>
      <c r="BS122">
        <v>0</v>
      </c>
      <c r="BT122">
        <v>0</v>
      </c>
      <c r="BU122">
        <v>0</v>
      </c>
      <c r="BV122">
        <v>0</v>
      </c>
      <c r="BW122">
        <v>0</v>
      </c>
      <c r="CX122">
        <f>Y122*Source!I194</f>
        <v>6.94</v>
      </c>
      <c r="CY122">
        <f t="shared" ref="CY122:CY129" si="21">AA122</f>
        <v>19.329999999999998</v>
      </c>
      <c r="CZ122">
        <f t="shared" ref="CZ122:CZ129" si="22">AE122</f>
        <v>6.4</v>
      </c>
      <c r="DA122">
        <f t="shared" ref="DA122:DA129" si="23">AI122</f>
        <v>3.02</v>
      </c>
      <c r="DB122">
        <f t="shared" si="19"/>
        <v>2220.8000000000002</v>
      </c>
      <c r="DC122">
        <f t="shared" si="20"/>
        <v>0</v>
      </c>
    </row>
    <row r="123" spans="1:107">
      <c r="A123">
        <f>ROW(Source!A194)</f>
        <v>194</v>
      </c>
      <c r="B123">
        <v>35841400</v>
      </c>
      <c r="C123">
        <v>36514404</v>
      </c>
      <c r="D123">
        <v>29110828</v>
      </c>
      <c r="E123">
        <v>1</v>
      </c>
      <c r="F123">
        <v>1</v>
      </c>
      <c r="G123">
        <v>1</v>
      </c>
      <c r="H123">
        <v>3</v>
      </c>
      <c r="I123" t="s">
        <v>521</v>
      </c>
      <c r="J123" t="s">
        <v>522</v>
      </c>
      <c r="K123" t="s">
        <v>523</v>
      </c>
      <c r="L123">
        <v>1301</v>
      </c>
      <c r="N123">
        <v>1003</v>
      </c>
      <c r="O123" t="s">
        <v>238</v>
      </c>
      <c r="P123" t="s">
        <v>238</v>
      </c>
      <c r="Q123">
        <v>1</v>
      </c>
      <c r="W123">
        <v>0</v>
      </c>
      <c r="X123">
        <v>1663450262</v>
      </c>
      <c r="Y123">
        <v>71</v>
      </c>
      <c r="AA123">
        <v>34.840000000000003</v>
      </c>
      <c r="AB123">
        <v>0</v>
      </c>
      <c r="AC123">
        <v>0</v>
      </c>
      <c r="AD123">
        <v>0</v>
      </c>
      <c r="AE123">
        <v>7.99</v>
      </c>
      <c r="AF123">
        <v>0</v>
      </c>
      <c r="AG123">
        <v>0</v>
      </c>
      <c r="AH123">
        <v>0</v>
      </c>
      <c r="AI123">
        <v>4.3600000000000003</v>
      </c>
      <c r="AJ123">
        <v>1</v>
      </c>
      <c r="AK123">
        <v>1</v>
      </c>
      <c r="AL123">
        <v>1</v>
      </c>
      <c r="AN123">
        <v>0</v>
      </c>
      <c r="AO123">
        <v>1</v>
      </c>
      <c r="AP123">
        <v>0</v>
      </c>
      <c r="AQ123">
        <v>0</v>
      </c>
      <c r="AR123">
        <v>0</v>
      </c>
      <c r="AS123" t="s">
        <v>3</v>
      </c>
      <c r="AT123">
        <v>71</v>
      </c>
      <c r="AU123" t="s">
        <v>3</v>
      </c>
      <c r="AV123">
        <v>0</v>
      </c>
      <c r="AW123">
        <v>2</v>
      </c>
      <c r="AX123">
        <v>36514412</v>
      </c>
      <c r="AY123">
        <v>1</v>
      </c>
      <c r="AZ123">
        <v>0</v>
      </c>
      <c r="BA123">
        <v>124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0</v>
      </c>
      <c r="BI123">
        <v>0</v>
      </c>
      <c r="BJ123">
        <v>0</v>
      </c>
      <c r="BK123">
        <v>0</v>
      </c>
      <c r="BL123">
        <v>0</v>
      </c>
      <c r="BM123">
        <v>0</v>
      </c>
      <c r="BN123">
        <v>0</v>
      </c>
      <c r="BO123">
        <v>0</v>
      </c>
      <c r="BP123">
        <v>0</v>
      </c>
      <c r="BQ123">
        <v>0</v>
      </c>
      <c r="BR123">
        <v>0</v>
      </c>
      <c r="BS123">
        <v>0</v>
      </c>
      <c r="BT123">
        <v>0</v>
      </c>
      <c r="BU123">
        <v>0</v>
      </c>
      <c r="BV123">
        <v>0</v>
      </c>
      <c r="BW123">
        <v>0</v>
      </c>
      <c r="CX123">
        <f>Y123*Source!I194</f>
        <v>1.42</v>
      </c>
      <c r="CY123">
        <f t="shared" si="21"/>
        <v>34.840000000000003</v>
      </c>
      <c r="CZ123">
        <f t="shared" si="22"/>
        <v>7.99</v>
      </c>
      <c r="DA123">
        <f t="shared" si="23"/>
        <v>4.3600000000000003</v>
      </c>
      <c r="DB123">
        <f t="shared" si="19"/>
        <v>567.29</v>
      </c>
      <c r="DC123">
        <f t="shared" si="20"/>
        <v>0</v>
      </c>
    </row>
    <row r="124" spans="1:107">
      <c r="A124">
        <f>ROW(Source!A194)</f>
        <v>194</v>
      </c>
      <c r="B124">
        <v>35841400</v>
      </c>
      <c r="C124">
        <v>36514404</v>
      </c>
      <c r="D124">
        <v>29108696</v>
      </c>
      <c r="E124">
        <v>1</v>
      </c>
      <c r="F124">
        <v>1</v>
      </c>
      <c r="G124">
        <v>1</v>
      </c>
      <c r="H124">
        <v>3</v>
      </c>
      <c r="I124" t="s">
        <v>524</v>
      </c>
      <c r="J124" t="s">
        <v>525</v>
      </c>
      <c r="K124" t="s">
        <v>526</v>
      </c>
      <c r="L124">
        <v>1354</v>
      </c>
      <c r="N124">
        <v>1010</v>
      </c>
      <c r="O124" t="s">
        <v>195</v>
      </c>
      <c r="P124" t="s">
        <v>195</v>
      </c>
      <c r="Q124">
        <v>1</v>
      </c>
      <c r="W124">
        <v>0</v>
      </c>
      <c r="X124">
        <v>-393423820</v>
      </c>
      <c r="Y124">
        <v>92</v>
      </c>
      <c r="AA124">
        <v>313.2</v>
      </c>
      <c r="AB124">
        <v>0</v>
      </c>
      <c r="AC124">
        <v>0</v>
      </c>
      <c r="AD124">
        <v>0</v>
      </c>
      <c r="AE124">
        <v>67.209999999999994</v>
      </c>
      <c r="AF124">
        <v>0</v>
      </c>
      <c r="AG124">
        <v>0</v>
      </c>
      <c r="AH124">
        <v>0</v>
      </c>
      <c r="AI124">
        <v>4.66</v>
      </c>
      <c r="AJ124">
        <v>1</v>
      </c>
      <c r="AK124">
        <v>1</v>
      </c>
      <c r="AL124">
        <v>1</v>
      </c>
      <c r="AN124">
        <v>0</v>
      </c>
      <c r="AO124">
        <v>1</v>
      </c>
      <c r="AP124">
        <v>0</v>
      </c>
      <c r="AQ124">
        <v>0</v>
      </c>
      <c r="AR124">
        <v>0</v>
      </c>
      <c r="AS124" t="s">
        <v>3</v>
      </c>
      <c r="AT124">
        <v>92</v>
      </c>
      <c r="AU124" t="s">
        <v>3</v>
      </c>
      <c r="AV124">
        <v>0</v>
      </c>
      <c r="AW124">
        <v>2</v>
      </c>
      <c r="AX124">
        <v>36514413</v>
      </c>
      <c r="AY124">
        <v>1</v>
      </c>
      <c r="AZ124">
        <v>0</v>
      </c>
      <c r="BA124">
        <v>125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0</v>
      </c>
      <c r="BI124">
        <v>0</v>
      </c>
      <c r="BJ124">
        <v>0</v>
      </c>
      <c r="BK124">
        <v>0</v>
      </c>
      <c r="BL124">
        <v>0</v>
      </c>
      <c r="BM124">
        <v>0</v>
      </c>
      <c r="BN124">
        <v>0</v>
      </c>
      <c r="BO124">
        <v>0</v>
      </c>
      <c r="BP124">
        <v>0</v>
      </c>
      <c r="BQ124">
        <v>0</v>
      </c>
      <c r="BR124">
        <v>0</v>
      </c>
      <c r="BS124">
        <v>0</v>
      </c>
      <c r="BT124">
        <v>0</v>
      </c>
      <c r="BU124">
        <v>0</v>
      </c>
      <c r="BV124">
        <v>0</v>
      </c>
      <c r="BW124">
        <v>0</v>
      </c>
      <c r="CX124">
        <f>Y124*Source!I194</f>
        <v>1.84</v>
      </c>
      <c r="CY124">
        <f t="shared" si="21"/>
        <v>313.2</v>
      </c>
      <c r="CZ124">
        <f t="shared" si="22"/>
        <v>67.209999999999994</v>
      </c>
      <c r="DA124">
        <f t="shared" si="23"/>
        <v>4.66</v>
      </c>
      <c r="DB124">
        <f t="shared" si="19"/>
        <v>6183.32</v>
      </c>
      <c r="DC124">
        <f t="shared" si="20"/>
        <v>0</v>
      </c>
    </row>
    <row r="125" spans="1:107">
      <c r="A125">
        <f>ROW(Source!A194)</f>
        <v>194</v>
      </c>
      <c r="B125">
        <v>35841400</v>
      </c>
      <c r="C125">
        <v>36514404</v>
      </c>
      <c r="D125">
        <v>29110830</v>
      </c>
      <c r="E125">
        <v>1</v>
      </c>
      <c r="F125">
        <v>1</v>
      </c>
      <c r="G125">
        <v>1</v>
      </c>
      <c r="H125">
        <v>3</v>
      </c>
      <c r="I125" t="s">
        <v>527</v>
      </c>
      <c r="J125" t="s">
        <v>528</v>
      </c>
      <c r="K125" t="s">
        <v>529</v>
      </c>
      <c r="L125">
        <v>1302</v>
      </c>
      <c r="N125">
        <v>1003</v>
      </c>
      <c r="O125" t="s">
        <v>530</v>
      </c>
      <c r="P125" t="s">
        <v>530</v>
      </c>
      <c r="Q125">
        <v>10</v>
      </c>
      <c r="W125">
        <v>0</v>
      </c>
      <c r="X125">
        <v>-1955048641</v>
      </c>
      <c r="Y125">
        <v>21.4</v>
      </c>
      <c r="AA125">
        <v>195.17</v>
      </c>
      <c r="AB125">
        <v>0</v>
      </c>
      <c r="AC125">
        <v>0</v>
      </c>
      <c r="AD125">
        <v>0</v>
      </c>
      <c r="AE125">
        <v>64.2</v>
      </c>
      <c r="AF125">
        <v>0</v>
      </c>
      <c r="AG125">
        <v>0</v>
      </c>
      <c r="AH125">
        <v>0</v>
      </c>
      <c r="AI125">
        <v>3.04</v>
      </c>
      <c r="AJ125">
        <v>1</v>
      </c>
      <c r="AK125">
        <v>1</v>
      </c>
      <c r="AL125">
        <v>1</v>
      </c>
      <c r="AN125">
        <v>0</v>
      </c>
      <c r="AO125">
        <v>1</v>
      </c>
      <c r="AP125">
        <v>0</v>
      </c>
      <c r="AQ125">
        <v>0</v>
      </c>
      <c r="AR125">
        <v>0</v>
      </c>
      <c r="AS125" t="s">
        <v>3</v>
      </c>
      <c r="AT125">
        <v>21.4</v>
      </c>
      <c r="AU125" t="s">
        <v>3</v>
      </c>
      <c r="AV125">
        <v>0</v>
      </c>
      <c r="AW125">
        <v>2</v>
      </c>
      <c r="AX125">
        <v>36514414</v>
      </c>
      <c r="AY125">
        <v>1</v>
      </c>
      <c r="AZ125">
        <v>0</v>
      </c>
      <c r="BA125">
        <v>126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0</v>
      </c>
      <c r="BI125">
        <v>0</v>
      </c>
      <c r="BJ125">
        <v>0</v>
      </c>
      <c r="BK125">
        <v>0</v>
      </c>
      <c r="BL125">
        <v>0</v>
      </c>
      <c r="BM125">
        <v>0</v>
      </c>
      <c r="BN125">
        <v>0</v>
      </c>
      <c r="BO125">
        <v>0</v>
      </c>
      <c r="BP125">
        <v>0</v>
      </c>
      <c r="BQ125">
        <v>0</v>
      </c>
      <c r="BR125">
        <v>0</v>
      </c>
      <c r="BS125">
        <v>0</v>
      </c>
      <c r="BT125">
        <v>0</v>
      </c>
      <c r="BU125">
        <v>0</v>
      </c>
      <c r="BV125">
        <v>0</v>
      </c>
      <c r="BW125">
        <v>0</v>
      </c>
      <c r="CX125">
        <f>Y125*Source!I194</f>
        <v>0.42799999999999999</v>
      </c>
      <c r="CY125">
        <f t="shared" si="21"/>
        <v>195.17</v>
      </c>
      <c r="CZ125">
        <f t="shared" si="22"/>
        <v>64.2</v>
      </c>
      <c r="DA125">
        <f t="shared" si="23"/>
        <v>3.04</v>
      </c>
      <c r="DB125">
        <f t="shared" si="19"/>
        <v>1373.88</v>
      </c>
      <c r="DC125">
        <f t="shared" si="20"/>
        <v>0</v>
      </c>
    </row>
    <row r="126" spans="1:107">
      <c r="A126">
        <f>ROW(Source!A194)</f>
        <v>194</v>
      </c>
      <c r="B126">
        <v>35841400</v>
      </c>
      <c r="C126">
        <v>36514404</v>
      </c>
      <c r="D126">
        <v>29114423</v>
      </c>
      <c r="E126">
        <v>1</v>
      </c>
      <c r="F126">
        <v>1</v>
      </c>
      <c r="G126">
        <v>1</v>
      </c>
      <c r="H126">
        <v>3</v>
      </c>
      <c r="I126" t="s">
        <v>531</v>
      </c>
      <c r="J126" t="s">
        <v>532</v>
      </c>
      <c r="K126" t="s">
        <v>533</v>
      </c>
      <c r="L126">
        <v>1358</v>
      </c>
      <c r="N126">
        <v>1010</v>
      </c>
      <c r="O126" t="s">
        <v>264</v>
      </c>
      <c r="P126" t="s">
        <v>264</v>
      </c>
      <c r="Q126">
        <v>10</v>
      </c>
      <c r="W126">
        <v>0</v>
      </c>
      <c r="X126">
        <v>-1457531913</v>
      </c>
      <c r="Y126">
        <v>30.6</v>
      </c>
      <c r="AA126">
        <v>56.1</v>
      </c>
      <c r="AB126">
        <v>0</v>
      </c>
      <c r="AC126">
        <v>0</v>
      </c>
      <c r="AD126">
        <v>0</v>
      </c>
      <c r="AE126">
        <v>7.22</v>
      </c>
      <c r="AF126">
        <v>0</v>
      </c>
      <c r="AG126">
        <v>0</v>
      </c>
      <c r="AH126">
        <v>0</v>
      </c>
      <c r="AI126">
        <v>7.77</v>
      </c>
      <c r="AJ126">
        <v>1</v>
      </c>
      <c r="AK126">
        <v>1</v>
      </c>
      <c r="AL126">
        <v>1</v>
      </c>
      <c r="AN126">
        <v>0</v>
      </c>
      <c r="AO126">
        <v>1</v>
      </c>
      <c r="AP126">
        <v>0</v>
      </c>
      <c r="AQ126">
        <v>0</v>
      </c>
      <c r="AR126">
        <v>0</v>
      </c>
      <c r="AS126" t="s">
        <v>3</v>
      </c>
      <c r="AT126">
        <v>30.6</v>
      </c>
      <c r="AU126" t="s">
        <v>3</v>
      </c>
      <c r="AV126">
        <v>0</v>
      </c>
      <c r="AW126">
        <v>2</v>
      </c>
      <c r="AX126">
        <v>36514415</v>
      </c>
      <c r="AY126">
        <v>1</v>
      </c>
      <c r="AZ126">
        <v>0</v>
      </c>
      <c r="BA126">
        <v>127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0</v>
      </c>
      <c r="BI126">
        <v>0</v>
      </c>
      <c r="BJ126">
        <v>0</v>
      </c>
      <c r="BK126">
        <v>0</v>
      </c>
      <c r="BL126">
        <v>0</v>
      </c>
      <c r="BM126">
        <v>0</v>
      </c>
      <c r="BN126">
        <v>0</v>
      </c>
      <c r="BO126">
        <v>0</v>
      </c>
      <c r="BP126">
        <v>0</v>
      </c>
      <c r="BQ126">
        <v>0</v>
      </c>
      <c r="BR126">
        <v>0</v>
      </c>
      <c r="BS126">
        <v>0</v>
      </c>
      <c r="BT126">
        <v>0</v>
      </c>
      <c r="BU126">
        <v>0</v>
      </c>
      <c r="BV126">
        <v>0</v>
      </c>
      <c r="BW126">
        <v>0</v>
      </c>
      <c r="CX126">
        <f>Y126*Source!I194</f>
        <v>0.61199999999999999</v>
      </c>
      <c r="CY126">
        <f t="shared" si="21"/>
        <v>56.1</v>
      </c>
      <c r="CZ126">
        <f t="shared" si="22"/>
        <v>7.22</v>
      </c>
      <c r="DA126">
        <f t="shared" si="23"/>
        <v>7.77</v>
      </c>
      <c r="DB126">
        <f t="shared" si="19"/>
        <v>220.93</v>
      </c>
      <c r="DC126">
        <f t="shared" si="20"/>
        <v>0</v>
      </c>
    </row>
    <row r="127" spans="1:107">
      <c r="A127">
        <f>ROW(Source!A194)</f>
        <v>194</v>
      </c>
      <c r="B127">
        <v>35841400</v>
      </c>
      <c r="C127">
        <v>36514404</v>
      </c>
      <c r="D127">
        <v>29115197</v>
      </c>
      <c r="E127">
        <v>1</v>
      </c>
      <c r="F127">
        <v>1</v>
      </c>
      <c r="G127">
        <v>1</v>
      </c>
      <c r="H127">
        <v>3</v>
      </c>
      <c r="I127" t="s">
        <v>534</v>
      </c>
      <c r="J127" t="s">
        <v>535</v>
      </c>
      <c r="K127" t="s">
        <v>536</v>
      </c>
      <c r="L127">
        <v>1355</v>
      </c>
      <c r="N127">
        <v>1010</v>
      </c>
      <c r="O127" t="s">
        <v>46</v>
      </c>
      <c r="P127" t="s">
        <v>46</v>
      </c>
      <c r="Q127">
        <v>100</v>
      </c>
      <c r="W127">
        <v>0</v>
      </c>
      <c r="X127">
        <v>-619439245</v>
      </c>
      <c r="Y127">
        <v>8</v>
      </c>
      <c r="AA127">
        <v>368</v>
      </c>
      <c r="AB127">
        <v>0</v>
      </c>
      <c r="AC127">
        <v>0</v>
      </c>
      <c r="AD127">
        <v>0</v>
      </c>
      <c r="AE127">
        <v>50</v>
      </c>
      <c r="AF127">
        <v>0</v>
      </c>
      <c r="AG127">
        <v>0</v>
      </c>
      <c r="AH127">
        <v>0</v>
      </c>
      <c r="AI127">
        <v>7.36</v>
      </c>
      <c r="AJ127">
        <v>1</v>
      </c>
      <c r="AK127">
        <v>1</v>
      </c>
      <c r="AL127">
        <v>1</v>
      </c>
      <c r="AN127">
        <v>0</v>
      </c>
      <c r="AO127">
        <v>1</v>
      </c>
      <c r="AP127">
        <v>0</v>
      </c>
      <c r="AQ127">
        <v>0</v>
      </c>
      <c r="AR127">
        <v>0</v>
      </c>
      <c r="AS127" t="s">
        <v>3</v>
      </c>
      <c r="AT127">
        <v>8</v>
      </c>
      <c r="AU127" t="s">
        <v>3</v>
      </c>
      <c r="AV127">
        <v>0</v>
      </c>
      <c r="AW127">
        <v>2</v>
      </c>
      <c r="AX127">
        <v>36514416</v>
      </c>
      <c r="AY127">
        <v>1</v>
      </c>
      <c r="AZ127">
        <v>0</v>
      </c>
      <c r="BA127">
        <v>128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0</v>
      </c>
      <c r="BI127">
        <v>0</v>
      </c>
      <c r="BJ127">
        <v>0</v>
      </c>
      <c r="BK127">
        <v>0</v>
      </c>
      <c r="BL127">
        <v>0</v>
      </c>
      <c r="BM127">
        <v>0</v>
      </c>
      <c r="BN127">
        <v>0</v>
      </c>
      <c r="BO127">
        <v>0</v>
      </c>
      <c r="BP127">
        <v>0</v>
      </c>
      <c r="BQ127">
        <v>0</v>
      </c>
      <c r="BR127">
        <v>0</v>
      </c>
      <c r="BS127">
        <v>0</v>
      </c>
      <c r="BT127">
        <v>0</v>
      </c>
      <c r="BU127">
        <v>0</v>
      </c>
      <c r="BV127">
        <v>0</v>
      </c>
      <c r="BW127">
        <v>0</v>
      </c>
      <c r="CX127">
        <f>Y127*Source!I194</f>
        <v>0.16</v>
      </c>
      <c r="CY127">
        <f t="shared" si="21"/>
        <v>368</v>
      </c>
      <c r="CZ127">
        <f t="shared" si="22"/>
        <v>50</v>
      </c>
      <c r="DA127">
        <f t="shared" si="23"/>
        <v>7.36</v>
      </c>
      <c r="DB127">
        <f t="shared" si="19"/>
        <v>400</v>
      </c>
      <c r="DC127">
        <f t="shared" si="20"/>
        <v>0</v>
      </c>
    </row>
    <row r="128" spans="1:107">
      <c r="A128">
        <f>ROW(Source!A194)</f>
        <v>194</v>
      </c>
      <c r="B128">
        <v>35841400</v>
      </c>
      <c r="C128">
        <v>36514404</v>
      </c>
      <c r="D128">
        <v>29129806</v>
      </c>
      <c r="E128">
        <v>1</v>
      </c>
      <c r="F128">
        <v>1</v>
      </c>
      <c r="G128">
        <v>1</v>
      </c>
      <c r="H128">
        <v>3</v>
      </c>
      <c r="I128" t="s">
        <v>219</v>
      </c>
      <c r="J128" t="s">
        <v>221</v>
      </c>
      <c r="K128" t="s">
        <v>220</v>
      </c>
      <c r="L128">
        <v>1327</v>
      </c>
      <c r="N128">
        <v>1005</v>
      </c>
      <c r="O128" t="s">
        <v>129</v>
      </c>
      <c r="P128" t="s">
        <v>129</v>
      </c>
      <c r="Q128">
        <v>1</v>
      </c>
      <c r="W128">
        <v>1</v>
      </c>
      <c r="X128">
        <v>-1154308862</v>
      </c>
      <c r="Y128">
        <v>-100</v>
      </c>
      <c r="AA128">
        <v>2608.5</v>
      </c>
      <c r="AB128">
        <v>0</v>
      </c>
      <c r="AC128">
        <v>0</v>
      </c>
      <c r="AD128">
        <v>0</v>
      </c>
      <c r="AE128">
        <v>1630.31</v>
      </c>
      <c r="AF128">
        <v>0</v>
      </c>
      <c r="AG128">
        <v>0</v>
      </c>
      <c r="AH128">
        <v>0</v>
      </c>
      <c r="AI128">
        <v>1.6</v>
      </c>
      <c r="AJ128">
        <v>1</v>
      </c>
      <c r="AK128">
        <v>1</v>
      </c>
      <c r="AL128">
        <v>1</v>
      </c>
      <c r="AN128">
        <v>0</v>
      </c>
      <c r="AO128">
        <v>1</v>
      </c>
      <c r="AP128">
        <v>0</v>
      </c>
      <c r="AQ128">
        <v>0</v>
      </c>
      <c r="AR128">
        <v>0</v>
      </c>
      <c r="AS128" t="s">
        <v>3</v>
      </c>
      <c r="AT128">
        <v>-100</v>
      </c>
      <c r="AU128" t="s">
        <v>3</v>
      </c>
      <c r="AV128">
        <v>0</v>
      </c>
      <c r="AW128">
        <v>2</v>
      </c>
      <c r="AX128">
        <v>36514417</v>
      </c>
      <c r="AY128">
        <v>1</v>
      </c>
      <c r="AZ128">
        <v>6144</v>
      </c>
      <c r="BA128">
        <v>129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0</v>
      </c>
      <c r="BI128">
        <v>0</v>
      </c>
      <c r="BJ128">
        <v>0</v>
      </c>
      <c r="BK128">
        <v>0</v>
      </c>
      <c r="BL128">
        <v>0</v>
      </c>
      <c r="BM128">
        <v>0</v>
      </c>
      <c r="BN128">
        <v>0</v>
      </c>
      <c r="BO128">
        <v>0</v>
      </c>
      <c r="BP128">
        <v>0</v>
      </c>
      <c r="BQ128">
        <v>0</v>
      </c>
      <c r="BR128">
        <v>0</v>
      </c>
      <c r="BS128">
        <v>0</v>
      </c>
      <c r="BT128">
        <v>0</v>
      </c>
      <c r="BU128">
        <v>0</v>
      </c>
      <c r="BV128">
        <v>0</v>
      </c>
      <c r="BW128">
        <v>0</v>
      </c>
      <c r="CX128">
        <f>Y128*Source!I194</f>
        <v>-2</v>
      </c>
      <c r="CY128">
        <f t="shared" si="21"/>
        <v>2608.5</v>
      </c>
      <c r="CZ128">
        <f t="shared" si="22"/>
        <v>1630.31</v>
      </c>
      <c r="DA128">
        <f t="shared" si="23"/>
        <v>1.6</v>
      </c>
      <c r="DB128">
        <f t="shared" si="19"/>
        <v>-163031</v>
      </c>
      <c r="DC128">
        <f t="shared" si="20"/>
        <v>0</v>
      </c>
    </row>
    <row r="129" spans="1:107">
      <c r="A129">
        <f>ROW(Source!A194)</f>
        <v>194</v>
      </c>
      <c r="B129">
        <v>35841400</v>
      </c>
      <c r="C129">
        <v>36514404</v>
      </c>
      <c r="D129">
        <v>0</v>
      </c>
      <c r="E129">
        <v>0</v>
      </c>
      <c r="F129">
        <v>1</v>
      </c>
      <c r="G129">
        <v>1</v>
      </c>
      <c r="H129">
        <v>3</v>
      </c>
      <c r="I129" t="s">
        <v>183</v>
      </c>
      <c r="J129" t="s">
        <v>3</v>
      </c>
      <c r="K129" t="s">
        <v>223</v>
      </c>
      <c r="L129">
        <v>0</v>
      </c>
      <c r="W129">
        <v>0</v>
      </c>
      <c r="X129">
        <v>1754635246</v>
      </c>
      <c r="Y129">
        <v>50</v>
      </c>
      <c r="AA129">
        <v>18000</v>
      </c>
      <c r="AB129">
        <v>0</v>
      </c>
      <c r="AC129">
        <v>0</v>
      </c>
      <c r="AD129">
        <v>0</v>
      </c>
      <c r="AE129">
        <v>18000</v>
      </c>
      <c r="AF129">
        <v>0</v>
      </c>
      <c r="AG129">
        <v>0</v>
      </c>
      <c r="AH129">
        <v>0</v>
      </c>
      <c r="AI129">
        <v>1</v>
      </c>
      <c r="AJ129">
        <v>1</v>
      </c>
      <c r="AK129">
        <v>1</v>
      </c>
      <c r="AL129">
        <v>1</v>
      </c>
      <c r="AN129">
        <v>0</v>
      </c>
      <c r="AO129">
        <v>0</v>
      </c>
      <c r="AP129">
        <v>2</v>
      </c>
      <c r="AQ129">
        <v>0</v>
      </c>
      <c r="AR129">
        <v>0</v>
      </c>
      <c r="AS129" t="s">
        <v>3</v>
      </c>
      <c r="AT129">
        <v>50</v>
      </c>
      <c r="AU129" t="s">
        <v>3</v>
      </c>
      <c r="AV129">
        <v>0</v>
      </c>
      <c r="AW129">
        <v>1</v>
      </c>
      <c r="AX129">
        <v>-1</v>
      </c>
      <c r="AY129">
        <v>0</v>
      </c>
      <c r="AZ129">
        <v>0</v>
      </c>
      <c r="BA129" t="s">
        <v>3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0</v>
      </c>
      <c r="BI129">
        <v>0</v>
      </c>
      <c r="BJ129">
        <v>0</v>
      </c>
      <c r="BK129">
        <v>0</v>
      </c>
      <c r="BL129">
        <v>0</v>
      </c>
      <c r="BM129">
        <v>0</v>
      </c>
      <c r="BN129">
        <v>0</v>
      </c>
      <c r="BO129">
        <v>0</v>
      </c>
      <c r="BP129">
        <v>0</v>
      </c>
      <c r="BQ129">
        <v>0</v>
      </c>
      <c r="BR129">
        <v>0</v>
      </c>
      <c r="BS129">
        <v>0</v>
      </c>
      <c r="BT129">
        <v>0</v>
      </c>
      <c r="BU129">
        <v>0</v>
      </c>
      <c r="BV129">
        <v>0</v>
      </c>
      <c r="BW129">
        <v>0</v>
      </c>
      <c r="CX129">
        <f>Y129*Source!I194</f>
        <v>1</v>
      </c>
      <c r="CY129">
        <f t="shared" si="21"/>
        <v>18000</v>
      </c>
      <c r="CZ129">
        <f t="shared" si="22"/>
        <v>18000</v>
      </c>
      <c r="DA129">
        <f t="shared" si="23"/>
        <v>1</v>
      </c>
      <c r="DB129">
        <f t="shared" si="19"/>
        <v>900000</v>
      </c>
      <c r="DC129">
        <f t="shared" si="20"/>
        <v>0</v>
      </c>
    </row>
    <row r="130" spans="1:107">
      <c r="A130">
        <f>ROW(Source!A197)</f>
        <v>197</v>
      </c>
      <c r="B130">
        <v>35841400</v>
      </c>
      <c r="C130">
        <v>36514432</v>
      </c>
      <c r="D130">
        <v>18413230</v>
      </c>
      <c r="E130">
        <v>1</v>
      </c>
      <c r="F130">
        <v>1</v>
      </c>
      <c r="G130">
        <v>1</v>
      </c>
      <c r="H130">
        <v>1</v>
      </c>
      <c r="I130" t="s">
        <v>467</v>
      </c>
      <c r="J130" t="s">
        <v>3</v>
      </c>
      <c r="K130" t="s">
        <v>468</v>
      </c>
      <c r="L130">
        <v>1369</v>
      </c>
      <c r="N130">
        <v>1013</v>
      </c>
      <c r="O130" t="s">
        <v>361</v>
      </c>
      <c r="P130" t="s">
        <v>361</v>
      </c>
      <c r="Q130">
        <v>1</v>
      </c>
      <c r="W130">
        <v>0</v>
      </c>
      <c r="X130">
        <v>355262106</v>
      </c>
      <c r="Y130">
        <v>191.44049999999999</v>
      </c>
      <c r="AA130">
        <v>0</v>
      </c>
      <c r="AB130">
        <v>0</v>
      </c>
      <c r="AC130">
        <v>0</v>
      </c>
      <c r="AD130">
        <v>304.64</v>
      </c>
      <c r="AE130">
        <v>0</v>
      </c>
      <c r="AF130">
        <v>0</v>
      </c>
      <c r="AG130">
        <v>0</v>
      </c>
      <c r="AH130">
        <v>304.64</v>
      </c>
      <c r="AI130">
        <v>1</v>
      </c>
      <c r="AJ130">
        <v>1</v>
      </c>
      <c r="AK130">
        <v>1</v>
      </c>
      <c r="AL130">
        <v>1</v>
      </c>
      <c r="AN130">
        <v>0</v>
      </c>
      <c r="AO130">
        <v>1</v>
      </c>
      <c r="AP130">
        <v>1</v>
      </c>
      <c r="AQ130">
        <v>0</v>
      </c>
      <c r="AR130">
        <v>0</v>
      </c>
      <c r="AS130" t="s">
        <v>3</v>
      </c>
      <c r="AT130">
        <v>166.47</v>
      </c>
      <c r="AU130" t="s">
        <v>114</v>
      </c>
      <c r="AV130">
        <v>1</v>
      </c>
      <c r="AW130">
        <v>2</v>
      </c>
      <c r="AX130">
        <v>36514433</v>
      </c>
      <c r="AY130">
        <v>2</v>
      </c>
      <c r="AZ130">
        <v>131072</v>
      </c>
      <c r="BA130">
        <v>130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0</v>
      </c>
      <c r="BI130">
        <v>0</v>
      </c>
      <c r="BJ130">
        <v>0</v>
      </c>
      <c r="BK130">
        <v>0</v>
      </c>
      <c r="BL130">
        <v>0</v>
      </c>
      <c r="BM130">
        <v>0</v>
      </c>
      <c r="BN130">
        <v>0</v>
      </c>
      <c r="BO130">
        <v>0</v>
      </c>
      <c r="BP130">
        <v>0</v>
      </c>
      <c r="BQ130">
        <v>0</v>
      </c>
      <c r="BR130">
        <v>0</v>
      </c>
      <c r="BS130">
        <v>0</v>
      </c>
      <c r="BT130">
        <v>0</v>
      </c>
      <c r="BU130">
        <v>0</v>
      </c>
      <c r="BV130">
        <v>0</v>
      </c>
      <c r="BW130">
        <v>0</v>
      </c>
      <c r="CX130">
        <f>Y130*Source!I197</f>
        <v>2.2972859999999997</v>
      </c>
      <c r="CY130">
        <f>AD130</f>
        <v>304.64</v>
      </c>
      <c r="CZ130">
        <f>AH130</f>
        <v>304.64</v>
      </c>
      <c r="DA130">
        <f>AL130</f>
        <v>1</v>
      </c>
      <c r="DB130">
        <f>ROUND((ROUND(AT130*CZ130,2)*1.15),6)</f>
        <v>58320.432999999997</v>
      </c>
      <c r="DC130">
        <f>ROUND((ROUND(AT130*AG130,2)*1.15),6)</f>
        <v>0</v>
      </c>
    </row>
    <row r="131" spans="1:107">
      <c r="A131">
        <f>ROW(Source!A197)</f>
        <v>197</v>
      </c>
      <c r="B131">
        <v>35841400</v>
      </c>
      <c r="C131">
        <v>36514432</v>
      </c>
      <c r="D131">
        <v>121548</v>
      </c>
      <c r="E131">
        <v>1</v>
      </c>
      <c r="F131">
        <v>1</v>
      </c>
      <c r="G131">
        <v>1</v>
      </c>
      <c r="H131">
        <v>1</v>
      </c>
      <c r="I131" t="s">
        <v>213</v>
      </c>
      <c r="J131" t="s">
        <v>3</v>
      </c>
      <c r="K131" t="s">
        <v>362</v>
      </c>
      <c r="L131">
        <v>608254</v>
      </c>
      <c r="N131">
        <v>1013</v>
      </c>
      <c r="O131" t="s">
        <v>363</v>
      </c>
      <c r="P131" t="s">
        <v>363</v>
      </c>
      <c r="Q131">
        <v>1</v>
      </c>
      <c r="W131">
        <v>0</v>
      </c>
      <c r="X131">
        <v>-185737400</v>
      </c>
      <c r="Y131">
        <v>0.08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1</v>
      </c>
      <c r="AJ131">
        <v>1</v>
      </c>
      <c r="AK131">
        <v>1</v>
      </c>
      <c r="AL131">
        <v>1</v>
      </c>
      <c r="AN131">
        <v>0</v>
      </c>
      <c r="AO131">
        <v>1</v>
      </c>
      <c r="AP131">
        <v>1</v>
      </c>
      <c r="AQ131">
        <v>0</v>
      </c>
      <c r="AR131">
        <v>0</v>
      </c>
      <c r="AS131" t="s">
        <v>3</v>
      </c>
      <c r="AT131">
        <v>0.08</v>
      </c>
      <c r="AU131" t="s">
        <v>3</v>
      </c>
      <c r="AV131">
        <v>2</v>
      </c>
      <c r="AW131">
        <v>2</v>
      </c>
      <c r="AX131">
        <v>36514434</v>
      </c>
      <c r="AY131">
        <v>1</v>
      </c>
      <c r="AZ131">
        <v>0</v>
      </c>
      <c r="BA131">
        <v>131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0</v>
      </c>
      <c r="BI131">
        <v>0</v>
      </c>
      <c r="BJ131">
        <v>0</v>
      </c>
      <c r="BK131">
        <v>0</v>
      </c>
      <c r="BL131">
        <v>0</v>
      </c>
      <c r="BM131">
        <v>0</v>
      </c>
      <c r="BN131">
        <v>0</v>
      </c>
      <c r="BO131">
        <v>0</v>
      </c>
      <c r="BP131">
        <v>0</v>
      </c>
      <c r="BQ131">
        <v>0</v>
      </c>
      <c r="BR131">
        <v>0</v>
      </c>
      <c r="BS131">
        <v>0</v>
      </c>
      <c r="BT131">
        <v>0</v>
      </c>
      <c r="BU131">
        <v>0</v>
      </c>
      <c r="BV131">
        <v>0</v>
      </c>
      <c r="BW131">
        <v>0</v>
      </c>
      <c r="CX131">
        <f>Y131*Source!I197</f>
        <v>9.6000000000000002E-4</v>
      </c>
      <c r="CY131">
        <f>AD131</f>
        <v>0</v>
      </c>
      <c r="CZ131">
        <f>AH131</f>
        <v>0</v>
      </c>
      <c r="DA131">
        <f>AL131</f>
        <v>1</v>
      </c>
      <c r="DB131">
        <f t="shared" ref="DB131:DB137" si="24">ROUND(ROUND(AT131*CZ131,2),6)</f>
        <v>0</v>
      </c>
      <c r="DC131">
        <f t="shared" ref="DC131:DC137" si="25">ROUND(ROUND(AT131*AG131,2),6)</f>
        <v>0</v>
      </c>
    </row>
    <row r="132" spans="1:107">
      <c r="A132">
        <f>ROW(Source!A197)</f>
        <v>197</v>
      </c>
      <c r="B132">
        <v>35841400</v>
      </c>
      <c r="C132">
        <v>36514432</v>
      </c>
      <c r="D132">
        <v>29172556</v>
      </c>
      <c r="E132">
        <v>1</v>
      </c>
      <c r="F132">
        <v>1</v>
      </c>
      <c r="G132">
        <v>1</v>
      </c>
      <c r="H132">
        <v>2</v>
      </c>
      <c r="I132" t="s">
        <v>364</v>
      </c>
      <c r="J132" t="s">
        <v>365</v>
      </c>
      <c r="K132" t="s">
        <v>366</v>
      </c>
      <c r="L132">
        <v>1368</v>
      </c>
      <c r="N132">
        <v>1011</v>
      </c>
      <c r="O132" t="s">
        <v>367</v>
      </c>
      <c r="P132" t="s">
        <v>367</v>
      </c>
      <c r="Q132">
        <v>1</v>
      </c>
      <c r="W132">
        <v>0</v>
      </c>
      <c r="X132">
        <v>344519037</v>
      </c>
      <c r="Y132">
        <v>0.08</v>
      </c>
      <c r="AA132">
        <v>0</v>
      </c>
      <c r="AB132">
        <v>466.71</v>
      </c>
      <c r="AC132">
        <v>453.6</v>
      </c>
      <c r="AD132">
        <v>0</v>
      </c>
      <c r="AE132">
        <v>0</v>
      </c>
      <c r="AF132">
        <v>31.26</v>
      </c>
      <c r="AG132">
        <v>13.5</v>
      </c>
      <c r="AH132">
        <v>0</v>
      </c>
      <c r="AI132">
        <v>1</v>
      </c>
      <c r="AJ132">
        <v>14.93</v>
      </c>
      <c r="AK132">
        <v>33.6</v>
      </c>
      <c r="AL132">
        <v>1</v>
      </c>
      <c r="AN132">
        <v>0</v>
      </c>
      <c r="AO132">
        <v>1</v>
      </c>
      <c r="AP132">
        <v>1</v>
      </c>
      <c r="AQ132">
        <v>0</v>
      </c>
      <c r="AR132">
        <v>0</v>
      </c>
      <c r="AS132" t="s">
        <v>3</v>
      </c>
      <c r="AT132">
        <v>0.08</v>
      </c>
      <c r="AU132" t="s">
        <v>3</v>
      </c>
      <c r="AV132">
        <v>0</v>
      </c>
      <c r="AW132">
        <v>2</v>
      </c>
      <c r="AX132">
        <v>36514435</v>
      </c>
      <c r="AY132">
        <v>1</v>
      </c>
      <c r="AZ132">
        <v>0</v>
      </c>
      <c r="BA132">
        <v>132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0</v>
      </c>
      <c r="BI132">
        <v>0</v>
      </c>
      <c r="BJ132">
        <v>0</v>
      </c>
      <c r="BK132">
        <v>0</v>
      </c>
      <c r="BL132">
        <v>0</v>
      </c>
      <c r="BM132">
        <v>0</v>
      </c>
      <c r="BN132">
        <v>0</v>
      </c>
      <c r="BO132">
        <v>0</v>
      </c>
      <c r="BP132">
        <v>0</v>
      </c>
      <c r="BQ132">
        <v>0</v>
      </c>
      <c r="BR132">
        <v>0</v>
      </c>
      <c r="BS132">
        <v>0</v>
      </c>
      <c r="BT132">
        <v>0</v>
      </c>
      <c r="BU132">
        <v>0</v>
      </c>
      <c r="BV132">
        <v>0</v>
      </c>
      <c r="BW132">
        <v>0</v>
      </c>
      <c r="CX132">
        <f>Y132*Source!I197</f>
        <v>9.6000000000000002E-4</v>
      </c>
      <c r="CY132">
        <f>AB132</f>
        <v>466.71</v>
      </c>
      <c r="CZ132">
        <f>AF132</f>
        <v>31.26</v>
      </c>
      <c r="DA132">
        <f>AJ132</f>
        <v>14.93</v>
      </c>
      <c r="DB132">
        <f t="shared" si="24"/>
        <v>2.5</v>
      </c>
      <c r="DC132">
        <f t="shared" si="25"/>
        <v>1.08</v>
      </c>
    </row>
    <row r="133" spans="1:107">
      <c r="A133">
        <f>ROW(Source!A197)</f>
        <v>197</v>
      </c>
      <c r="B133">
        <v>35841400</v>
      </c>
      <c r="C133">
        <v>36514432</v>
      </c>
      <c r="D133">
        <v>29174591</v>
      </c>
      <c r="E133">
        <v>1</v>
      </c>
      <c r="F133">
        <v>1</v>
      </c>
      <c r="G133">
        <v>1</v>
      </c>
      <c r="H133">
        <v>2</v>
      </c>
      <c r="I133" t="s">
        <v>477</v>
      </c>
      <c r="J133" t="s">
        <v>537</v>
      </c>
      <c r="K133" t="s">
        <v>479</v>
      </c>
      <c r="L133">
        <v>1368</v>
      </c>
      <c r="N133">
        <v>1011</v>
      </c>
      <c r="O133" t="s">
        <v>367</v>
      </c>
      <c r="P133" t="s">
        <v>367</v>
      </c>
      <c r="Q133">
        <v>1</v>
      </c>
      <c r="W133">
        <v>0</v>
      </c>
      <c r="X133">
        <v>1042522176</v>
      </c>
      <c r="Y133">
        <v>0.26</v>
      </c>
      <c r="AA133">
        <v>0</v>
      </c>
      <c r="AB133">
        <v>9.4700000000000006</v>
      </c>
      <c r="AC133">
        <v>0</v>
      </c>
      <c r="AD133">
        <v>0</v>
      </c>
      <c r="AE133">
        <v>0</v>
      </c>
      <c r="AF133">
        <v>0.95</v>
      </c>
      <c r="AG133">
        <v>0</v>
      </c>
      <c r="AH133">
        <v>0</v>
      </c>
      <c r="AI133">
        <v>1</v>
      </c>
      <c r="AJ133">
        <v>9.9700000000000006</v>
      </c>
      <c r="AK133">
        <v>33.6</v>
      </c>
      <c r="AL133">
        <v>1</v>
      </c>
      <c r="AN133">
        <v>0</v>
      </c>
      <c r="AO133">
        <v>1</v>
      </c>
      <c r="AP133">
        <v>1</v>
      </c>
      <c r="AQ133">
        <v>0</v>
      </c>
      <c r="AR133">
        <v>0</v>
      </c>
      <c r="AS133" t="s">
        <v>3</v>
      </c>
      <c r="AT133">
        <v>0.26</v>
      </c>
      <c r="AU133" t="s">
        <v>3</v>
      </c>
      <c r="AV133">
        <v>0</v>
      </c>
      <c r="AW133">
        <v>2</v>
      </c>
      <c r="AX133">
        <v>36514436</v>
      </c>
      <c r="AY133">
        <v>1</v>
      </c>
      <c r="AZ133">
        <v>0</v>
      </c>
      <c r="BA133">
        <v>133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0</v>
      </c>
      <c r="BI133">
        <v>0</v>
      </c>
      <c r="BJ133">
        <v>0</v>
      </c>
      <c r="BK133">
        <v>0</v>
      </c>
      <c r="BL133">
        <v>0</v>
      </c>
      <c r="BM133">
        <v>0</v>
      </c>
      <c r="BN133">
        <v>0</v>
      </c>
      <c r="BO133">
        <v>0</v>
      </c>
      <c r="BP133">
        <v>0</v>
      </c>
      <c r="BQ133">
        <v>0</v>
      </c>
      <c r="BR133">
        <v>0</v>
      </c>
      <c r="BS133">
        <v>0</v>
      </c>
      <c r="BT133">
        <v>0</v>
      </c>
      <c r="BU133">
        <v>0</v>
      </c>
      <c r="BV133">
        <v>0</v>
      </c>
      <c r="BW133">
        <v>0</v>
      </c>
      <c r="CX133">
        <f>Y133*Source!I197</f>
        <v>3.1200000000000004E-3</v>
      </c>
      <c r="CY133">
        <f>AB133</f>
        <v>9.4700000000000006</v>
      </c>
      <c r="CZ133">
        <f>AF133</f>
        <v>0.95</v>
      </c>
      <c r="DA133">
        <f>AJ133</f>
        <v>9.9700000000000006</v>
      </c>
      <c r="DB133">
        <f t="shared" si="24"/>
        <v>0.25</v>
      </c>
      <c r="DC133">
        <f t="shared" si="25"/>
        <v>0</v>
      </c>
    </row>
    <row r="134" spans="1:107">
      <c r="A134">
        <f>ROW(Source!A197)</f>
        <v>197</v>
      </c>
      <c r="B134">
        <v>35841400</v>
      </c>
      <c r="C134">
        <v>36514432</v>
      </c>
      <c r="D134">
        <v>29174913</v>
      </c>
      <c r="E134">
        <v>1</v>
      </c>
      <c r="F134">
        <v>1</v>
      </c>
      <c r="G134">
        <v>1</v>
      </c>
      <c r="H134">
        <v>2</v>
      </c>
      <c r="I134" t="s">
        <v>381</v>
      </c>
      <c r="J134" t="s">
        <v>382</v>
      </c>
      <c r="K134" t="s">
        <v>383</v>
      </c>
      <c r="L134">
        <v>1368</v>
      </c>
      <c r="N134">
        <v>1011</v>
      </c>
      <c r="O134" t="s">
        <v>367</v>
      </c>
      <c r="P134" t="s">
        <v>367</v>
      </c>
      <c r="Q134">
        <v>1</v>
      </c>
      <c r="W134">
        <v>0</v>
      </c>
      <c r="X134">
        <v>1230759911</v>
      </c>
      <c r="Y134">
        <v>0.5</v>
      </c>
      <c r="AA134">
        <v>0</v>
      </c>
      <c r="AB134">
        <v>932.72</v>
      </c>
      <c r="AC134">
        <v>389.76</v>
      </c>
      <c r="AD134">
        <v>0</v>
      </c>
      <c r="AE134">
        <v>0</v>
      </c>
      <c r="AF134">
        <v>87.17</v>
      </c>
      <c r="AG134">
        <v>11.6</v>
      </c>
      <c r="AH134">
        <v>0</v>
      </c>
      <c r="AI134">
        <v>1</v>
      </c>
      <c r="AJ134">
        <v>10.7</v>
      </c>
      <c r="AK134">
        <v>33.6</v>
      </c>
      <c r="AL134">
        <v>1</v>
      </c>
      <c r="AN134">
        <v>0</v>
      </c>
      <c r="AO134">
        <v>1</v>
      </c>
      <c r="AP134">
        <v>1</v>
      </c>
      <c r="AQ134">
        <v>0</v>
      </c>
      <c r="AR134">
        <v>0</v>
      </c>
      <c r="AS134" t="s">
        <v>3</v>
      </c>
      <c r="AT134">
        <v>0.5</v>
      </c>
      <c r="AU134" t="s">
        <v>3</v>
      </c>
      <c r="AV134">
        <v>0</v>
      </c>
      <c r="AW134">
        <v>2</v>
      </c>
      <c r="AX134">
        <v>36514437</v>
      </c>
      <c r="AY134">
        <v>1</v>
      </c>
      <c r="AZ134">
        <v>0</v>
      </c>
      <c r="BA134">
        <v>134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0</v>
      </c>
      <c r="BI134">
        <v>0</v>
      </c>
      <c r="BJ134">
        <v>0</v>
      </c>
      <c r="BK134">
        <v>0</v>
      </c>
      <c r="BL134">
        <v>0</v>
      </c>
      <c r="BM134">
        <v>0</v>
      </c>
      <c r="BN134">
        <v>0</v>
      </c>
      <c r="BO134">
        <v>0</v>
      </c>
      <c r="BP134">
        <v>0</v>
      </c>
      <c r="BQ134">
        <v>0</v>
      </c>
      <c r="BR134">
        <v>0</v>
      </c>
      <c r="BS134">
        <v>0</v>
      </c>
      <c r="BT134">
        <v>0</v>
      </c>
      <c r="BU134">
        <v>0</v>
      </c>
      <c r="BV134">
        <v>0</v>
      </c>
      <c r="BW134">
        <v>0</v>
      </c>
      <c r="CX134">
        <f>Y134*Source!I197</f>
        <v>6.0000000000000001E-3</v>
      </c>
      <c r="CY134">
        <f>AB134</f>
        <v>932.72</v>
      </c>
      <c r="CZ134">
        <f>AF134</f>
        <v>87.17</v>
      </c>
      <c r="DA134">
        <f>AJ134</f>
        <v>10.7</v>
      </c>
      <c r="DB134">
        <f t="shared" si="24"/>
        <v>43.59</v>
      </c>
      <c r="DC134">
        <f t="shared" si="25"/>
        <v>5.8</v>
      </c>
    </row>
    <row r="135" spans="1:107">
      <c r="A135">
        <f>ROW(Source!A197)</f>
        <v>197</v>
      </c>
      <c r="B135">
        <v>35841400</v>
      </c>
      <c r="C135">
        <v>36514432</v>
      </c>
      <c r="D135">
        <v>29107800</v>
      </c>
      <c r="E135">
        <v>1</v>
      </c>
      <c r="F135">
        <v>1</v>
      </c>
      <c r="G135">
        <v>1</v>
      </c>
      <c r="H135">
        <v>3</v>
      </c>
      <c r="I135" t="s">
        <v>384</v>
      </c>
      <c r="J135" t="s">
        <v>385</v>
      </c>
      <c r="K135" t="s">
        <v>386</v>
      </c>
      <c r="L135">
        <v>1346</v>
      </c>
      <c r="N135">
        <v>1009</v>
      </c>
      <c r="O135" t="s">
        <v>151</v>
      </c>
      <c r="P135" t="s">
        <v>151</v>
      </c>
      <c r="Q135">
        <v>1</v>
      </c>
      <c r="W135">
        <v>0</v>
      </c>
      <c r="X135">
        <v>644139035</v>
      </c>
      <c r="Y135">
        <v>0.2</v>
      </c>
      <c r="AA135">
        <v>46.61</v>
      </c>
      <c r="AB135">
        <v>0</v>
      </c>
      <c r="AC135">
        <v>0</v>
      </c>
      <c r="AD135">
        <v>0</v>
      </c>
      <c r="AE135">
        <v>1.81</v>
      </c>
      <c r="AF135">
        <v>0</v>
      </c>
      <c r="AG135">
        <v>0</v>
      </c>
      <c r="AH135">
        <v>0</v>
      </c>
      <c r="AI135">
        <v>25.75</v>
      </c>
      <c r="AJ135">
        <v>1</v>
      </c>
      <c r="AK135">
        <v>1</v>
      </c>
      <c r="AL135">
        <v>1</v>
      </c>
      <c r="AN135">
        <v>0</v>
      </c>
      <c r="AO135">
        <v>1</v>
      </c>
      <c r="AP135">
        <v>0</v>
      </c>
      <c r="AQ135">
        <v>0</v>
      </c>
      <c r="AR135">
        <v>0</v>
      </c>
      <c r="AS135" t="s">
        <v>3</v>
      </c>
      <c r="AT135">
        <v>0.2</v>
      </c>
      <c r="AU135" t="s">
        <v>3</v>
      </c>
      <c r="AV135">
        <v>0</v>
      </c>
      <c r="AW135">
        <v>2</v>
      </c>
      <c r="AX135">
        <v>36514438</v>
      </c>
      <c r="AY135">
        <v>1</v>
      </c>
      <c r="AZ135">
        <v>0</v>
      </c>
      <c r="BA135">
        <v>135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0</v>
      </c>
      <c r="BI135">
        <v>0</v>
      </c>
      <c r="BJ135">
        <v>0</v>
      </c>
      <c r="BK135">
        <v>0</v>
      </c>
      <c r="BL135">
        <v>0</v>
      </c>
      <c r="BM135">
        <v>0</v>
      </c>
      <c r="BN135">
        <v>0</v>
      </c>
      <c r="BO135">
        <v>0</v>
      </c>
      <c r="BP135">
        <v>0</v>
      </c>
      <c r="BQ135">
        <v>0</v>
      </c>
      <c r="BR135">
        <v>0</v>
      </c>
      <c r="BS135">
        <v>0</v>
      </c>
      <c r="BT135">
        <v>0</v>
      </c>
      <c r="BU135">
        <v>0</v>
      </c>
      <c r="BV135">
        <v>0</v>
      </c>
      <c r="BW135">
        <v>0</v>
      </c>
      <c r="CX135">
        <f>Y135*Source!I197</f>
        <v>2.4000000000000002E-3</v>
      </c>
      <c r="CY135">
        <f>AA135</f>
        <v>46.61</v>
      </c>
      <c r="CZ135">
        <f>AE135</f>
        <v>1.81</v>
      </c>
      <c r="DA135">
        <f>AI135</f>
        <v>25.75</v>
      </c>
      <c r="DB135">
        <f t="shared" si="24"/>
        <v>0.36</v>
      </c>
      <c r="DC135">
        <f t="shared" si="25"/>
        <v>0</v>
      </c>
    </row>
    <row r="136" spans="1:107">
      <c r="A136">
        <f>ROW(Source!A197)</f>
        <v>197</v>
      </c>
      <c r="B136">
        <v>35841400</v>
      </c>
      <c r="C136">
        <v>36514432</v>
      </c>
      <c r="D136">
        <v>29109411</v>
      </c>
      <c r="E136">
        <v>1</v>
      </c>
      <c r="F136">
        <v>1</v>
      </c>
      <c r="G136">
        <v>1</v>
      </c>
      <c r="H136">
        <v>3</v>
      </c>
      <c r="I136" t="s">
        <v>538</v>
      </c>
      <c r="J136" t="s">
        <v>539</v>
      </c>
      <c r="K136" t="s">
        <v>540</v>
      </c>
      <c r="L136">
        <v>1346</v>
      </c>
      <c r="N136">
        <v>1009</v>
      </c>
      <c r="O136" t="s">
        <v>151</v>
      </c>
      <c r="P136" t="s">
        <v>151</v>
      </c>
      <c r="Q136">
        <v>1</v>
      </c>
      <c r="W136">
        <v>0</v>
      </c>
      <c r="X136">
        <v>42272800</v>
      </c>
      <c r="Y136">
        <v>30</v>
      </c>
      <c r="AA136">
        <v>53.91</v>
      </c>
      <c r="AB136">
        <v>0</v>
      </c>
      <c r="AC136">
        <v>0</v>
      </c>
      <c r="AD136">
        <v>0</v>
      </c>
      <c r="AE136">
        <v>15.95</v>
      </c>
      <c r="AF136">
        <v>0</v>
      </c>
      <c r="AG136">
        <v>0</v>
      </c>
      <c r="AH136">
        <v>0</v>
      </c>
      <c r="AI136">
        <v>3.38</v>
      </c>
      <c r="AJ136">
        <v>1</v>
      </c>
      <c r="AK136">
        <v>1</v>
      </c>
      <c r="AL136">
        <v>1</v>
      </c>
      <c r="AN136">
        <v>0</v>
      </c>
      <c r="AO136">
        <v>1</v>
      </c>
      <c r="AP136">
        <v>0</v>
      </c>
      <c r="AQ136">
        <v>0</v>
      </c>
      <c r="AR136">
        <v>0</v>
      </c>
      <c r="AS136" t="s">
        <v>3</v>
      </c>
      <c r="AT136">
        <v>30</v>
      </c>
      <c r="AU136" t="s">
        <v>3</v>
      </c>
      <c r="AV136">
        <v>0</v>
      </c>
      <c r="AW136">
        <v>2</v>
      </c>
      <c r="AX136">
        <v>36514439</v>
      </c>
      <c r="AY136">
        <v>1</v>
      </c>
      <c r="AZ136">
        <v>0</v>
      </c>
      <c r="BA136">
        <v>136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0</v>
      </c>
      <c r="BI136">
        <v>0</v>
      </c>
      <c r="BJ136">
        <v>0</v>
      </c>
      <c r="BK136">
        <v>0</v>
      </c>
      <c r="BL136">
        <v>0</v>
      </c>
      <c r="BM136">
        <v>0</v>
      </c>
      <c r="BN136">
        <v>0</v>
      </c>
      <c r="BO136">
        <v>0</v>
      </c>
      <c r="BP136">
        <v>0</v>
      </c>
      <c r="BQ136">
        <v>0</v>
      </c>
      <c r="BR136">
        <v>0</v>
      </c>
      <c r="BS136">
        <v>0</v>
      </c>
      <c r="BT136">
        <v>0</v>
      </c>
      <c r="BU136">
        <v>0</v>
      </c>
      <c r="BV136">
        <v>0</v>
      </c>
      <c r="BW136">
        <v>0</v>
      </c>
      <c r="CX136">
        <f>Y136*Source!I197</f>
        <v>0.36</v>
      </c>
      <c r="CY136">
        <f>AA136</f>
        <v>53.91</v>
      </c>
      <c r="CZ136">
        <f>AE136</f>
        <v>15.95</v>
      </c>
      <c r="DA136">
        <f>AI136</f>
        <v>3.38</v>
      </c>
      <c r="DB136">
        <f t="shared" si="24"/>
        <v>478.5</v>
      </c>
      <c r="DC136">
        <f t="shared" si="25"/>
        <v>0</v>
      </c>
    </row>
    <row r="137" spans="1:107">
      <c r="A137">
        <f>ROW(Source!A197)</f>
        <v>197</v>
      </c>
      <c r="B137">
        <v>35841400</v>
      </c>
      <c r="C137">
        <v>36514432</v>
      </c>
      <c r="D137">
        <v>29109640</v>
      </c>
      <c r="E137">
        <v>1</v>
      </c>
      <c r="F137">
        <v>1</v>
      </c>
      <c r="G137">
        <v>1</v>
      </c>
      <c r="H137">
        <v>3</v>
      </c>
      <c r="I137" t="s">
        <v>229</v>
      </c>
      <c r="J137" t="s">
        <v>231</v>
      </c>
      <c r="K137" t="s">
        <v>230</v>
      </c>
      <c r="L137">
        <v>1327</v>
      </c>
      <c r="N137">
        <v>1005</v>
      </c>
      <c r="O137" t="s">
        <v>129</v>
      </c>
      <c r="P137" t="s">
        <v>129</v>
      </c>
      <c r="Q137">
        <v>1</v>
      </c>
      <c r="W137">
        <v>0</v>
      </c>
      <c r="X137">
        <v>509812052</v>
      </c>
      <c r="Y137">
        <v>100</v>
      </c>
      <c r="AA137">
        <v>207.24</v>
      </c>
      <c r="AB137">
        <v>0</v>
      </c>
      <c r="AC137">
        <v>0</v>
      </c>
      <c r="AD137">
        <v>0</v>
      </c>
      <c r="AE137">
        <v>66.849999999999994</v>
      </c>
      <c r="AF137">
        <v>0</v>
      </c>
      <c r="AG137">
        <v>0</v>
      </c>
      <c r="AH137">
        <v>0</v>
      </c>
      <c r="AI137">
        <v>3.1</v>
      </c>
      <c r="AJ137">
        <v>1</v>
      </c>
      <c r="AK137">
        <v>1</v>
      </c>
      <c r="AL137">
        <v>1</v>
      </c>
      <c r="AN137">
        <v>0</v>
      </c>
      <c r="AO137">
        <v>0</v>
      </c>
      <c r="AP137">
        <v>0</v>
      </c>
      <c r="AQ137">
        <v>0</v>
      </c>
      <c r="AR137">
        <v>0</v>
      </c>
      <c r="AS137" t="s">
        <v>3</v>
      </c>
      <c r="AT137">
        <v>100</v>
      </c>
      <c r="AU137" t="s">
        <v>3</v>
      </c>
      <c r="AV137">
        <v>0</v>
      </c>
      <c r="AW137">
        <v>1</v>
      </c>
      <c r="AX137">
        <v>-1</v>
      </c>
      <c r="AY137">
        <v>0</v>
      </c>
      <c r="AZ137">
        <v>0</v>
      </c>
      <c r="BA137" t="s">
        <v>3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0</v>
      </c>
      <c r="BI137">
        <v>0</v>
      </c>
      <c r="BJ137">
        <v>0</v>
      </c>
      <c r="BK137">
        <v>0</v>
      </c>
      <c r="BL137">
        <v>0</v>
      </c>
      <c r="BM137">
        <v>0</v>
      </c>
      <c r="BN137">
        <v>0</v>
      </c>
      <c r="BO137">
        <v>0</v>
      </c>
      <c r="BP137">
        <v>0</v>
      </c>
      <c r="BQ137">
        <v>0</v>
      </c>
      <c r="BR137">
        <v>0</v>
      </c>
      <c r="BS137">
        <v>0</v>
      </c>
      <c r="BT137">
        <v>0</v>
      </c>
      <c r="BU137">
        <v>0</v>
      </c>
      <c r="BV137">
        <v>0</v>
      </c>
      <c r="BW137">
        <v>0</v>
      </c>
      <c r="CX137">
        <f>Y137*Source!I197</f>
        <v>1.2</v>
      </c>
      <c r="CY137">
        <f>AA137</f>
        <v>207.24</v>
      </c>
      <c r="CZ137">
        <f>AE137</f>
        <v>66.849999999999994</v>
      </c>
      <c r="DA137">
        <f>AI137</f>
        <v>3.1</v>
      </c>
      <c r="DB137">
        <f t="shared" si="24"/>
        <v>6685</v>
      </c>
      <c r="DC137">
        <f t="shared" si="25"/>
        <v>0</v>
      </c>
    </row>
    <row r="138" spans="1:107">
      <c r="A138">
        <f>ROW(Source!A199)</f>
        <v>199</v>
      </c>
      <c r="B138">
        <v>35841400</v>
      </c>
      <c r="C138">
        <v>37377909</v>
      </c>
      <c r="D138">
        <v>18407150</v>
      </c>
      <c r="E138">
        <v>1</v>
      </c>
      <c r="F138">
        <v>1</v>
      </c>
      <c r="G138">
        <v>1</v>
      </c>
      <c r="H138">
        <v>1</v>
      </c>
      <c r="I138" t="s">
        <v>475</v>
      </c>
      <c r="J138" t="s">
        <v>3</v>
      </c>
      <c r="K138" t="s">
        <v>476</v>
      </c>
      <c r="L138">
        <v>1369</v>
      </c>
      <c r="N138">
        <v>1013</v>
      </c>
      <c r="O138" t="s">
        <v>361</v>
      </c>
      <c r="P138" t="s">
        <v>361</v>
      </c>
      <c r="Q138">
        <v>1</v>
      </c>
      <c r="W138">
        <v>0</v>
      </c>
      <c r="X138">
        <v>-931037793</v>
      </c>
      <c r="Y138">
        <v>24.368500000000001</v>
      </c>
      <c r="AA138">
        <v>0</v>
      </c>
      <c r="AB138">
        <v>0</v>
      </c>
      <c r="AC138">
        <v>0</v>
      </c>
      <c r="AD138">
        <v>283.07</v>
      </c>
      <c r="AE138">
        <v>0</v>
      </c>
      <c r="AF138">
        <v>0</v>
      </c>
      <c r="AG138">
        <v>0</v>
      </c>
      <c r="AH138">
        <v>283.07</v>
      </c>
      <c r="AI138">
        <v>1</v>
      </c>
      <c r="AJ138">
        <v>1</v>
      </c>
      <c r="AK138">
        <v>1</v>
      </c>
      <c r="AL138">
        <v>1</v>
      </c>
      <c r="AN138">
        <v>0</v>
      </c>
      <c r="AO138">
        <v>1</v>
      </c>
      <c r="AP138">
        <v>1</v>
      </c>
      <c r="AQ138">
        <v>0</v>
      </c>
      <c r="AR138">
        <v>0</v>
      </c>
      <c r="AS138" t="s">
        <v>3</v>
      </c>
      <c r="AT138">
        <v>21.19</v>
      </c>
      <c r="AU138" t="s">
        <v>114</v>
      </c>
      <c r="AV138">
        <v>1</v>
      </c>
      <c r="AW138">
        <v>2</v>
      </c>
      <c r="AX138">
        <v>37377910</v>
      </c>
      <c r="AY138">
        <v>1</v>
      </c>
      <c r="AZ138">
        <v>0</v>
      </c>
      <c r="BA138">
        <v>139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0</v>
      </c>
      <c r="BI138">
        <v>0</v>
      </c>
      <c r="BJ138">
        <v>0</v>
      </c>
      <c r="BK138">
        <v>0</v>
      </c>
      <c r="BL138">
        <v>0</v>
      </c>
      <c r="BM138">
        <v>0</v>
      </c>
      <c r="BN138">
        <v>0</v>
      </c>
      <c r="BO138">
        <v>0</v>
      </c>
      <c r="BP138">
        <v>0</v>
      </c>
      <c r="BQ138">
        <v>0</v>
      </c>
      <c r="BR138">
        <v>0</v>
      </c>
      <c r="BS138">
        <v>0</v>
      </c>
      <c r="BT138">
        <v>0</v>
      </c>
      <c r="BU138">
        <v>0</v>
      </c>
      <c r="BV138">
        <v>0</v>
      </c>
      <c r="BW138">
        <v>0</v>
      </c>
      <c r="CX138">
        <f>Y138*Source!I199</f>
        <v>0.36552750000000001</v>
      </c>
      <c r="CY138">
        <f>AD138</f>
        <v>283.07</v>
      </c>
      <c r="CZ138">
        <f>AH138</f>
        <v>283.07</v>
      </c>
      <c r="DA138">
        <f>AL138</f>
        <v>1</v>
      </c>
      <c r="DB138">
        <f>ROUND((ROUND(AT138*CZ138,2)*1.15),6)</f>
        <v>6897.9875000000002</v>
      </c>
      <c r="DC138">
        <f>ROUND((ROUND(AT138*AG138,2)*1.15),6)</f>
        <v>0</v>
      </c>
    </row>
    <row r="139" spans="1:107">
      <c r="A139">
        <f>ROW(Source!A199)</f>
        <v>199</v>
      </c>
      <c r="B139">
        <v>35841400</v>
      </c>
      <c r="C139">
        <v>37377909</v>
      </c>
      <c r="D139">
        <v>121548</v>
      </c>
      <c r="E139">
        <v>1</v>
      </c>
      <c r="F139">
        <v>1</v>
      </c>
      <c r="G139">
        <v>1</v>
      </c>
      <c r="H139">
        <v>1</v>
      </c>
      <c r="I139" t="s">
        <v>213</v>
      </c>
      <c r="J139" t="s">
        <v>3</v>
      </c>
      <c r="K139" t="s">
        <v>362</v>
      </c>
      <c r="L139">
        <v>608254</v>
      </c>
      <c r="N139">
        <v>1013</v>
      </c>
      <c r="O139" t="s">
        <v>363</v>
      </c>
      <c r="P139" t="s">
        <v>363</v>
      </c>
      <c r="Q139">
        <v>1</v>
      </c>
      <c r="W139">
        <v>0</v>
      </c>
      <c r="X139">
        <v>-185737400</v>
      </c>
      <c r="Y139">
        <v>0.05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1</v>
      </c>
      <c r="AJ139">
        <v>1</v>
      </c>
      <c r="AK139">
        <v>1</v>
      </c>
      <c r="AL139">
        <v>1</v>
      </c>
      <c r="AN139">
        <v>0</v>
      </c>
      <c r="AO139">
        <v>1</v>
      </c>
      <c r="AP139">
        <v>1</v>
      </c>
      <c r="AQ139">
        <v>0</v>
      </c>
      <c r="AR139">
        <v>0</v>
      </c>
      <c r="AS139" t="s">
        <v>3</v>
      </c>
      <c r="AT139">
        <v>0.04</v>
      </c>
      <c r="AU139" t="s">
        <v>139</v>
      </c>
      <c r="AV139">
        <v>2</v>
      </c>
      <c r="AW139">
        <v>2</v>
      </c>
      <c r="AX139">
        <v>37377911</v>
      </c>
      <c r="AY139">
        <v>1</v>
      </c>
      <c r="AZ139">
        <v>0</v>
      </c>
      <c r="BA139">
        <v>140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0</v>
      </c>
      <c r="BI139">
        <v>0</v>
      </c>
      <c r="BJ139">
        <v>0</v>
      </c>
      <c r="BK139">
        <v>0</v>
      </c>
      <c r="BL139">
        <v>0</v>
      </c>
      <c r="BM139">
        <v>0</v>
      </c>
      <c r="BN139">
        <v>0</v>
      </c>
      <c r="BO139">
        <v>0</v>
      </c>
      <c r="BP139">
        <v>0</v>
      </c>
      <c r="BQ139">
        <v>0</v>
      </c>
      <c r="BR139">
        <v>0</v>
      </c>
      <c r="BS139">
        <v>0</v>
      </c>
      <c r="BT139">
        <v>0</v>
      </c>
      <c r="BU139">
        <v>0</v>
      </c>
      <c r="BV139">
        <v>0</v>
      </c>
      <c r="BW139">
        <v>0</v>
      </c>
      <c r="CX139">
        <f>Y139*Source!I199</f>
        <v>7.5000000000000002E-4</v>
      </c>
      <c r="CY139">
        <f>AD139</f>
        <v>0</v>
      </c>
      <c r="CZ139">
        <f>AH139</f>
        <v>0</v>
      </c>
      <c r="DA139">
        <f>AL139</f>
        <v>1</v>
      </c>
      <c r="DB139">
        <f>ROUND((ROUND(AT139*CZ139,2)*1.25),6)</f>
        <v>0</v>
      </c>
      <c r="DC139">
        <f>ROUND((ROUND(AT139*AG139,2)*1.25),6)</f>
        <v>0</v>
      </c>
    </row>
    <row r="140" spans="1:107">
      <c r="A140">
        <f>ROW(Source!A199)</f>
        <v>199</v>
      </c>
      <c r="B140">
        <v>35841400</v>
      </c>
      <c r="C140">
        <v>37377909</v>
      </c>
      <c r="D140">
        <v>29172556</v>
      </c>
      <c r="E140">
        <v>1</v>
      </c>
      <c r="F140">
        <v>1</v>
      </c>
      <c r="G140">
        <v>1</v>
      </c>
      <c r="H140">
        <v>2</v>
      </c>
      <c r="I140" t="s">
        <v>364</v>
      </c>
      <c r="J140" t="s">
        <v>365</v>
      </c>
      <c r="K140" t="s">
        <v>366</v>
      </c>
      <c r="L140">
        <v>1368</v>
      </c>
      <c r="N140">
        <v>1011</v>
      </c>
      <c r="O140" t="s">
        <v>367</v>
      </c>
      <c r="P140" t="s">
        <v>367</v>
      </c>
      <c r="Q140">
        <v>1</v>
      </c>
      <c r="W140">
        <v>0</v>
      </c>
      <c r="X140">
        <v>344519037</v>
      </c>
      <c r="Y140">
        <v>0.05</v>
      </c>
      <c r="AA140">
        <v>0</v>
      </c>
      <c r="AB140">
        <v>466.71</v>
      </c>
      <c r="AC140">
        <v>453.6</v>
      </c>
      <c r="AD140">
        <v>0</v>
      </c>
      <c r="AE140">
        <v>0</v>
      </c>
      <c r="AF140">
        <v>31.26</v>
      </c>
      <c r="AG140">
        <v>13.5</v>
      </c>
      <c r="AH140">
        <v>0</v>
      </c>
      <c r="AI140">
        <v>1</v>
      </c>
      <c r="AJ140">
        <v>14.93</v>
      </c>
      <c r="AK140">
        <v>33.6</v>
      </c>
      <c r="AL140">
        <v>1</v>
      </c>
      <c r="AN140">
        <v>0</v>
      </c>
      <c r="AO140">
        <v>1</v>
      </c>
      <c r="AP140">
        <v>1</v>
      </c>
      <c r="AQ140">
        <v>0</v>
      </c>
      <c r="AR140">
        <v>0</v>
      </c>
      <c r="AS140" t="s">
        <v>3</v>
      </c>
      <c r="AT140">
        <v>0.04</v>
      </c>
      <c r="AU140" t="s">
        <v>139</v>
      </c>
      <c r="AV140">
        <v>0</v>
      </c>
      <c r="AW140">
        <v>2</v>
      </c>
      <c r="AX140">
        <v>37377912</v>
      </c>
      <c r="AY140">
        <v>1</v>
      </c>
      <c r="AZ140">
        <v>0</v>
      </c>
      <c r="BA140">
        <v>141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0</v>
      </c>
      <c r="BI140">
        <v>0</v>
      </c>
      <c r="BJ140">
        <v>0</v>
      </c>
      <c r="BK140">
        <v>0</v>
      </c>
      <c r="BL140">
        <v>0</v>
      </c>
      <c r="BM140">
        <v>0</v>
      </c>
      <c r="BN140">
        <v>0</v>
      </c>
      <c r="BO140">
        <v>0</v>
      </c>
      <c r="BP140">
        <v>0</v>
      </c>
      <c r="BQ140">
        <v>0</v>
      </c>
      <c r="BR140">
        <v>0</v>
      </c>
      <c r="BS140">
        <v>0</v>
      </c>
      <c r="BT140">
        <v>0</v>
      </c>
      <c r="BU140">
        <v>0</v>
      </c>
      <c r="BV140">
        <v>0</v>
      </c>
      <c r="BW140">
        <v>0</v>
      </c>
      <c r="CX140">
        <f>Y140*Source!I199</f>
        <v>7.5000000000000002E-4</v>
      </c>
      <c r="CY140">
        <f>AB140</f>
        <v>466.71</v>
      </c>
      <c r="CZ140">
        <f>AF140</f>
        <v>31.26</v>
      </c>
      <c r="DA140">
        <f>AJ140</f>
        <v>14.93</v>
      </c>
      <c r="DB140">
        <f>ROUND((ROUND(AT140*CZ140,2)*1.25),6)</f>
        <v>1.5625</v>
      </c>
      <c r="DC140">
        <f>ROUND((ROUND(AT140*AG140,2)*1.25),6)</f>
        <v>0.67500000000000004</v>
      </c>
    </row>
    <row r="141" spans="1:107">
      <c r="A141">
        <f>ROW(Source!A199)</f>
        <v>199</v>
      </c>
      <c r="B141">
        <v>35841400</v>
      </c>
      <c r="C141">
        <v>37377909</v>
      </c>
      <c r="D141">
        <v>29174913</v>
      </c>
      <c r="E141">
        <v>1</v>
      </c>
      <c r="F141">
        <v>1</v>
      </c>
      <c r="G141">
        <v>1</v>
      </c>
      <c r="H141">
        <v>2</v>
      </c>
      <c r="I141" t="s">
        <v>381</v>
      </c>
      <c r="J141" t="s">
        <v>382</v>
      </c>
      <c r="K141" t="s">
        <v>383</v>
      </c>
      <c r="L141">
        <v>1368</v>
      </c>
      <c r="N141">
        <v>1011</v>
      </c>
      <c r="O141" t="s">
        <v>367</v>
      </c>
      <c r="P141" t="s">
        <v>367</v>
      </c>
      <c r="Q141">
        <v>1</v>
      </c>
      <c r="W141">
        <v>0</v>
      </c>
      <c r="X141">
        <v>1230759911</v>
      </c>
      <c r="Y141">
        <v>0.1875</v>
      </c>
      <c r="AA141">
        <v>0</v>
      </c>
      <c r="AB141">
        <v>932.72</v>
      </c>
      <c r="AC141">
        <v>389.76</v>
      </c>
      <c r="AD141">
        <v>0</v>
      </c>
      <c r="AE141">
        <v>0</v>
      </c>
      <c r="AF141">
        <v>87.17</v>
      </c>
      <c r="AG141">
        <v>11.6</v>
      </c>
      <c r="AH141">
        <v>0</v>
      </c>
      <c r="AI141">
        <v>1</v>
      </c>
      <c r="AJ141">
        <v>10.7</v>
      </c>
      <c r="AK141">
        <v>33.6</v>
      </c>
      <c r="AL141">
        <v>1</v>
      </c>
      <c r="AN141">
        <v>0</v>
      </c>
      <c r="AO141">
        <v>1</v>
      </c>
      <c r="AP141">
        <v>1</v>
      </c>
      <c r="AQ141">
        <v>0</v>
      </c>
      <c r="AR141">
        <v>0</v>
      </c>
      <c r="AS141" t="s">
        <v>3</v>
      </c>
      <c r="AT141">
        <v>0.15</v>
      </c>
      <c r="AU141" t="s">
        <v>139</v>
      </c>
      <c r="AV141">
        <v>0</v>
      </c>
      <c r="AW141">
        <v>2</v>
      </c>
      <c r="AX141">
        <v>37377913</v>
      </c>
      <c r="AY141">
        <v>1</v>
      </c>
      <c r="AZ141">
        <v>0</v>
      </c>
      <c r="BA141">
        <v>142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0</v>
      </c>
      <c r="BI141">
        <v>0</v>
      </c>
      <c r="BJ141">
        <v>0</v>
      </c>
      <c r="BK141">
        <v>0</v>
      </c>
      <c r="BL141">
        <v>0</v>
      </c>
      <c r="BM141">
        <v>0</v>
      </c>
      <c r="BN141">
        <v>0</v>
      </c>
      <c r="BO141">
        <v>0</v>
      </c>
      <c r="BP141">
        <v>0</v>
      </c>
      <c r="BQ141">
        <v>0</v>
      </c>
      <c r="BR141">
        <v>0</v>
      </c>
      <c r="BS141">
        <v>0</v>
      </c>
      <c r="BT141">
        <v>0</v>
      </c>
      <c r="BU141">
        <v>0</v>
      </c>
      <c r="BV141">
        <v>0</v>
      </c>
      <c r="BW141">
        <v>0</v>
      </c>
      <c r="CX141">
        <f>Y141*Source!I199</f>
        <v>2.8124999999999999E-3</v>
      </c>
      <c r="CY141">
        <f>AB141</f>
        <v>932.72</v>
      </c>
      <c r="CZ141">
        <f>AF141</f>
        <v>87.17</v>
      </c>
      <c r="DA141">
        <f>AJ141</f>
        <v>10.7</v>
      </c>
      <c r="DB141">
        <f>ROUND((ROUND(AT141*CZ141,2)*1.25),6)</f>
        <v>16.350000000000001</v>
      </c>
      <c r="DC141">
        <f>ROUND((ROUND(AT141*AG141,2)*1.25),6)</f>
        <v>2.1749999999999998</v>
      </c>
    </row>
    <row r="142" spans="1:107">
      <c r="A142">
        <f>ROW(Source!A199)</f>
        <v>199</v>
      </c>
      <c r="B142">
        <v>35841400</v>
      </c>
      <c r="C142">
        <v>37377909</v>
      </c>
      <c r="D142">
        <v>29108696</v>
      </c>
      <c r="E142">
        <v>1</v>
      </c>
      <c r="F142">
        <v>1</v>
      </c>
      <c r="G142">
        <v>1</v>
      </c>
      <c r="H142">
        <v>3</v>
      </c>
      <c r="I142" t="s">
        <v>524</v>
      </c>
      <c r="J142" t="s">
        <v>525</v>
      </c>
      <c r="K142" t="s">
        <v>526</v>
      </c>
      <c r="L142">
        <v>1354</v>
      </c>
      <c r="N142">
        <v>1010</v>
      </c>
      <c r="O142" t="s">
        <v>195</v>
      </c>
      <c r="P142" t="s">
        <v>195</v>
      </c>
      <c r="Q142">
        <v>1</v>
      </c>
      <c r="W142">
        <v>0</v>
      </c>
      <c r="X142">
        <v>-393423820</v>
      </c>
      <c r="Y142">
        <v>56.6</v>
      </c>
      <c r="AA142">
        <v>313.2</v>
      </c>
      <c r="AB142">
        <v>0</v>
      </c>
      <c r="AC142">
        <v>0</v>
      </c>
      <c r="AD142">
        <v>0</v>
      </c>
      <c r="AE142">
        <v>67.209999999999994</v>
      </c>
      <c r="AF142">
        <v>0</v>
      </c>
      <c r="AG142">
        <v>0</v>
      </c>
      <c r="AH142">
        <v>0</v>
      </c>
      <c r="AI142">
        <v>4.66</v>
      </c>
      <c r="AJ142">
        <v>1</v>
      </c>
      <c r="AK142">
        <v>1</v>
      </c>
      <c r="AL142">
        <v>1</v>
      </c>
      <c r="AN142">
        <v>0</v>
      </c>
      <c r="AO142">
        <v>1</v>
      </c>
      <c r="AP142">
        <v>0</v>
      </c>
      <c r="AQ142">
        <v>0</v>
      </c>
      <c r="AR142">
        <v>0</v>
      </c>
      <c r="AS142" t="s">
        <v>3</v>
      </c>
      <c r="AT142">
        <v>56.6</v>
      </c>
      <c r="AU142" t="s">
        <v>3</v>
      </c>
      <c r="AV142">
        <v>0</v>
      </c>
      <c r="AW142">
        <v>2</v>
      </c>
      <c r="AX142">
        <v>37377914</v>
      </c>
      <c r="AY142">
        <v>1</v>
      </c>
      <c r="AZ142">
        <v>0</v>
      </c>
      <c r="BA142">
        <v>143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0</v>
      </c>
      <c r="BI142">
        <v>0</v>
      </c>
      <c r="BJ142">
        <v>0</v>
      </c>
      <c r="BK142">
        <v>0</v>
      </c>
      <c r="BL142">
        <v>0</v>
      </c>
      <c r="BM142">
        <v>0</v>
      </c>
      <c r="BN142">
        <v>0</v>
      </c>
      <c r="BO142">
        <v>0</v>
      </c>
      <c r="BP142">
        <v>0</v>
      </c>
      <c r="BQ142">
        <v>0</v>
      </c>
      <c r="BR142">
        <v>0</v>
      </c>
      <c r="BS142">
        <v>0</v>
      </c>
      <c r="BT142">
        <v>0</v>
      </c>
      <c r="BU142">
        <v>0</v>
      </c>
      <c r="BV142">
        <v>0</v>
      </c>
      <c r="BW142">
        <v>0</v>
      </c>
      <c r="CX142">
        <f>Y142*Source!I199</f>
        <v>0.84899999999999998</v>
      </c>
      <c r="CY142">
        <f>AA142</f>
        <v>313.2</v>
      </c>
      <c r="CZ142">
        <f>AE142</f>
        <v>67.209999999999994</v>
      </c>
      <c r="DA142">
        <f>AI142</f>
        <v>4.66</v>
      </c>
      <c r="DB142">
        <f>ROUND(ROUND(AT142*CZ142,2),6)</f>
        <v>3804.09</v>
      </c>
      <c r="DC142">
        <f>ROUND(ROUND(AT142*AG142,2),6)</f>
        <v>0</v>
      </c>
    </row>
    <row r="143" spans="1:107">
      <c r="A143">
        <f>ROW(Source!A199)</f>
        <v>199</v>
      </c>
      <c r="B143">
        <v>35841400</v>
      </c>
      <c r="C143">
        <v>37377909</v>
      </c>
      <c r="D143">
        <v>29109720</v>
      </c>
      <c r="E143">
        <v>1</v>
      </c>
      <c r="F143">
        <v>1</v>
      </c>
      <c r="G143">
        <v>1</v>
      </c>
      <c r="H143">
        <v>3</v>
      </c>
      <c r="I143" t="s">
        <v>236</v>
      </c>
      <c r="J143" t="s">
        <v>239</v>
      </c>
      <c r="K143" t="s">
        <v>237</v>
      </c>
      <c r="L143">
        <v>1301</v>
      </c>
      <c r="N143">
        <v>1003</v>
      </c>
      <c r="O143" t="s">
        <v>238</v>
      </c>
      <c r="P143" t="s">
        <v>238</v>
      </c>
      <c r="Q143">
        <v>1</v>
      </c>
      <c r="W143">
        <v>0</v>
      </c>
      <c r="X143">
        <v>1128706910</v>
      </c>
      <c r="Y143">
        <v>100</v>
      </c>
      <c r="AA143">
        <v>108.23</v>
      </c>
      <c r="AB143">
        <v>0</v>
      </c>
      <c r="AC143">
        <v>0</v>
      </c>
      <c r="AD143">
        <v>0</v>
      </c>
      <c r="AE143">
        <v>131.99</v>
      </c>
      <c r="AF143">
        <v>0</v>
      </c>
      <c r="AG143">
        <v>0</v>
      </c>
      <c r="AH143">
        <v>0</v>
      </c>
      <c r="AI143">
        <v>0.82</v>
      </c>
      <c r="AJ143">
        <v>1</v>
      </c>
      <c r="AK143">
        <v>1</v>
      </c>
      <c r="AL143">
        <v>1</v>
      </c>
      <c r="AN143">
        <v>0</v>
      </c>
      <c r="AO143">
        <v>0</v>
      </c>
      <c r="AP143">
        <v>0</v>
      </c>
      <c r="AQ143">
        <v>0</v>
      </c>
      <c r="AR143">
        <v>0</v>
      </c>
      <c r="AS143" t="s">
        <v>3</v>
      </c>
      <c r="AT143">
        <v>100</v>
      </c>
      <c r="AU143" t="s">
        <v>3</v>
      </c>
      <c r="AV143">
        <v>0</v>
      </c>
      <c r="AW143">
        <v>1</v>
      </c>
      <c r="AX143">
        <v>-1</v>
      </c>
      <c r="AY143">
        <v>0</v>
      </c>
      <c r="AZ143">
        <v>0</v>
      </c>
      <c r="BA143" t="s">
        <v>3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0</v>
      </c>
      <c r="BI143">
        <v>0</v>
      </c>
      <c r="BJ143">
        <v>0</v>
      </c>
      <c r="BK143">
        <v>0</v>
      </c>
      <c r="BL143">
        <v>0</v>
      </c>
      <c r="BM143">
        <v>0</v>
      </c>
      <c r="BN143">
        <v>0</v>
      </c>
      <c r="BO143">
        <v>0</v>
      </c>
      <c r="BP143">
        <v>0</v>
      </c>
      <c r="BQ143">
        <v>0</v>
      </c>
      <c r="BR143">
        <v>0</v>
      </c>
      <c r="BS143">
        <v>0</v>
      </c>
      <c r="BT143">
        <v>0</v>
      </c>
      <c r="BU143">
        <v>0</v>
      </c>
      <c r="BV143">
        <v>0</v>
      </c>
      <c r="BW143">
        <v>0</v>
      </c>
      <c r="CX143">
        <f>Y143*Source!I199</f>
        <v>1.5</v>
      </c>
      <c r="CY143">
        <f>AA143</f>
        <v>108.23</v>
      </c>
      <c r="CZ143">
        <f>AE143</f>
        <v>131.99</v>
      </c>
      <c r="DA143">
        <f>AI143</f>
        <v>0.82</v>
      </c>
      <c r="DB143">
        <f>ROUND(ROUND(AT143*CZ143,2),6)</f>
        <v>13199</v>
      </c>
      <c r="DC143">
        <f>ROUND(ROUND(AT143*AG143,2),6)</f>
        <v>0</v>
      </c>
    </row>
    <row r="144" spans="1:107">
      <c r="A144">
        <f>ROW(Source!A199)</f>
        <v>199</v>
      </c>
      <c r="B144">
        <v>35841400</v>
      </c>
      <c r="C144">
        <v>37377909</v>
      </c>
      <c r="D144">
        <v>29115197</v>
      </c>
      <c r="E144">
        <v>1</v>
      </c>
      <c r="F144">
        <v>1</v>
      </c>
      <c r="G144">
        <v>1</v>
      </c>
      <c r="H144">
        <v>3</v>
      </c>
      <c r="I144" t="s">
        <v>534</v>
      </c>
      <c r="J144" t="s">
        <v>535</v>
      </c>
      <c r="K144" t="s">
        <v>536</v>
      </c>
      <c r="L144">
        <v>1355</v>
      </c>
      <c r="N144">
        <v>1010</v>
      </c>
      <c r="O144" t="s">
        <v>46</v>
      </c>
      <c r="P144" t="s">
        <v>46</v>
      </c>
      <c r="Q144">
        <v>100</v>
      </c>
      <c r="W144">
        <v>0</v>
      </c>
      <c r="X144">
        <v>-619439245</v>
      </c>
      <c r="Y144">
        <v>4</v>
      </c>
      <c r="AA144">
        <v>368</v>
      </c>
      <c r="AB144">
        <v>0</v>
      </c>
      <c r="AC144">
        <v>0</v>
      </c>
      <c r="AD144">
        <v>0</v>
      </c>
      <c r="AE144">
        <v>50</v>
      </c>
      <c r="AF144">
        <v>0</v>
      </c>
      <c r="AG144">
        <v>0</v>
      </c>
      <c r="AH144">
        <v>0</v>
      </c>
      <c r="AI144">
        <v>7.36</v>
      </c>
      <c r="AJ144">
        <v>1</v>
      </c>
      <c r="AK144">
        <v>1</v>
      </c>
      <c r="AL144">
        <v>1</v>
      </c>
      <c r="AN144">
        <v>0</v>
      </c>
      <c r="AO144">
        <v>1</v>
      </c>
      <c r="AP144">
        <v>0</v>
      </c>
      <c r="AQ144">
        <v>0</v>
      </c>
      <c r="AR144">
        <v>0</v>
      </c>
      <c r="AS144" t="s">
        <v>3</v>
      </c>
      <c r="AT144">
        <v>4</v>
      </c>
      <c r="AU144" t="s">
        <v>3</v>
      </c>
      <c r="AV144">
        <v>0</v>
      </c>
      <c r="AW144">
        <v>2</v>
      </c>
      <c r="AX144">
        <v>37377916</v>
      </c>
      <c r="AY144">
        <v>1</v>
      </c>
      <c r="AZ144">
        <v>0</v>
      </c>
      <c r="BA144">
        <v>145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0</v>
      </c>
      <c r="BI144">
        <v>0</v>
      </c>
      <c r="BJ144">
        <v>0</v>
      </c>
      <c r="BK144">
        <v>0</v>
      </c>
      <c r="BL144">
        <v>0</v>
      </c>
      <c r="BM144">
        <v>0</v>
      </c>
      <c r="BN144">
        <v>0</v>
      </c>
      <c r="BO144">
        <v>0</v>
      </c>
      <c r="BP144">
        <v>0</v>
      </c>
      <c r="BQ144">
        <v>0</v>
      </c>
      <c r="BR144">
        <v>0</v>
      </c>
      <c r="BS144">
        <v>0</v>
      </c>
      <c r="BT144">
        <v>0</v>
      </c>
      <c r="BU144">
        <v>0</v>
      </c>
      <c r="BV144">
        <v>0</v>
      </c>
      <c r="BW144">
        <v>0</v>
      </c>
      <c r="CX144">
        <f>Y144*Source!I199</f>
        <v>0.06</v>
      </c>
      <c r="CY144">
        <f>AA144</f>
        <v>368</v>
      </c>
      <c r="CZ144">
        <f>AE144</f>
        <v>50</v>
      </c>
      <c r="DA144">
        <f>AI144</f>
        <v>7.36</v>
      </c>
      <c r="DB144">
        <f>ROUND(ROUND(AT144*CZ144,2),6)</f>
        <v>200</v>
      </c>
      <c r="DC144">
        <f>ROUND(ROUND(AT144*AG144,2),6)</f>
        <v>0</v>
      </c>
    </row>
    <row r="145" spans="1:107">
      <c r="A145">
        <f>ROW(Source!A201)</f>
        <v>201</v>
      </c>
      <c r="B145">
        <v>35841400</v>
      </c>
      <c r="C145">
        <v>36514418</v>
      </c>
      <c r="D145">
        <v>18410572</v>
      </c>
      <c r="E145">
        <v>1</v>
      </c>
      <c r="F145">
        <v>1</v>
      </c>
      <c r="G145">
        <v>1</v>
      </c>
      <c r="H145">
        <v>1</v>
      </c>
      <c r="I145" t="s">
        <v>516</v>
      </c>
      <c r="J145" t="s">
        <v>3</v>
      </c>
      <c r="K145" t="s">
        <v>517</v>
      </c>
      <c r="L145">
        <v>1369</v>
      </c>
      <c r="N145">
        <v>1013</v>
      </c>
      <c r="O145" t="s">
        <v>361</v>
      </c>
      <c r="P145" t="s">
        <v>361</v>
      </c>
      <c r="Q145">
        <v>1</v>
      </c>
      <c r="W145">
        <v>0</v>
      </c>
      <c r="X145">
        <v>-546915240</v>
      </c>
      <c r="Y145">
        <v>196.36249999999998</v>
      </c>
      <c r="AA145">
        <v>0</v>
      </c>
      <c r="AB145">
        <v>0</v>
      </c>
      <c r="AC145">
        <v>0</v>
      </c>
      <c r="AD145">
        <v>290.04000000000002</v>
      </c>
      <c r="AE145">
        <v>0</v>
      </c>
      <c r="AF145">
        <v>0</v>
      </c>
      <c r="AG145">
        <v>0</v>
      </c>
      <c r="AH145">
        <v>290.04000000000002</v>
      </c>
      <c r="AI145">
        <v>1</v>
      </c>
      <c r="AJ145">
        <v>1</v>
      </c>
      <c r="AK145">
        <v>1</v>
      </c>
      <c r="AL145">
        <v>1</v>
      </c>
      <c r="AN145">
        <v>0</v>
      </c>
      <c r="AO145">
        <v>1</v>
      </c>
      <c r="AP145">
        <v>1</v>
      </c>
      <c r="AQ145">
        <v>0</v>
      </c>
      <c r="AR145">
        <v>0</v>
      </c>
      <c r="AS145" t="s">
        <v>3</v>
      </c>
      <c r="AT145">
        <v>170.75</v>
      </c>
      <c r="AU145" t="s">
        <v>114</v>
      </c>
      <c r="AV145">
        <v>1</v>
      </c>
      <c r="AW145">
        <v>2</v>
      </c>
      <c r="AX145">
        <v>36514419</v>
      </c>
      <c r="AY145">
        <v>2</v>
      </c>
      <c r="AZ145">
        <v>131072</v>
      </c>
      <c r="BA145">
        <v>146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0</v>
      </c>
      <c r="BI145">
        <v>0</v>
      </c>
      <c r="BJ145">
        <v>0</v>
      </c>
      <c r="BK145">
        <v>0</v>
      </c>
      <c r="BL145">
        <v>0</v>
      </c>
      <c r="BM145">
        <v>0</v>
      </c>
      <c r="BN145">
        <v>0</v>
      </c>
      <c r="BO145">
        <v>0</v>
      </c>
      <c r="BP145">
        <v>0</v>
      </c>
      <c r="BQ145">
        <v>0</v>
      </c>
      <c r="BR145">
        <v>0</v>
      </c>
      <c r="BS145">
        <v>0</v>
      </c>
      <c r="BT145">
        <v>0</v>
      </c>
      <c r="BU145">
        <v>0</v>
      </c>
      <c r="BV145">
        <v>0</v>
      </c>
      <c r="BW145">
        <v>0</v>
      </c>
      <c r="CX145">
        <f>Y145*Source!I201</f>
        <v>3.1810724999999995</v>
      </c>
      <c r="CY145">
        <f>AD145</f>
        <v>290.04000000000002</v>
      </c>
      <c r="CZ145">
        <f>AH145</f>
        <v>290.04000000000002</v>
      </c>
      <c r="DA145">
        <f>AL145</f>
        <v>1</v>
      </c>
      <c r="DB145">
        <f>ROUND((ROUND(AT145*CZ145,2)*1.15),6)</f>
        <v>56952.979500000001</v>
      </c>
      <c r="DC145">
        <f>ROUND((ROUND(AT145*AG145,2)*1.15),6)</f>
        <v>0</v>
      </c>
    </row>
    <row r="146" spans="1:107">
      <c r="A146">
        <f>ROW(Source!A201)</f>
        <v>201</v>
      </c>
      <c r="B146">
        <v>35841400</v>
      </c>
      <c r="C146">
        <v>36514418</v>
      </c>
      <c r="D146">
        <v>121548</v>
      </c>
      <c r="E146">
        <v>1</v>
      </c>
      <c r="F146">
        <v>1</v>
      </c>
      <c r="G146">
        <v>1</v>
      </c>
      <c r="H146">
        <v>1</v>
      </c>
      <c r="I146" t="s">
        <v>213</v>
      </c>
      <c r="J146" t="s">
        <v>3</v>
      </c>
      <c r="K146" t="s">
        <v>362</v>
      </c>
      <c r="L146">
        <v>608254</v>
      </c>
      <c r="N146">
        <v>1013</v>
      </c>
      <c r="O146" t="s">
        <v>363</v>
      </c>
      <c r="P146" t="s">
        <v>363</v>
      </c>
      <c r="Q146">
        <v>1</v>
      </c>
      <c r="W146">
        <v>0</v>
      </c>
      <c r="X146">
        <v>-185737400</v>
      </c>
      <c r="Y146">
        <v>1.76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1</v>
      </c>
      <c r="AJ146">
        <v>1</v>
      </c>
      <c r="AK146">
        <v>1</v>
      </c>
      <c r="AL146">
        <v>1</v>
      </c>
      <c r="AN146">
        <v>0</v>
      </c>
      <c r="AO146">
        <v>1</v>
      </c>
      <c r="AP146">
        <v>1</v>
      </c>
      <c r="AQ146">
        <v>0</v>
      </c>
      <c r="AR146">
        <v>0</v>
      </c>
      <c r="AS146" t="s">
        <v>3</v>
      </c>
      <c r="AT146">
        <v>1.76</v>
      </c>
      <c r="AU146" t="s">
        <v>3</v>
      </c>
      <c r="AV146">
        <v>2</v>
      </c>
      <c r="AW146">
        <v>2</v>
      </c>
      <c r="AX146">
        <v>36514420</v>
      </c>
      <c r="AY146">
        <v>1</v>
      </c>
      <c r="AZ146">
        <v>0</v>
      </c>
      <c r="BA146">
        <v>147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0</v>
      </c>
      <c r="BI146">
        <v>0</v>
      </c>
      <c r="BJ146">
        <v>0</v>
      </c>
      <c r="BK146">
        <v>0</v>
      </c>
      <c r="BL146">
        <v>0</v>
      </c>
      <c r="BM146">
        <v>0</v>
      </c>
      <c r="BN146">
        <v>0</v>
      </c>
      <c r="BO146">
        <v>0</v>
      </c>
      <c r="BP146">
        <v>0</v>
      </c>
      <c r="BQ146">
        <v>0</v>
      </c>
      <c r="BR146">
        <v>0</v>
      </c>
      <c r="BS146">
        <v>0</v>
      </c>
      <c r="BT146">
        <v>0</v>
      </c>
      <c r="BU146">
        <v>0</v>
      </c>
      <c r="BV146">
        <v>0</v>
      </c>
      <c r="BW146">
        <v>0</v>
      </c>
      <c r="CX146">
        <f>Y146*Source!I201</f>
        <v>2.8511999999999999E-2</v>
      </c>
      <c r="CY146">
        <f>AD146</f>
        <v>0</v>
      </c>
      <c r="CZ146">
        <f>AH146</f>
        <v>0</v>
      </c>
      <c r="DA146">
        <f>AL146</f>
        <v>1</v>
      </c>
      <c r="DB146">
        <f t="shared" ref="DB146:DB165" si="26">ROUND(ROUND(AT146*CZ146,2),6)</f>
        <v>0</v>
      </c>
      <c r="DC146">
        <f t="shared" ref="DC146:DC165" si="27">ROUND(ROUND(AT146*AG146,2),6)</f>
        <v>0</v>
      </c>
    </row>
    <row r="147" spans="1:107">
      <c r="A147">
        <f>ROW(Source!A201)</f>
        <v>201</v>
      </c>
      <c r="B147">
        <v>35841400</v>
      </c>
      <c r="C147">
        <v>36514418</v>
      </c>
      <c r="D147">
        <v>29172556</v>
      </c>
      <c r="E147">
        <v>1</v>
      </c>
      <c r="F147">
        <v>1</v>
      </c>
      <c r="G147">
        <v>1</v>
      </c>
      <c r="H147">
        <v>2</v>
      </c>
      <c r="I147" t="s">
        <v>364</v>
      </c>
      <c r="J147" t="s">
        <v>365</v>
      </c>
      <c r="K147" t="s">
        <v>366</v>
      </c>
      <c r="L147">
        <v>1368</v>
      </c>
      <c r="N147">
        <v>1011</v>
      </c>
      <c r="O147" t="s">
        <v>367</v>
      </c>
      <c r="P147" t="s">
        <v>367</v>
      </c>
      <c r="Q147">
        <v>1</v>
      </c>
      <c r="W147">
        <v>0</v>
      </c>
      <c r="X147">
        <v>344519037</v>
      </c>
      <c r="Y147">
        <v>1.76</v>
      </c>
      <c r="AA147">
        <v>0</v>
      </c>
      <c r="AB147">
        <v>466.71</v>
      </c>
      <c r="AC147">
        <v>453.6</v>
      </c>
      <c r="AD147">
        <v>0</v>
      </c>
      <c r="AE147">
        <v>0</v>
      </c>
      <c r="AF147">
        <v>31.26</v>
      </c>
      <c r="AG147">
        <v>13.5</v>
      </c>
      <c r="AH147">
        <v>0</v>
      </c>
      <c r="AI147">
        <v>1</v>
      </c>
      <c r="AJ147">
        <v>14.93</v>
      </c>
      <c r="AK147">
        <v>33.6</v>
      </c>
      <c r="AL147">
        <v>1</v>
      </c>
      <c r="AN147">
        <v>0</v>
      </c>
      <c r="AO147">
        <v>1</v>
      </c>
      <c r="AP147">
        <v>1</v>
      </c>
      <c r="AQ147">
        <v>0</v>
      </c>
      <c r="AR147">
        <v>0</v>
      </c>
      <c r="AS147" t="s">
        <v>3</v>
      </c>
      <c r="AT147">
        <v>1.76</v>
      </c>
      <c r="AU147" t="s">
        <v>3</v>
      </c>
      <c r="AV147">
        <v>0</v>
      </c>
      <c r="AW147">
        <v>2</v>
      </c>
      <c r="AX147">
        <v>36514421</v>
      </c>
      <c r="AY147">
        <v>1</v>
      </c>
      <c r="AZ147">
        <v>0</v>
      </c>
      <c r="BA147">
        <v>148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0</v>
      </c>
      <c r="BI147">
        <v>0</v>
      </c>
      <c r="BJ147">
        <v>0</v>
      </c>
      <c r="BK147">
        <v>0</v>
      </c>
      <c r="BL147">
        <v>0</v>
      </c>
      <c r="BM147">
        <v>0</v>
      </c>
      <c r="BN147">
        <v>0</v>
      </c>
      <c r="BO147">
        <v>0</v>
      </c>
      <c r="BP147">
        <v>0</v>
      </c>
      <c r="BQ147">
        <v>0</v>
      </c>
      <c r="BR147">
        <v>0</v>
      </c>
      <c r="BS147">
        <v>0</v>
      </c>
      <c r="BT147">
        <v>0</v>
      </c>
      <c r="BU147">
        <v>0</v>
      </c>
      <c r="BV147">
        <v>0</v>
      </c>
      <c r="BW147">
        <v>0</v>
      </c>
      <c r="CX147">
        <f>Y147*Source!I201</f>
        <v>2.8511999999999999E-2</v>
      </c>
      <c r="CY147">
        <f>AB147</f>
        <v>466.71</v>
      </c>
      <c r="CZ147">
        <f>AF147</f>
        <v>31.26</v>
      </c>
      <c r="DA147">
        <f>AJ147</f>
        <v>14.93</v>
      </c>
      <c r="DB147">
        <f t="shared" si="26"/>
        <v>55.02</v>
      </c>
      <c r="DC147">
        <f t="shared" si="27"/>
        <v>23.76</v>
      </c>
    </row>
    <row r="148" spans="1:107">
      <c r="A148">
        <f>ROW(Source!A201)</f>
        <v>201</v>
      </c>
      <c r="B148">
        <v>35841400</v>
      </c>
      <c r="C148">
        <v>36514418</v>
      </c>
      <c r="D148">
        <v>29173472</v>
      </c>
      <c r="E148">
        <v>1</v>
      </c>
      <c r="F148">
        <v>1</v>
      </c>
      <c r="G148">
        <v>1</v>
      </c>
      <c r="H148">
        <v>2</v>
      </c>
      <c r="I148" t="s">
        <v>396</v>
      </c>
      <c r="J148" t="s">
        <v>397</v>
      </c>
      <c r="K148" t="s">
        <v>398</v>
      </c>
      <c r="L148">
        <v>1368</v>
      </c>
      <c r="N148">
        <v>1011</v>
      </c>
      <c r="O148" t="s">
        <v>367</v>
      </c>
      <c r="P148" t="s">
        <v>367</v>
      </c>
      <c r="Q148">
        <v>1</v>
      </c>
      <c r="W148">
        <v>0</v>
      </c>
      <c r="X148">
        <v>-1937814132</v>
      </c>
      <c r="Y148">
        <v>9.81</v>
      </c>
      <c r="AA148">
        <v>0</v>
      </c>
      <c r="AB148">
        <v>12.75</v>
      </c>
      <c r="AC148">
        <v>0</v>
      </c>
      <c r="AD148">
        <v>0</v>
      </c>
      <c r="AE148">
        <v>0</v>
      </c>
      <c r="AF148">
        <v>3</v>
      </c>
      <c r="AG148">
        <v>0</v>
      </c>
      <c r="AH148">
        <v>0</v>
      </c>
      <c r="AI148">
        <v>1</v>
      </c>
      <c r="AJ148">
        <v>4.25</v>
      </c>
      <c r="AK148">
        <v>33.6</v>
      </c>
      <c r="AL148">
        <v>1</v>
      </c>
      <c r="AN148">
        <v>0</v>
      </c>
      <c r="AO148">
        <v>1</v>
      </c>
      <c r="AP148">
        <v>1</v>
      </c>
      <c r="AQ148">
        <v>0</v>
      </c>
      <c r="AR148">
        <v>0</v>
      </c>
      <c r="AS148" t="s">
        <v>3</v>
      </c>
      <c r="AT148">
        <v>9.81</v>
      </c>
      <c r="AU148" t="s">
        <v>3</v>
      </c>
      <c r="AV148">
        <v>0</v>
      </c>
      <c r="AW148">
        <v>2</v>
      </c>
      <c r="AX148">
        <v>36514422</v>
      </c>
      <c r="AY148">
        <v>1</v>
      </c>
      <c r="AZ148">
        <v>0</v>
      </c>
      <c r="BA148">
        <v>149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0</v>
      </c>
      <c r="BI148">
        <v>0</v>
      </c>
      <c r="BJ148">
        <v>0</v>
      </c>
      <c r="BK148">
        <v>0</v>
      </c>
      <c r="BL148">
        <v>0</v>
      </c>
      <c r="BM148">
        <v>0</v>
      </c>
      <c r="BN148">
        <v>0</v>
      </c>
      <c r="BO148">
        <v>0</v>
      </c>
      <c r="BP148">
        <v>0</v>
      </c>
      <c r="BQ148">
        <v>0</v>
      </c>
      <c r="BR148">
        <v>0</v>
      </c>
      <c r="BS148">
        <v>0</v>
      </c>
      <c r="BT148">
        <v>0</v>
      </c>
      <c r="BU148">
        <v>0</v>
      </c>
      <c r="BV148">
        <v>0</v>
      </c>
      <c r="BW148">
        <v>0</v>
      </c>
      <c r="CX148">
        <f>Y148*Source!I201</f>
        <v>0.15892200000000001</v>
      </c>
      <c r="CY148">
        <f>AB148</f>
        <v>12.75</v>
      </c>
      <c r="CZ148">
        <f>AF148</f>
        <v>3</v>
      </c>
      <c r="DA148">
        <f>AJ148</f>
        <v>4.25</v>
      </c>
      <c r="DB148">
        <f t="shared" si="26"/>
        <v>29.43</v>
      </c>
      <c r="DC148">
        <f t="shared" si="27"/>
        <v>0</v>
      </c>
    </row>
    <row r="149" spans="1:107">
      <c r="A149">
        <f>ROW(Source!A201)</f>
        <v>201</v>
      </c>
      <c r="B149">
        <v>35841400</v>
      </c>
      <c r="C149">
        <v>36514418</v>
      </c>
      <c r="D149">
        <v>29174580</v>
      </c>
      <c r="E149">
        <v>1</v>
      </c>
      <c r="F149">
        <v>1</v>
      </c>
      <c r="G149">
        <v>1</v>
      </c>
      <c r="H149">
        <v>2</v>
      </c>
      <c r="I149" t="s">
        <v>402</v>
      </c>
      <c r="J149" t="s">
        <v>403</v>
      </c>
      <c r="K149" t="s">
        <v>404</v>
      </c>
      <c r="L149">
        <v>1368</v>
      </c>
      <c r="N149">
        <v>1011</v>
      </c>
      <c r="O149" t="s">
        <v>367</v>
      </c>
      <c r="P149" t="s">
        <v>367</v>
      </c>
      <c r="Q149">
        <v>1</v>
      </c>
      <c r="W149">
        <v>0</v>
      </c>
      <c r="X149">
        <v>-991672839</v>
      </c>
      <c r="Y149">
        <v>15.12</v>
      </c>
      <c r="AA149">
        <v>0</v>
      </c>
      <c r="AB149">
        <v>31.87</v>
      </c>
      <c r="AC149">
        <v>0</v>
      </c>
      <c r="AD149">
        <v>0</v>
      </c>
      <c r="AE149">
        <v>0</v>
      </c>
      <c r="AF149">
        <v>2.08</v>
      </c>
      <c r="AG149">
        <v>0</v>
      </c>
      <c r="AH149">
        <v>0</v>
      </c>
      <c r="AI149">
        <v>1</v>
      </c>
      <c r="AJ149">
        <v>15.32</v>
      </c>
      <c r="AK149">
        <v>33.6</v>
      </c>
      <c r="AL149">
        <v>1</v>
      </c>
      <c r="AN149">
        <v>0</v>
      </c>
      <c r="AO149">
        <v>1</v>
      </c>
      <c r="AP149">
        <v>1</v>
      </c>
      <c r="AQ149">
        <v>0</v>
      </c>
      <c r="AR149">
        <v>0</v>
      </c>
      <c r="AS149" t="s">
        <v>3</v>
      </c>
      <c r="AT149">
        <v>15.12</v>
      </c>
      <c r="AU149" t="s">
        <v>3</v>
      </c>
      <c r="AV149">
        <v>0</v>
      </c>
      <c r="AW149">
        <v>2</v>
      </c>
      <c r="AX149">
        <v>36514423</v>
      </c>
      <c r="AY149">
        <v>1</v>
      </c>
      <c r="AZ149">
        <v>0</v>
      </c>
      <c r="BA149">
        <v>150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0</v>
      </c>
      <c r="BI149">
        <v>0</v>
      </c>
      <c r="BJ149">
        <v>0</v>
      </c>
      <c r="BK149">
        <v>0</v>
      </c>
      <c r="BL149">
        <v>0</v>
      </c>
      <c r="BM149">
        <v>0</v>
      </c>
      <c r="BN149">
        <v>0</v>
      </c>
      <c r="BO149">
        <v>0</v>
      </c>
      <c r="BP149">
        <v>0</v>
      </c>
      <c r="BQ149">
        <v>0</v>
      </c>
      <c r="BR149">
        <v>0</v>
      </c>
      <c r="BS149">
        <v>0</v>
      </c>
      <c r="BT149">
        <v>0</v>
      </c>
      <c r="BU149">
        <v>0</v>
      </c>
      <c r="BV149">
        <v>0</v>
      </c>
      <c r="BW149">
        <v>0</v>
      </c>
      <c r="CX149">
        <f>Y149*Source!I201</f>
        <v>0.24494399999999997</v>
      </c>
      <c r="CY149">
        <f>AB149</f>
        <v>31.87</v>
      </c>
      <c r="CZ149">
        <f>AF149</f>
        <v>2.08</v>
      </c>
      <c r="DA149">
        <f>AJ149</f>
        <v>15.32</v>
      </c>
      <c r="DB149">
        <f t="shared" si="26"/>
        <v>31.45</v>
      </c>
      <c r="DC149">
        <f t="shared" si="27"/>
        <v>0</v>
      </c>
    </row>
    <row r="150" spans="1:107">
      <c r="A150">
        <f>ROW(Source!A201)</f>
        <v>201</v>
      </c>
      <c r="B150">
        <v>35841400</v>
      </c>
      <c r="C150">
        <v>36514418</v>
      </c>
      <c r="D150">
        <v>29174913</v>
      </c>
      <c r="E150">
        <v>1</v>
      </c>
      <c r="F150">
        <v>1</v>
      </c>
      <c r="G150">
        <v>1</v>
      </c>
      <c r="H150">
        <v>2</v>
      </c>
      <c r="I150" t="s">
        <v>381</v>
      </c>
      <c r="J150" t="s">
        <v>382</v>
      </c>
      <c r="K150" t="s">
        <v>383</v>
      </c>
      <c r="L150">
        <v>1368</v>
      </c>
      <c r="N150">
        <v>1011</v>
      </c>
      <c r="O150" t="s">
        <v>367</v>
      </c>
      <c r="P150" t="s">
        <v>367</v>
      </c>
      <c r="Q150">
        <v>1</v>
      </c>
      <c r="W150">
        <v>0</v>
      </c>
      <c r="X150">
        <v>1230759911</v>
      </c>
      <c r="Y150">
        <v>3.57</v>
      </c>
      <c r="AA150">
        <v>0</v>
      </c>
      <c r="AB150">
        <v>932.72</v>
      </c>
      <c r="AC150">
        <v>389.76</v>
      </c>
      <c r="AD150">
        <v>0</v>
      </c>
      <c r="AE150">
        <v>0</v>
      </c>
      <c r="AF150">
        <v>87.17</v>
      </c>
      <c r="AG150">
        <v>11.6</v>
      </c>
      <c r="AH150">
        <v>0</v>
      </c>
      <c r="AI150">
        <v>1</v>
      </c>
      <c r="AJ150">
        <v>10.7</v>
      </c>
      <c r="AK150">
        <v>33.6</v>
      </c>
      <c r="AL150">
        <v>1</v>
      </c>
      <c r="AN150">
        <v>0</v>
      </c>
      <c r="AO150">
        <v>1</v>
      </c>
      <c r="AP150">
        <v>1</v>
      </c>
      <c r="AQ150">
        <v>0</v>
      </c>
      <c r="AR150">
        <v>0</v>
      </c>
      <c r="AS150" t="s">
        <v>3</v>
      </c>
      <c r="AT150">
        <v>3.57</v>
      </c>
      <c r="AU150" t="s">
        <v>3</v>
      </c>
      <c r="AV150">
        <v>0</v>
      </c>
      <c r="AW150">
        <v>2</v>
      </c>
      <c r="AX150">
        <v>36514424</v>
      </c>
      <c r="AY150">
        <v>1</v>
      </c>
      <c r="AZ150">
        <v>0</v>
      </c>
      <c r="BA150">
        <v>151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0</v>
      </c>
      <c r="BI150">
        <v>0</v>
      </c>
      <c r="BJ150">
        <v>0</v>
      </c>
      <c r="BK150">
        <v>0</v>
      </c>
      <c r="BL150">
        <v>0</v>
      </c>
      <c r="BM150">
        <v>0</v>
      </c>
      <c r="BN150">
        <v>0</v>
      </c>
      <c r="BO150">
        <v>0</v>
      </c>
      <c r="BP150">
        <v>0</v>
      </c>
      <c r="BQ150">
        <v>0</v>
      </c>
      <c r="BR150">
        <v>0</v>
      </c>
      <c r="BS150">
        <v>0</v>
      </c>
      <c r="BT150">
        <v>0</v>
      </c>
      <c r="BU150">
        <v>0</v>
      </c>
      <c r="BV150">
        <v>0</v>
      </c>
      <c r="BW150">
        <v>0</v>
      </c>
      <c r="CX150">
        <f>Y150*Source!I201</f>
        <v>5.7833999999999997E-2</v>
      </c>
      <c r="CY150">
        <f>AB150</f>
        <v>932.72</v>
      </c>
      <c r="CZ150">
        <f>AF150</f>
        <v>87.17</v>
      </c>
      <c r="DA150">
        <f>AJ150</f>
        <v>10.7</v>
      </c>
      <c r="DB150">
        <f t="shared" si="26"/>
        <v>311.2</v>
      </c>
      <c r="DC150">
        <f t="shared" si="27"/>
        <v>41.41</v>
      </c>
    </row>
    <row r="151" spans="1:107">
      <c r="A151">
        <f>ROW(Source!A201)</f>
        <v>201</v>
      </c>
      <c r="B151">
        <v>35841400</v>
      </c>
      <c r="C151">
        <v>36514418</v>
      </c>
      <c r="D151">
        <v>29110827</v>
      </c>
      <c r="E151">
        <v>1</v>
      </c>
      <c r="F151">
        <v>1</v>
      </c>
      <c r="G151">
        <v>1</v>
      </c>
      <c r="H151">
        <v>3</v>
      </c>
      <c r="I151" t="s">
        <v>518</v>
      </c>
      <c r="J151" t="s">
        <v>519</v>
      </c>
      <c r="K151" t="s">
        <v>520</v>
      </c>
      <c r="L151">
        <v>1301</v>
      </c>
      <c r="N151">
        <v>1003</v>
      </c>
      <c r="O151" t="s">
        <v>238</v>
      </c>
      <c r="P151" t="s">
        <v>238</v>
      </c>
      <c r="Q151">
        <v>1</v>
      </c>
      <c r="W151">
        <v>0</v>
      </c>
      <c r="X151">
        <v>-115581563</v>
      </c>
      <c r="Y151">
        <v>347</v>
      </c>
      <c r="AA151">
        <v>19.329999999999998</v>
      </c>
      <c r="AB151">
        <v>0</v>
      </c>
      <c r="AC151">
        <v>0</v>
      </c>
      <c r="AD151">
        <v>0</v>
      </c>
      <c r="AE151">
        <v>6.4</v>
      </c>
      <c r="AF151">
        <v>0</v>
      </c>
      <c r="AG151">
        <v>0</v>
      </c>
      <c r="AH151">
        <v>0</v>
      </c>
      <c r="AI151">
        <v>3.02</v>
      </c>
      <c r="AJ151">
        <v>1</v>
      </c>
      <c r="AK151">
        <v>1</v>
      </c>
      <c r="AL151">
        <v>1</v>
      </c>
      <c r="AN151">
        <v>0</v>
      </c>
      <c r="AO151">
        <v>1</v>
      </c>
      <c r="AP151">
        <v>0</v>
      </c>
      <c r="AQ151">
        <v>0</v>
      </c>
      <c r="AR151">
        <v>0</v>
      </c>
      <c r="AS151" t="s">
        <v>3</v>
      </c>
      <c r="AT151">
        <v>347</v>
      </c>
      <c r="AU151" t="s">
        <v>3</v>
      </c>
      <c r="AV151">
        <v>0</v>
      </c>
      <c r="AW151">
        <v>2</v>
      </c>
      <c r="AX151">
        <v>36514425</v>
      </c>
      <c r="AY151">
        <v>1</v>
      </c>
      <c r="AZ151">
        <v>0</v>
      </c>
      <c r="BA151">
        <v>152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0</v>
      </c>
      <c r="BI151">
        <v>0</v>
      </c>
      <c r="BJ151">
        <v>0</v>
      </c>
      <c r="BK151">
        <v>0</v>
      </c>
      <c r="BL151">
        <v>0</v>
      </c>
      <c r="BM151">
        <v>0</v>
      </c>
      <c r="BN151">
        <v>0</v>
      </c>
      <c r="BO151">
        <v>0</v>
      </c>
      <c r="BP151">
        <v>0</v>
      </c>
      <c r="BQ151">
        <v>0</v>
      </c>
      <c r="BR151">
        <v>0</v>
      </c>
      <c r="BS151">
        <v>0</v>
      </c>
      <c r="BT151">
        <v>0</v>
      </c>
      <c r="BU151">
        <v>0</v>
      </c>
      <c r="BV151">
        <v>0</v>
      </c>
      <c r="BW151">
        <v>0</v>
      </c>
      <c r="CX151">
        <f>Y151*Source!I201</f>
        <v>5.6213999999999995</v>
      </c>
      <c r="CY151">
        <f t="shared" ref="CY151:CY157" si="28">AA151</f>
        <v>19.329999999999998</v>
      </c>
      <c r="CZ151">
        <f t="shared" ref="CZ151:CZ157" si="29">AE151</f>
        <v>6.4</v>
      </c>
      <c r="DA151">
        <f t="shared" ref="DA151:DA157" si="30">AI151</f>
        <v>3.02</v>
      </c>
      <c r="DB151">
        <f t="shared" si="26"/>
        <v>2220.8000000000002</v>
      </c>
      <c r="DC151">
        <f t="shared" si="27"/>
        <v>0</v>
      </c>
    </row>
    <row r="152" spans="1:107">
      <c r="A152">
        <f>ROW(Source!A201)</f>
        <v>201</v>
      </c>
      <c r="B152">
        <v>35841400</v>
      </c>
      <c r="C152">
        <v>36514418</v>
      </c>
      <c r="D152">
        <v>29110828</v>
      </c>
      <c r="E152">
        <v>1</v>
      </c>
      <c r="F152">
        <v>1</v>
      </c>
      <c r="G152">
        <v>1</v>
      </c>
      <c r="H152">
        <v>3</v>
      </c>
      <c r="I152" t="s">
        <v>521</v>
      </c>
      <c r="J152" t="s">
        <v>522</v>
      </c>
      <c r="K152" t="s">
        <v>523</v>
      </c>
      <c r="L152">
        <v>1301</v>
      </c>
      <c r="N152">
        <v>1003</v>
      </c>
      <c r="O152" t="s">
        <v>238</v>
      </c>
      <c r="P152" t="s">
        <v>238</v>
      </c>
      <c r="Q152">
        <v>1</v>
      </c>
      <c r="W152">
        <v>0</v>
      </c>
      <c r="X152">
        <v>1663450262</v>
      </c>
      <c r="Y152">
        <v>71</v>
      </c>
      <c r="AA152">
        <v>34.840000000000003</v>
      </c>
      <c r="AB152">
        <v>0</v>
      </c>
      <c r="AC152">
        <v>0</v>
      </c>
      <c r="AD152">
        <v>0</v>
      </c>
      <c r="AE152">
        <v>7.99</v>
      </c>
      <c r="AF152">
        <v>0</v>
      </c>
      <c r="AG152">
        <v>0</v>
      </c>
      <c r="AH152">
        <v>0</v>
      </c>
      <c r="AI152">
        <v>4.3600000000000003</v>
      </c>
      <c r="AJ152">
        <v>1</v>
      </c>
      <c r="AK152">
        <v>1</v>
      </c>
      <c r="AL152">
        <v>1</v>
      </c>
      <c r="AN152">
        <v>0</v>
      </c>
      <c r="AO152">
        <v>1</v>
      </c>
      <c r="AP152">
        <v>0</v>
      </c>
      <c r="AQ152">
        <v>0</v>
      </c>
      <c r="AR152">
        <v>0</v>
      </c>
      <c r="AS152" t="s">
        <v>3</v>
      </c>
      <c r="AT152">
        <v>71</v>
      </c>
      <c r="AU152" t="s">
        <v>3</v>
      </c>
      <c r="AV152">
        <v>0</v>
      </c>
      <c r="AW152">
        <v>2</v>
      </c>
      <c r="AX152">
        <v>36514426</v>
      </c>
      <c r="AY152">
        <v>1</v>
      </c>
      <c r="AZ152">
        <v>0</v>
      </c>
      <c r="BA152">
        <v>153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0</v>
      </c>
      <c r="BI152">
        <v>0</v>
      </c>
      <c r="BJ152">
        <v>0</v>
      </c>
      <c r="BK152">
        <v>0</v>
      </c>
      <c r="BL152">
        <v>0</v>
      </c>
      <c r="BM152">
        <v>0</v>
      </c>
      <c r="BN152">
        <v>0</v>
      </c>
      <c r="BO152">
        <v>0</v>
      </c>
      <c r="BP152">
        <v>0</v>
      </c>
      <c r="BQ152">
        <v>0</v>
      </c>
      <c r="BR152">
        <v>0</v>
      </c>
      <c r="BS152">
        <v>0</v>
      </c>
      <c r="BT152">
        <v>0</v>
      </c>
      <c r="BU152">
        <v>0</v>
      </c>
      <c r="BV152">
        <v>0</v>
      </c>
      <c r="BW152">
        <v>0</v>
      </c>
      <c r="CX152">
        <f>Y152*Source!I201</f>
        <v>1.1501999999999999</v>
      </c>
      <c r="CY152">
        <f t="shared" si="28"/>
        <v>34.840000000000003</v>
      </c>
      <c r="CZ152">
        <f t="shared" si="29"/>
        <v>7.99</v>
      </c>
      <c r="DA152">
        <f t="shared" si="30"/>
        <v>4.3600000000000003</v>
      </c>
      <c r="DB152">
        <f t="shared" si="26"/>
        <v>567.29</v>
      </c>
      <c r="DC152">
        <f t="shared" si="27"/>
        <v>0</v>
      </c>
    </row>
    <row r="153" spans="1:107">
      <c r="A153">
        <f>ROW(Source!A201)</f>
        <v>201</v>
      </c>
      <c r="B153">
        <v>35841400</v>
      </c>
      <c r="C153">
        <v>36514418</v>
      </c>
      <c r="D153">
        <v>29108696</v>
      </c>
      <c r="E153">
        <v>1</v>
      </c>
      <c r="F153">
        <v>1</v>
      </c>
      <c r="G153">
        <v>1</v>
      </c>
      <c r="H153">
        <v>3</v>
      </c>
      <c r="I153" t="s">
        <v>524</v>
      </c>
      <c r="J153" t="s">
        <v>525</v>
      </c>
      <c r="K153" t="s">
        <v>526</v>
      </c>
      <c r="L153">
        <v>1354</v>
      </c>
      <c r="N153">
        <v>1010</v>
      </c>
      <c r="O153" t="s">
        <v>195</v>
      </c>
      <c r="P153" t="s">
        <v>195</v>
      </c>
      <c r="Q153">
        <v>1</v>
      </c>
      <c r="W153">
        <v>0</v>
      </c>
      <c r="X153">
        <v>-393423820</v>
      </c>
      <c r="Y153">
        <v>92</v>
      </c>
      <c r="AA153">
        <v>313.2</v>
      </c>
      <c r="AB153">
        <v>0</v>
      </c>
      <c r="AC153">
        <v>0</v>
      </c>
      <c r="AD153">
        <v>0</v>
      </c>
      <c r="AE153">
        <v>67.209999999999994</v>
      </c>
      <c r="AF153">
        <v>0</v>
      </c>
      <c r="AG153">
        <v>0</v>
      </c>
      <c r="AH153">
        <v>0</v>
      </c>
      <c r="AI153">
        <v>4.66</v>
      </c>
      <c r="AJ153">
        <v>1</v>
      </c>
      <c r="AK153">
        <v>1</v>
      </c>
      <c r="AL153">
        <v>1</v>
      </c>
      <c r="AN153">
        <v>0</v>
      </c>
      <c r="AO153">
        <v>1</v>
      </c>
      <c r="AP153">
        <v>0</v>
      </c>
      <c r="AQ153">
        <v>0</v>
      </c>
      <c r="AR153">
        <v>0</v>
      </c>
      <c r="AS153" t="s">
        <v>3</v>
      </c>
      <c r="AT153">
        <v>92</v>
      </c>
      <c r="AU153" t="s">
        <v>3</v>
      </c>
      <c r="AV153">
        <v>0</v>
      </c>
      <c r="AW153">
        <v>2</v>
      </c>
      <c r="AX153">
        <v>36514427</v>
      </c>
      <c r="AY153">
        <v>1</v>
      </c>
      <c r="AZ153">
        <v>0</v>
      </c>
      <c r="BA153">
        <v>154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0</v>
      </c>
      <c r="BI153">
        <v>0</v>
      </c>
      <c r="BJ153">
        <v>0</v>
      </c>
      <c r="BK153">
        <v>0</v>
      </c>
      <c r="BL153">
        <v>0</v>
      </c>
      <c r="BM153">
        <v>0</v>
      </c>
      <c r="BN153">
        <v>0</v>
      </c>
      <c r="BO153">
        <v>0</v>
      </c>
      <c r="BP153">
        <v>0</v>
      </c>
      <c r="BQ153">
        <v>0</v>
      </c>
      <c r="BR153">
        <v>0</v>
      </c>
      <c r="BS153">
        <v>0</v>
      </c>
      <c r="BT153">
        <v>0</v>
      </c>
      <c r="BU153">
        <v>0</v>
      </c>
      <c r="BV153">
        <v>0</v>
      </c>
      <c r="BW153">
        <v>0</v>
      </c>
      <c r="CX153">
        <f>Y153*Source!I201</f>
        <v>1.4903999999999999</v>
      </c>
      <c r="CY153">
        <f t="shared" si="28"/>
        <v>313.2</v>
      </c>
      <c r="CZ153">
        <f t="shared" si="29"/>
        <v>67.209999999999994</v>
      </c>
      <c r="DA153">
        <f t="shared" si="30"/>
        <v>4.66</v>
      </c>
      <c r="DB153">
        <f t="shared" si="26"/>
        <v>6183.32</v>
      </c>
      <c r="DC153">
        <f t="shared" si="27"/>
        <v>0</v>
      </c>
    </row>
    <row r="154" spans="1:107">
      <c r="A154">
        <f>ROW(Source!A201)</f>
        <v>201</v>
      </c>
      <c r="B154">
        <v>35841400</v>
      </c>
      <c r="C154">
        <v>36514418</v>
      </c>
      <c r="D154">
        <v>29110830</v>
      </c>
      <c r="E154">
        <v>1</v>
      </c>
      <c r="F154">
        <v>1</v>
      </c>
      <c r="G154">
        <v>1</v>
      </c>
      <c r="H154">
        <v>3</v>
      </c>
      <c r="I154" t="s">
        <v>527</v>
      </c>
      <c r="J154" t="s">
        <v>528</v>
      </c>
      <c r="K154" t="s">
        <v>529</v>
      </c>
      <c r="L154">
        <v>1302</v>
      </c>
      <c r="N154">
        <v>1003</v>
      </c>
      <c r="O154" t="s">
        <v>530</v>
      </c>
      <c r="P154" t="s">
        <v>530</v>
      </c>
      <c r="Q154">
        <v>10</v>
      </c>
      <c r="W154">
        <v>0</v>
      </c>
      <c r="X154">
        <v>-1955048641</v>
      </c>
      <c r="Y154">
        <v>21.4</v>
      </c>
      <c r="AA154">
        <v>195.17</v>
      </c>
      <c r="AB154">
        <v>0</v>
      </c>
      <c r="AC154">
        <v>0</v>
      </c>
      <c r="AD154">
        <v>0</v>
      </c>
      <c r="AE154">
        <v>64.2</v>
      </c>
      <c r="AF154">
        <v>0</v>
      </c>
      <c r="AG154">
        <v>0</v>
      </c>
      <c r="AH154">
        <v>0</v>
      </c>
      <c r="AI154">
        <v>3.04</v>
      </c>
      <c r="AJ154">
        <v>1</v>
      </c>
      <c r="AK154">
        <v>1</v>
      </c>
      <c r="AL154">
        <v>1</v>
      </c>
      <c r="AN154">
        <v>0</v>
      </c>
      <c r="AO154">
        <v>1</v>
      </c>
      <c r="AP154">
        <v>0</v>
      </c>
      <c r="AQ154">
        <v>0</v>
      </c>
      <c r="AR154">
        <v>0</v>
      </c>
      <c r="AS154" t="s">
        <v>3</v>
      </c>
      <c r="AT154">
        <v>21.4</v>
      </c>
      <c r="AU154" t="s">
        <v>3</v>
      </c>
      <c r="AV154">
        <v>0</v>
      </c>
      <c r="AW154">
        <v>2</v>
      </c>
      <c r="AX154">
        <v>36514428</v>
      </c>
      <c r="AY154">
        <v>1</v>
      </c>
      <c r="AZ154">
        <v>0</v>
      </c>
      <c r="BA154">
        <v>155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0</v>
      </c>
      <c r="BI154">
        <v>0</v>
      </c>
      <c r="BJ154">
        <v>0</v>
      </c>
      <c r="BK154">
        <v>0</v>
      </c>
      <c r="BL154">
        <v>0</v>
      </c>
      <c r="BM154">
        <v>0</v>
      </c>
      <c r="BN154">
        <v>0</v>
      </c>
      <c r="BO154">
        <v>0</v>
      </c>
      <c r="BP154">
        <v>0</v>
      </c>
      <c r="BQ154">
        <v>0</v>
      </c>
      <c r="BR154">
        <v>0</v>
      </c>
      <c r="BS154">
        <v>0</v>
      </c>
      <c r="BT154">
        <v>0</v>
      </c>
      <c r="BU154">
        <v>0</v>
      </c>
      <c r="BV154">
        <v>0</v>
      </c>
      <c r="BW154">
        <v>0</v>
      </c>
      <c r="CX154">
        <f>Y154*Source!I201</f>
        <v>0.34667999999999993</v>
      </c>
      <c r="CY154">
        <f t="shared" si="28"/>
        <v>195.17</v>
      </c>
      <c r="CZ154">
        <f t="shared" si="29"/>
        <v>64.2</v>
      </c>
      <c r="DA154">
        <f t="shared" si="30"/>
        <v>3.04</v>
      </c>
      <c r="DB154">
        <f t="shared" si="26"/>
        <v>1373.88</v>
      </c>
      <c r="DC154">
        <f t="shared" si="27"/>
        <v>0</v>
      </c>
    </row>
    <row r="155" spans="1:107">
      <c r="A155">
        <f>ROW(Source!A201)</f>
        <v>201</v>
      </c>
      <c r="B155">
        <v>35841400</v>
      </c>
      <c r="C155">
        <v>36514418</v>
      </c>
      <c r="D155">
        <v>29114423</v>
      </c>
      <c r="E155">
        <v>1</v>
      </c>
      <c r="F155">
        <v>1</v>
      </c>
      <c r="G155">
        <v>1</v>
      </c>
      <c r="H155">
        <v>3</v>
      </c>
      <c r="I155" t="s">
        <v>531</v>
      </c>
      <c r="J155" t="s">
        <v>532</v>
      </c>
      <c r="K155" t="s">
        <v>533</v>
      </c>
      <c r="L155">
        <v>1358</v>
      </c>
      <c r="N155">
        <v>1010</v>
      </c>
      <c r="O155" t="s">
        <v>264</v>
      </c>
      <c r="P155" t="s">
        <v>264</v>
      </c>
      <c r="Q155">
        <v>10</v>
      </c>
      <c r="W155">
        <v>0</v>
      </c>
      <c r="X155">
        <v>-1457531913</v>
      </c>
      <c r="Y155">
        <v>30.6</v>
      </c>
      <c r="AA155">
        <v>56.1</v>
      </c>
      <c r="AB155">
        <v>0</v>
      </c>
      <c r="AC155">
        <v>0</v>
      </c>
      <c r="AD155">
        <v>0</v>
      </c>
      <c r="AE155">
        <v>7.22</v>
      </c>
      <c r="AF155">
        <v>0</v>
      </c>
      <c r="AG155">
        <v>0</v>
      </c>
      <c r="AH155">
        <v>0</v>
      </c>
      <c r="AI155">
        <v>7.77</v>
      </c>
      <c r="AJ155">
        <v>1</v>
      </c>
      <c r="AK155">
        <v>1</v>
      </c>
      <c r="AL155">
        <v>1</v>
      </c>
      <c r="AN155">
        <v>0</v>
      </c>
      <c r="AO155">
        <v>1</v>
      </c>
      <c r="AP155">
        <v>0</v>
      </c>
      <c r="AQ155">
        <v>0</v>
      </c>
      <c r="AR155">
        <v>0</v>
      </c>
      <c r="AS155" t="s">
        <v>3</v>
      </c>
      <c r="AT155">
        <v>30.6</v>
      </c>
      <c r="AU155" t="s">
        <v>3</v>
      </c>
      <c r="AV155">
        <v>0</v>
      </c>
      <c r="AW155">
        <v>2</v>
      </c>
      <c r="AX155">
        <v>36514429</v>
      </c>
      <c r="AY155">
        <v>1</v>
      </c>
      <c r="AZ155">
        <v>0</v>
      </c>
      <c r="BA155">
        <v>156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0</v>
      </c>
      <c r="BI155">
        <v>0</v>
      </c>
      <c r="BJ155">
        <v>0</v>
      </c>
      <c r="BK155">
        <v>0</v>
      </c>
      <c r="BL155">
        <v>0</v>
      </c>
      <c r="BM155">
        <v>0</v>
      </c>
      <c r="BN155">
        <v>0</v>
      </c>
      <c r="BO155">
        <v>0</v>
      </c>
      <c r="BP155">
        <v>0</v>
      </c>
      <c r="BQ155">
        <v>0</v>
      </c>
      <c r="BR155">
        <v>0</v>
      </c>
      <c r="BS155">
        <v>0</v>
      </c>
      <c r="BT155">
        <v>0</v>
      </c>
      <c r="BU155">
        <v>0</v>
      </c>
      <c r="BV155">
        <v>0</v>
      </c>
      <c r="BW155">
        <v>0</v>
      </c>
      <c r="CX155">
        <f>Y155*Source!I201</f>
        <v>0.49571999999999999</v>
      </c>
      <c r="CY155">
        <f t="shared" si="28"/>
        <v>56.1</v>
      </c>
      <c r="CZ155">
        <f t="shared" si="29"/>
        <v>7.22</v>
      </c>
      <c r="DA155">
        <f t="shared" si="30"/>
        <v>7.77</v>
      </c>
      <c r="DB155">
        <f t="shared" si="26"/>
        <v>220.93</v>
      </c>
      <c r="DC155">
        <f t="shared" si="27"/>
        <v>0</v>
      </c>
    </row>
    <row r="156" spans="1:107">
      <c r="A156">
        <f>ROW(Source!A201)</f>
        <v>201</v>
      </c>
      <c r="B156">
        <v>35841400</v>
      </c>
      <c r="C156">
        <v>36514418</v>
      </c>
      <c r="D156">
        <v>29115197</v>
      </c>
      <c r="E156">
        <v>1</v>
      </c>
      <c r="F156">
        <v>1</v>
      </c>
      <c r="G156">
        <v>1</v>
      </c>
      <c r="H156">
        <v>3</v>
      </c>
      <c r="I156" t="s">
        <v>534</v>
      </c>
      <c r="J156" t="s">
        <v>535</v>
      </c>
      <c r="K156" t="s">
        <v>536</v>
      </c>
      <c r="L156">
        <v>1355</v>
      </c>
      <c r="N156">
        <v>1010</v>
      </c>
      <c r="O156" t="s">
        <v>46</v>
      </c>
      <c r="P156" t="s">
        <v>46</v>
      </c>
      <c r="Q156">
        <v>100</v>
      </c>
      <c r="W156">
        <v>0</v>
      </c>
      <c r="X156">
        <v>-619439245</v>
      </c>
      <c r="Y156">
        <v>8</v>
      </c>
      <c r="AA156">
        <v>368</v>
      </c>
      <c r="AB156">
        <v>0</v>
      </c>
      <c r="AC156">
        <v>0</v>
      </c>
      <c r="AD156">
        <v>0</v>
      </c>
      <c r="AE156">
        <v>50</v>
      </c>
      <c r="AF156">
        <v>0</v>
      </c>
      <c r="AG156">
        <v>0</v>
      </c>
      <c r="AH156">
        <v>0</v>
      </c>
      <c r="AI156">
        <v>7.36</v>
      </c>
      <c r="AJ156">
        <v>1</v>
      </c>
      <c r="AK156">
        <v>1</v>
      </c>
      <c r="AL156">
        <v>1</v>
      </c>
      <c r="AN156">
        <v>0</v>
      </c>
      <c r="AO156">
        <v>1</v>
      </c>
      <c r="AP156">
        <v>0</v>
      </c>
      <c r="AQ156">
        <v>0</v>
      </c>
      <c r="AR156">
        <v>0</v>
      </c>
      <c r="AS156" t="s">
        <v>3</v>
      </c>
      <c r="AT156">
        <v>8</v>
      </c>
      <c r="AU156" t="s">
        <v>3</v>
      </c>
      <c r="AV156">
        <v>0</v>
      </c>
      <c r="AW156">
        <v>2</v>
      </c>
      <c r="AX156">
        <v>36514430</v>
      </c>
      <c r="AY156">
        <v>1</v>
      </c>
      <c r="AZ156">
        <v>0</v>
      </c>
      <c r="BA156">
        <v>157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0</v>
      </c>
      <c r="BI156">
        <v>0</v>
      </c>
      <c r="BJ156">
        <v>0</v>
      </c>
      <c r="BK156">
        <v>0</v>
      </c>
      <c r="BL156">
        <v>0</v>
      </c>
      <c r="BM156">
        <v>0</v>
      </c>
      <c r="BN156">
        <v>0</v>
      </c>
      <c r="BO156">
        <v>0</v>
      </c>
      <c r="BP156">
        <v>0</v>
      </c>
      <c r="BQ156">
        <v>0</v>
      </c>
      <c r="BR156">
        <v>0</v>
      </c>
      <c r="BS156">
        <v>0</v>
      </c>
      <c r="BT156">
        <v>0</v>
      </c>
      <c r="BU156">
        <v>0</v>
      </c>
      <c r="BV156">
        <v>0</v>
      </c>
      <c r="BW156">
        <v>0</v>
      </c>
      <c r="CX156">
        <f>Y156*Source!I201</f>
        <v>0.12959999999999999</v>
      </c>
      <c r="CY156">
        <f t="shared" si="28"/>
        <v>368</v>
      </c>
      <c r="CZ156">
        <f t="shared" si="29"/>
        <v>50</v>
      </c>
      <c r="DA156">
        <f t="shared" si="30"/>
        <v>7.36</v>
      </c>
      <c r="DB156">
        <f t="shared" si="26"/>
        <v>400</v>
      </c>
      <c r="DC156">
        <f t="shared" si="27"/>
        <v>0</v>
      </c>
    </row>
    <row r="157" spans="1:107">
      <c r="A157">
        <f>ROW(Source!A201)</f>
        <v>201</v>
      </c>
      <c r="B157">
        <v>35841400</v>
      </c>
      <c r="C157">
        <v>36514418</v>
      </c>
      <c r="D157">
        <v>29129806</v>
      </c>
      <c r="E157">
        <v>1</v>
      </c>
      <c r="F157">
        <v>1</v>
      </c>
      <c r="G157">
        <v>1</v>
      </c>
      <c r="H157">
        <v>3</v>
      </c>
      <c r="I157" t="s">
        <v>219</v>
      </c>
      <c r="J157" t="s">
        <v>221</v>
      </c>
      <c r="K157" t="s">
        <v>220</v>
      </c>
      <c r="L157">
        <v>1327</v>
      </c>
      <c r="N157">
        <v>1005</v>
      </c>
      <c r="O157" t="s">
        <v>129</v>
      </c>
      <c r="P157" t="s">
        <v>129</v>
      </c>
      <c r="Q157">
        <v>1</v>
      </c>
      <c r="W157">
        <v>0</v>
      </c>
      <c r="X157">
        <v>-1154308862</v>
      </c>
      <c r="Y157">
        <v>100</v>
      </c>
      <c r="AA157">
        <v>2608.5</v>
      </c>
      <c r="AB157">
        <v>0</v>
      </c>
      <c r="AC157">
        <v>0</v>
      </c>
      <c r="AD157">
        <v>0</v>
      </c>
      <c r="AE157">
        <v>1630.31</v>
      </c>
      <c r="AF157">
        <v>0</v>
      </c>
      <c r="AG157">
        <v>0</v>
      </c>
      <c r="AH157">
        <v>0</v>
      </c>
      <c r="AI157">
        <v>1.6</v>
      </c>
      <c r="AJ157">
        <v>1</v>
      </c>
      <c r="AK157">
        <v>1</v>
      </c>
      <c r="AL157">
        <v>1</v>
      </c>
      <c r="AN157">
        <v>0</v>
      </c>
      <c r="AO157">
        <v>1</v>
      </c>
      <c r="AP157">
        <v>0</v>
      </c>
      <c r="AQ157">
        <v>0</v>
      </c>
      <c r="AR157">
        <v>0</v>
      </c>
      <c r="AS157" t="s">
        <v>3</v>
      </c>
      <c r="AT157">
        <v>100</v>
      </c>
      <c r="AU157" t="s">
        <v>3</v>
      </c>
      <c r="AV157">
        <v>0</v>
      </c>
      <c r="AW157">
        <v>2</v>
      </c>
      <c r="AX157">
        <v>36514431</v>
      </c>
      <c r="AY157">
        <v>1</v>
      </c>
      <c r="AZ157">
        <v>0</v>
      </c>
      <c r="BA157">
        <v>158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0</v>
      </c>
      <c r="BI157">
        <v>0</v>
      </c>
      <c r="BJ157">
        <v>0</v>
      </c>
      <c r="BK157">
        <v>0</v>
      </c>
      <c r="BL157">
        <v>0</v>
      </c>
      <c r="BM157">
        <v>0</v>
      </c>
      <c r="BN157">
        <v>0</v>
      </c>
      <c r="BO157">
        <v>0</v>
      </c>
      <c r="BP157">
        <v>0</v>
      </c>
      <c r="BQ157">
        <v>0</v>
      </c>
      <c r="BR157">
        <v>0</v>
      </c>
      <c r="BS157">
        <v>0</v>
      </c>
      <c r="BT157">
        <v>0</v>
      </c>
      <c r="BU157">
        <v>0</v>
      </c>
      <c r="BV157">
        <v>0</v>
      </c>
      <c r="BW157">
        <v>0</v>
      </c>
      <c r="CX157">
        <f>Y157*Source!I201</f>
        <v>1.6199999999999999</v>
      </c>
      <c r="CY157">
        <f t="shared" si="28"/>
        <v>2608.5</v>
      </c>
      <c r="CZ157">
        <f t="shared" si="29"/>
        <v>1630.31</v>
      </c>
      <c r="DA157">
        <f t="shared" si="30"/>
        <v>1.6</v>
      </c>
      <c r="DB157">
        <f t="shared" si="26"/>
        <v>163031</v>
      </c>
      <c r="DC157">
        <f t="shared" si="27"/>
        <v>0</v>
      </c>
    </row>
    <row r="158" spans="1:107">
      <c r="A158">
        <f>ROW(Source!A202)</f>
        <v>202</v>
      </c>
      <c r="B158">
        <v>35841400</v>
      </c>
      <c r="C158">
        <v>36518301</v>
      </c>
      <c r="D158">
        <v>18407150</v>
      </c>
      <c r="E158">
        <v>1</v>
      </c>
      <c r="F158">
        <v>1</v>
      </c>
      <c r="G158">
        <v>1</v>
      </c>
      <c r="H158">
        <v>1</v>
      </c>
      <c r="I158" t="s">
        <v>475</v>
      </c>
      <c r="J158" t="s">
        <v>3</v>
      </c>
      <c r="K158" t="s">
        <v>476</v>
      </c>
      <c r="L158">
        <v>1369</v>
      </c>
      <c r="N158">
        <v>1013</v>
      </c>
      <c r="O158" t="s">
        <v>361</v>
      </c>
      <c r="P158" t="s">
        <v>361</v>
      </c>
      <c r="Q158">
        <v>1</v>
      </c>
      <c r="W158">
        <v>0</v>
      </c>
      <c r="X158">
        <v>-931037793</v>
      </c>
      <c r="Y158">
        <v>41.41</v>
      </c>
      <c r="AA158">
        <v>0</v>
      </c>
      <c r="AB158">
        <v>0</v>
      </c>
      <c r="AC158">
        <v>0</v>
      </c>
      <c r="AD158">
        <v>283.07</v>
      </c>
      <c r="AE158">
        <v>0</v>
      </c>
      <c r="AF158">
        <v>0</v>
      </c>
      <c r="AG158">
        <v>0</v>
      </c>
      <c r="AH158">
        <v>283.07</v>
      </c>
      <c r="AI158">
        <v>1</v>
      </c>
      <c r="AJ158">
        <v>1</v>
      </c>
      <c r="AK158">
        <v>1</v>
      </c>
      <c r="AL158">
        <v>1</v>
      </c>
      <c r="AN158">
        <v>0</v>
      </c>
      <c r="AO158">
        <v>1</v>
      </c>
      <c r="AP158">
        <v>0</v>
      </c>
      <c r="AQ158">
        <v>0</v>
      </c>
      <c r="AR158">
        <v>0</v>
      </c>
      <c r="AS158" t="s">
        <v>3</v>
      </c>
      <c r="AT158">
        <v>41.41</v>
      </c>
      <c r="AU158" t="s">
        <v>3</v>
      </c>
      <c r="AV158">
        <v>1</v>
      </c>
      <c r="AW158">
        <v>2</v>
      </c>
      <c r="AX158">
        <v>36518302</v>
      </c>
      <c r="AY158">
        <v>1</v>
      </c>
      <c r="AZ158">
        <v>0</v>
      </c>
      <c r="BA158">
        <v>159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0</v>
      </c>
      <c r="BI158">
        <v>0</v>
      </c>
      <c r="BJ158">
        <v>0</v>
      </c>
      <c r="BK158">
        <v>0</v>
      </c>
      <c r="BL158">
        <v>0</v>
      </c>
      <c r="BM158">
        <v>0</v>
      </c>
      <c r="BN158">
        <v>0</v>
      </c>
      <c r="BO158">
        <v>0</v>
      </c>
      <c r="BP158">
        <v>0</v>
      </c>
      <c r="BQ158">
        <v>0</v>
      </c>
      <c r="BR158">
        <v>0</v>
      </c>
      <c r="BS158">
        <v>0</v>
      </c>
      <c r="BT158">
        <v>0</v>
      </c>
      <c r="BU158">
        <v>0</v>
      </c>
      <c r="BV158">
        <v>0</v>
      </c>
      <c r="BW158">
        <v>0</v>
      </c>
      <c r="CX158">
        <f>Y158*Source!I202</f>
        <v>0.62114999999999998</v>
      </c>
      <c r="CY158">
        <f>AD158</f>
        <v>283.07</v>
      </c>
      <c r="CZ158">
        <f>AH158</f>
        <v>283.07</v>
      </c>
      <c r="DA158">
        <f>AL158</f>
        <v>1</v>
      </c>
      <c r="DB158">
        <f t="shared" si="26"/>
        <v>11721.93</v>
      </c>
      <c r="DC158">
        <f t="shared" si="27"/>
        <v>0</v>
      </c>
    </row>
    <row r="159" spans="1:107">
      <c r="A159">
        <f>ROW(Source!A202)</f>
        <v>202</v>
      </c>
      <c r="B159">
        <v>35841400</v>
      </c>
      <c r="C159">
        <v>36518301</v>
      </c>
      <c r="D159">
        <v>121548</v>
      </c>
      <c r="E159">
        <v>1</v>
      </c>
      <c r="F159">
        <v>1</v>
      </c>
      <c r="G159">
        <v>1</v>
      </c>
      <c r="H159">
        <v>1</v>
      </c>
      <c r="I159" t="s">
        <v>213</v>
      </c>
      <c r="J159" t="s">
        <v>3</v>
      </c>
      <c r="K159" t="s">
        <v>362</v>
      </c>
      <c r="L159">
        <v>608254</v>
      </c>
      <c r="N159">
        <v>1013</v>
      </c>
      <c r="O159" t="s">
        <v>363</v>
      </c>
      <c r="P159" t="s">
        <v>363</v>
      </c>
      <c r="Q159">
        <v>1</v>
      </c>
      <c r="W159">
        <v>0</v>
      </c>
      <c r="X159">
        <v>-185737400</v>
      </c>
      <c r="Y159">
        <v>0.08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1</v>
      </c>
      <c r="AJ159">
        <v>1</v>
      </c>
      <c r="AK159">
        <v>1</v>
      </c>
      <c r="AL159">
        <v>1</v>
      </c>
      <c r="AN159">
        <v>0</v>
      </c>
      <c r="AO159">
        <v>1</v>
      </c>
      <c r="AP159">
        <v>0</v>
      </c>
      <c r="AQ159">
        <v>0</v>
      </c>
      <c r="AR159">
        <v>0</v>
      </c>
      <c r="AS159" t="s">
        <v>3</v>
      </c>
      <c r="AT159">
        <v>0.08</v>
      </c>
      <c r="AU159" t="s">
        <v>3</v>
      </c>
      <c r="AV159">
        <v>2</v>
      </c>
      <c r="AW159">
        <v>2</v>
      </c>
      <c r="AX159">
        <v>36518303</v>
      </c>
      <c r="AY159">
        <v>1</v>
      </c>
      <c r="AZ159">
        <v>0</v>
      </c>
      <c r="BA159">
        <v>160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0</v>
      </c>
      <c r="BI159">
        <v>0</v>
      </c>
      <c r="BJ159">
        <v>0</v>
      </c>
      <c r="BK159">
        <v>0</v>
      </c>
      <c r="BL159">
        <v>0</v>
      </c>
      <c r="BM159">
        <v>0</v>
      </c>
      <c r="BN159">
        <v>0</v>
      </c>
      <c r="BO159">
        <v>0</v>
      </c>
      <c r="BP159">
        <v>0</v>
      </c>
      <c r="BQ159">
        <v>0</v>
      </c>
      <c r="BR159">
        <v>0</v>
      </c>
      <c r="BS159">
        <v>0</v>
      </c>
      <c r="BT159">
        <v>0</v>
      </c>
      <c r="BU159">
        <v>0</v>
      </c>
      <c r="BV159">
        <v>0</v>
      </c>
      <c r="BW159">
        <v>0</v>
      </c>
      <c r="CX159">
        <f>Y159*Source!I202</f>
        <v>1.1999999999999999E-3</v>
      </c>
      <c r="CY159">
        <f>AD159</f>
        <v>0</v>
      </c>
      <c r="CZ159">
        <f>AH159</f>
        <v>0</v>
      </c>
      <c r="DA159">
        <f>AL159</f>
        <v>1</v>
      </c>
      <c r="DB159">
        <f t="shared" si="26"/>
        <v>0</v>
      </c>
      <c r="DC159">
        <f t="shared" si="27"/>
        <v>0</v>
      </c>
    </row>
    <row r="160" spans="1:107">
      <c r="A160">
        <f>ROW(Source!A202)</f>
        <v>202</v>
      </c>
      <c r="B160">
        <v>35841400</v>
      </c>
      <c r="C160">
        <v>36518301</v>
      </c>
      <c r="D160">
        <v>29172556</v>
      </c>
      <c r="E160">
        <v>1</v>
      </c>
      <c r="F160">
        <v>1</v>
      </c>
      <c r="G160">
        <v>1</v>
      </c>
      <c r="H160">
        <v>2</v>
      </c>
      <c r="I160" t="s">
        <v>364</v>
      </c>
      <c r="J160" t="s">
        <v>365</v>
      </c>
      <c r="K160" t="s">
        <v>366</v>
      </c>
      <c r="L160">
        <v>1368</v>
      </c>
      <c r="N160">
        <v>1011</v>
      </c>
      <c r="O160" t="s">
        <v>367</v>
      </c>
      <c r="P160" t="s">
        <v>367</v>
      </c>
      <c r="Q160">
        <v>1</v>
      </c>
      <c r="W160">
        <v>0</v>
      </c>
      <c r="X160">
        <v>344519037</v>
      </c>
      <c r="Y160">
        <v>0.08</v>
      </c>
      <c r="AA160">
        <v>0</v>
      </c>
      <c r="AB160">
        <v>466.71</v>
      </c>
      <c r="AC160">
        <v>453.6</v>
      </c>
      <c r="AD160">
        <v>0</v>
      </c>
      <c r="AE160">
        <v>0</v>
      </c>
      <c r="AF160">
        <v>31.26</v>
      </c>
      <c r="AG160">
        <v>13.5</v>
      </c>
      <c r="AH160">
        <v>0</v>
      </c>
      <c r="AI160">
        <v>1</v>
      </c>
      <c r="AJ160">
        <v>14.93</v>
      </c>
      <c r="AK160">
        <v>33.6</v>
      </c>
      <c r="AL160">
        <v>1</v>
      </c>
      <c r="AN160">
        <v>0</v>
      </c>
      <c r="AO160">
        <v>1</v>
      </c>
      <c r="AP160">
        <v>0</v>
      </c>
      <c r="AQ160">
        <v>0</v>
      </c>
      <c r="AR160">
        <v>0</v>
      </c>
      <c r="AS160" t="s">
        <v>3</v>
      </c>
      <c r="AT160">
        <v>0.08</v>
      </c>
      <c r="AU160" t="s">
        <v>3</v>
      </c>
      <c r="AV160">
        <v>0</v>
      </c>
      <c r="AW160">
        <v>2</v>
      </c>
      <c r="AX160">
        <v>36518304</v>
      </c>
      <c r="AY160">
        <v>1</v>
      </c>
      <c r="AZ160">
        <v>0</v>
      </c>
      <c r="BA160">
        <v>161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0</v>
      </c>
      <c r="BI160">
        <v>0</v>
      </c>
      <c r="BJ160">
        <v>0</v>
      </c>
      <c r="BK160">
        <v>0</v>
      </c>
      <c r="BL160">
        <v>0</v>
      </c>
      <c r="BM160">
        <v>0</v>
      </c>
      <c r="BN160">
        <v>0</v>
      </c>
      <c r="BO160">
        <v>0</v>
      </c>
      <c r="BP160">
        <v>0</v>
      </c>
      <c r="BQ160">
        <v>0</v>
      </c>
      <c r="BR160">
        <v>0</v>
      </c>
      <c r="BS160">
        <v>0</v>
      </c>
      <c r="BT160">
        <v>0</v>
      </c>
      <c r="BU160">
        <v>0</v>
      </c>
      <c r="BV160">
        <v>0</v>
      </c>
      <c r="BW160">
        <v>0</v>
      </c>
      <c r="CX160">
        <f>Y160*Source!I202</f>
        <v>1.1999999999999999E-3</v>
      </c>
      <c r="CY160">
        <f>AB160</f>
        <v>466.71</v>
      </c>
      <c r="CZ160">
        <f>AF160</f>
        <v>31.26</v>
      </c>
      <c r="DA160">
        <f>AJ160</f>
        <v>14.93</v>
      </c>
      <c r="DB160">
        <f t="shared" si="26"/>
        <v>2.5</v>
      </c>
      <c r="DC160">
        <f t="shared" si="27"/>
        <v>1.08</v>
      </c>
    </row>
    <row r="161" spans="1:107">
      <c r="A161">
        <f>ROW(Source!A202)</f>
        <v>202</v>
      </c>
      <c r="B161">
        <v>35841400</v>
      </c>
      <c r="C161">
        <v>36518301</v>
      </c>
      <c r="D161">
        <v>29174913</v>
      </c>
      <c r="E161">
        <v>1</v>
      </c>
      <c r="F161">
        <v>1</v>
      </c>
      <c r="G161">
        <v>1</v>
      </c>
      <c r="H161">
        <v>2</v>
      </c>
      <c r="I161" t="s">
        <v>381</v>
      </c>
      <c r="J161" t="s">
        <v>382</v>
      </c>
      <c r="K161" t="s">
        <v>383</v>
      </c>
      <c r="L161">
        <v>1368</v>
      </c>
      <c r="N161">
        <v>1011</v>
      </c>
      <c r="O161" t="s">
        <v>367</v>
      </c>
      <c r="P161" t="s">
        <v>367</v>
      </c>
      <c r="Q161">
        <v>1</v>
      </c>
      <c r="W161">
        <v>0</v>
      </c>
      <c r="X161">
        <v>1230759911</v>
      </c>
      <c r="Y161">
        <v>0.04</v>
      </c>
      <c r="AA161">
        <v>0</v>
      </c>
      <c r="AB161">
        <v>932.72</v>
      </c>
      <c r="AC161">
        <v>389.76</v>
      </c>
      <c r="AD161">
        <v>0</v>
      </c>
      <c r="AE161">
        <v>0</v>
      </c>
      <c r="AF161">
        <v>87.17</v>
      </c>
      <c r="AG161">
        <v>11.6</v>
      </c>
      <c r="AH161">
        <v>0</v>
      </c>
      <c r="AI161">
        <v>1</v>
      </c>
      <c r="AJ161">
        <v>10.7</v>
      </c>
      <c r="AK161">
        <v>33.6</v>
      </c>
      <c r="AL161">
        <v>1</v>
      </c>
      <c r="AN161">
        <v>0</v>
      </c>
      <c r="AO161">
        <v>1</v>
      </c>
      <c r="AP161">
        <v>0</v>
      </c>
      <c r="AQ161">
        <v>0</v>
      </c>
      <c r="AR161">
        <v>0</v>
      </c>
      <c r="AS161" t="s">
        <v>3</v>
      </c>
      <c r="AT161">
        <v>0.04</v>
      </c>
      <c r="AU161" t="s">
        <v>3</v>
      </c>
      <c r="AV161">
        <v>0</v>
      </c>
      <c r="AW161">
        <v>2</v>
      </c>
      <c r="AX161">
        <v>36518305</v>
      </c>
      <c r="AY161">
        <v>1</v>
      </c>
      <c r="AZ161">
        <v>0</v>
      </c>
      <c r="BA161">
        <v>162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0</v>
      </c>
      <c r="BI161">
        <v>0</v>
      </c>
      <c r="BJ161">
        <v>0</v>
      </c>
      <c r="BK161">
        <v>0</v>
      </c>
      <c r="BL161">
        <v>0</v>
      </c>
      <c r="BM161">
        <v>0</v>
      </c>
      <c r="BN161">
        <v>0</v>
      </c>
      <c r="BO161">
        <v>0</v>
      </c>
      <c r="BP161">
        <v>0</v>
      </c>
      <c r="BQ161">
        <v>0</v>
      </c>
      <c r="BR161">
        <v>0</v>
      </c>
      <c r="BS161">
        <v>0</v>
      </c>
      <c r="BT161">
        <v>0</v>
      </c>
      <c r="BU161">
        <v>0</v>
      </c>
      <c r="BV161">
        <v>0</v>
      </c>
      <c r="BW161">
        <v>0</v>
      </c>
      <c r="CX161">
        <f>Y161*Source!I202</f>
        <v>5.9999999999999995E-4</v>
      </c>
      <c r="CY161">
        <f>AB161</f>
        <v>932.72</v>
      </c>
      <c r="CZ161">
        <f>AF161</f>
        <v>87.17</v>
      </c>
      <c r="DA161">
        <f>AJ161</f>
        <v>10.7</v>
      </c>
      <c r="DB161">
        <f t="shared" si="26"/>
        <v>3.49</v>
      </c>
      <c r="DC161">
        <f t="shared" si="27"/>
        <v>0.46</v>
      </c>
    </row>
    <row r="162" spans="1:107">
      <c r="A162">
        <f>ROW(Source!A202)</f>
        <v>202</v>
      </c>
      <c r="B162">
        <v>35841400</v>
      </c>
      <c r="C162">
        <v>36518301</v>
      </c>
      <c r="D162">
        <v>29113606</v>
      </c>
      <c r="E162">
        <v>1</v>
      </c>
      <c r="F162">
        <v>1</v>
      </c>
      <c r="G162">
        <v>1</v>
      </c>
      <c r="H162">
        <v>3</v>
      </c>
      <c r="I162" t="s">
        <v>541</v>
      </c>
      <c r="J162" t="s">
        <v>542</v>
      </c>
      <c r="K162" t="s">
        <v>543</v>
      </c>
      <c r="L162">
        <v>1348</v>
      </c>
      <c r="N162">
        <v>1009</v>
      </c>
      <c r="O162" t="s">
        <v>41</v>
      </c>
      <c r="P162" t="s">
        <v>41</v>
      </c>
      <c r="Q162">
        <v>1000</v>
      </c>
      <c r="W162">
        <v>0</v>
      </c>
      <c r="X162">
        <v>1312478302</v>
      </c>
      <c r="Y162">
        <v>6.0000000000000001E-3</v>
      </c>
      <c r="AA162">
        <v>148906.51</v>
      </c>
      <c r="AB162">
        <v>0</v>
      </c>
      <c r="AC162">
        <v>0</v>
      </c>
      <c r="AD162">
        <v>0</v>
      </c>
      <c r="AE162">
        <v>8022.98</v>
      </c>
      <c r="AF162">
        <v>0</v>
      </c>
      <c r="AG162">
        <v>0</v>
      </c>
      <c r="AH162">
        <v>0</v>
      </c>
      <c r="AI162">
        <v>18.559999999999999</v>
      </c>
      <c r="AJ162">
        <v>1</v>
      </c>
      <c r="AK162">
        <v>1</v>
      </c>
      <c r="AL162">
        <v>1</v>
      </c>
      <c r="AN162">
        <v>0</v>
      </c>
      <c r="AO162">
        <v>1</v>
      </c>
      <c r="AP162">
        <v>0</v>
      </c>
      <c r="AQ162">
        <v>0</v>
      </c>
      <c r="AR162">
        <v>0</v>
      </c>
      <c r="AS162" t="s">
        <v>3</v>
      </c>
      <c r="AT162">
        <v>6.0000000000000001E-3</v>
      </c>
      <c r="AU162" t="s">
        <v>3</v>
      </c>
      <c r="AV162">
        <v>0</v>
      </c>
      <c r="AW162">
        <v>2</v>
      </c>
      <c r="AX162">
        <v>36518306</v>
      </c>
      <c r="AY162">
        <v>1</v>
      </c>
      <c r="AZ162">
        <v>0</v>
      </c>
      <c r="BA162">
        <v>163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0</v>
      </c>
      <c r="BI162">
        <v>0</v>
      </c>
      <c r="BJ162">
        <v>0</v>
      </c>
      <c r="BK162">
        <v>0</v>
      </c>
      <c r="BL162">
        <v>0</v>
      </c>
      <c r="BM162">
        <v>0</v>
      </c>
      <c r="BN162">
        <v>0</v>
      </c>
      <c r="BO162">
        <v>0</v>
      </c>
      <c r="BP162">
        <v>0</v>
      </c>
      <c r="BQ162">
        <v>0</v>
      </c>
      <c r="BR162">
        <v>0</v>
      </c>
      <c r="BS162">
        <v>0</v>
      </c>
      <c r="BT162">
        <v>0</v>
      </c>
      <c r="BU162">
        <v>0</v>
      </c>
      <c r="BV162">
        <v>0</v>
      </c>
      <c r="BW162">
        <v>0</v>
      </c>
      <c r="CX162">
        <f>Y162*Source!I202</f>
        <v>8.9999999999999992E-5</v>
      </c>
      <c r="CY162">
        <f>AA162</f>
        <v>148906.51</v>
      </c>
      <c r="CZ162">
        <f>AE162</f>
        <v>8022.98</v>
      </c>
      <c r="DA162">
        <f>AI162</f>
        <v>18.559999999999999</v>
      </c>
      <c r="DB162">
        <f t="shared" si="26"/>
        <v>48.14</v>
      </c>
      <c r="DC162">
        <f t="shared" si="27"/>
        <v>0</v>
      </c>
    </row>
    <row r="163" spans="1:107">
      <c r="A163">
        <f>ROW(Source!A202)</f>
        <v>202</v>
      </c>
      <c r="B163">
        <v>35841400</v>
      </c>
      <c r="C163">
        <v>36518301</v>
      </c>
      <c r="D163">
        <v>29113165</v>
      </c>
      <c r="E163">
        <v>1</v>
      </c>
      <c r="F163">
        <v>1</v>
      </c>
      <c r="G163">
        <v>1</v>
      </c>
      <c r="H163">
        <v>3</v>
      </c>
      <c r="I163" t="s">
        <v>544</v>
      </c>
      <c r="J163" t="s">
        <v>545</v>
      </c>
      <c r="K163" t="s">
        <v>546</v>
      </c>
      <c r="L163">
        <v>1348</v>
      </c>
      <c r="N163">
        <v>1009</v>
      </c>
      <c r="O163" t="s">
        <v>41</v>
      </c>
      <c r="P163" t="s">
        <v>41</v>
      </c>
      <c r="Q163">
        <v>1000</v>
      </c>
      <c r="W163">
        <v>0</v>
      </c>
      <c r="X163">
        <v>-1951676631</v>
      </c>
      <c r="Y163">
        <v>0.184</v>
      </c>
      <c r="AA163">
        <v>117712.11</v>
      </c>
      <c r="AB163">
        <v>0</v>
      </c>
      <c r="AC163">
        <v>0</v>
      </c>
      <c r="AD163">
        <v>0</v>
      </c>
      <c r="AE163">
        <v>11200.01</v>
      </c>
      <c r="AF163">
        <v>0</v>
      </c>
      <c r="AG163">
        <v>0</v>
      </c>
      <c r="AH163">
        <v>0</v>
      </c>
      <c r="AI163">
        <v>10.51</v>
      </c>
      <c r="AJ163">
        <v>1</v>
      </c>
      <c r="AK163">
        <v>1</v>
      </c>
      <c r="AL163">
        <v>1</v>
      </c>
      <c r="AN163">
        <v>0</v>
      </c>
      <c r="AO163">
        <v>1</v>
      </c>
      <c r="AP163">
        <v>0</v>
      </c>
      <c r="AQ163">
        <v>0</v>
      </c>
      <c r="AR163">
        <v>0</v>
      </c>
      <c r="AS163" t="s">
        <v>3</v>
      </c>
      <c r="AT163">
        <v>0.184</v>
      </c>
      <c r="AU163" t="s">
        <v>3</v>
      </c>
      <c r="AV163">
        <v>0</v>
      </c>
      <c r="AW163">
        <v>2</v>
      </c>
      <c r="AX163">
        <v>36518307</v>
      </c>
      <c r="AY163">
        <v>1</v>
      </c>
      <c r="AZ163">
        <v>0</v>
      </c>
      <c r="BA163">
        <v>164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0</v>
      </c>
      <c r="BI163">
        <v>0</v>
      </c>
      <c r="BJ163">
        <v>0</v>
      </c>
      <c r="BK163">
        <v>0</v>
      </c>
      <c r="BL163">
        <v>0</v>
      </c>
      <c r="BM163">
        <v>0</v>
      </c>
      <c r="BN163">
        <v>0</v>
      </c>
      <c r="BO163">
        <v>0</v>
      </c>
      <c r="BP163">
        <v>0</v>
      </c>
      <c r="BQ163">
        <v>0</v>
      </c>
      <c r="BR163">
        <v>0</v>
      </c>
      <c r="BS163">
        <v>0</v>
      </c>
      <c r="BT163">
        <v>0</v>
      </c>
      <c r="BU163">
        <v>0</v>
      </c>
      <c r="BV163">
        <v>0</v>
      </c>
      <c r="BW163">
        <v>0</v>
      </c>
      <c r="CX163">
        <f>Y163*Source!I202</f>
        <v>2.7599999999999999E-3</v>
      </c>
      <c r="CY163">
        <f>AA163</f>
        <v>117712.11</v>
      </c>
      <c r="CZ163">
        <f>AE163</f>
        <v>11200.01</v>
      </c>
      <c r="DA163">
        <f>AI163</f>
        <v>10.51</v>
      </c>
      <c r="DB163">
        <f t="shared" si="26"/>
        <v>2060.8000000000002</v>
      </c>
      <c r="DC163">
        <f t="shared" si="27"/>
        <v>0</v>
      </c>
    </row>
    <row r="164" spans="1:107">
      <c r="A164">
        <f>ROW(Source!A202)</f>
        <v>202</v>
      </c>
      <c r="B164">
        <v>35841400</v>
      </c>
      <c r="C164">
        <v>36518301</v>
      </c>
      <c r="D164">
        <v>29114332</v>
      </c>
      <c r="E164">
        <v>1</v>
      </c>
      <c r="F164">
        <v>1</v>
      </c>
      <c r="G164">
        <v>1</v>
      </c>
      <c r="H164">
        <v>3</v>
      </c>
      <c r="I164" t="s">
        <v>489</v>
      </c>
      <c r="J164" t="s">
        <v>490</v>
      </c>
      <c r="K164" t="s">
        <v>491</v>
      </c>
      <c r="L164">
        <v>1348</v>
      </c>
      <c r="N164">
        <v>1009</v>
      </c>
      <c r="O164" t="s">
        <v>41</v>
      </c>
      <c r="P164" t="s">
        <v>41</v>
      </c>
      <c r="Q164">
        <v>1000</v>
      </c>
      <c r="W164">
        <v>0</v>
      </c>
      <c r="X164">
        <v>1561117559</v>
      </c>
      <c r="Y164">
        <v>4.0000000000000001E-3</v>
      </c>
      <c r="AA164">
        <v>54619.68</v>
      </c>
      <c r="AB164">
        <v>0</v>
      </c>
      <c r="AC164">
        <v>0</v>
      </c>
      <c r="AD164">
        <v>0</v>
      </c>
      <c r="AE164">
        <v>11978</v>
      </c>
      <c r="AF164">
        <v>0</v>
      </c>
      <c r="AG164">
        <v>0</v>
      </c>
      <c r="AH164">
        <v>0</v>
      </c>
      <c r="AI164">
        <v>4.5599999999999996</v>
      </c>
      <c r="AJ164">
        <v>1</v>
      </c>
      <c r="AK164">
        <v>1</v>
      </c>
      <c r="AL164">
        <v>1</v>
      </c>
      <c r="AN164">
        <v>0</v>
      </c>
      <c r="AO164">
        <v>1</v>
      </c>
      <c r="AP164">
        <v>0</v>
      </c>
      <c r="AQ164">
        <v>0</v>
      </c>
      <c r="AR164">
        <v>0</v>
      </c>
      <c r="AS164" t="s">
        <v>3</v>
      </c>
      <c r="AT164">
        <v>4.0000000000000001E-3</v>
      </c>
      <c r="AU164" t="s">
        <v>3</v>
      </c>
      <c r="AV164">
        <v>0</v>
      </c>
      <c r="AW164">
        <v>2</v>
      </c>
      <c r="AX164">
        <v>36518308</v>
      </c>
      <c r="AY164">
        <v>1</v>
      </c>
      <c r="AZ164">
        <v>0</v>
      </c>
      <c r="BA164">
        <v>165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0</v>
      </c>
      <c r="BI164">
        <v>0</v>
      </c>
      <c r="BJ164">
        <v>0</v>
      </c>
      <c r="BK164">
        <v>0</v>
      </c>
      <c r="BL164">
        <v>0</v>
      </c>
      <c r="BM164">
        <v>0</v>
      </c>
      <c r="BN164">
        <v>0</v>
      </c>
      <c r="BO164">
        <v>0</v>
      </c>
      <c r="BP164">
        <v>0</v>
      </c>
      <c r="BQ164">
        <v>0</v>
      </c>
      <c r="BR164">
        <v>0</v>
      </c>
      <c r="BS164">
        <v>0</v>
      </c>
      <c r="BT164">
        <v>0</v>
      </c>
      <c r="BU164">
        <v>0</v>
      </c>
      <c r="BV164">
        <v>0</v>
      </c>
      <c r="BW164">
        <v>0</v>
      </c>
      <c r="CX164">
        <f>Y164*Source!I202</f>
        <v>6.0000000000000002E-5</v>
      </c>
      <c r="CY164">
        <f>AA164</f>
        <v>54619.68</v>
      </c>
      <c r="CZ164">
        <f>AE164</f>
        <v>11978</v>
      </c>
      <c r="DA164">
        <f>AI164</f>
        <v>4.5599999999999996</v>
      </c>
      <c r="DB164">
        <f t="shared" si="26"/>
        <v>47.91</v>
      </c>
      <c r="DC164">
        <f t="shared" si="27"/>
        <v>0</v>
      </c>
    </row>
    <row r="165" spans="1:107">
      <c r="A165">
        <f>ROW(Source!A202)</f>
        <v>202</v>
      </c>
      <c r="B165">
        <v>35841400</v>
      </c>
      <c r="C165">
        <v>36518301</v>
      </c>
      <c r="D165">
        <v>29164349</v>
      </c>
      <c r="E165">
        <v>1</v>
      </c>
      <c r="F165">
        <v>1</v>
      </c>
      <c r="G165">
        <v>1</v>
      </c>
      <c r="H165">
        <v>3</v>
      </c>
      <c r="I165" t="s">
        <v>39</v>
      </c>
      <c r="J165" t="s">
        <v>168</v>
      </c>
      <c r="K165" t="s">
        <v>40</v>
      </c>
      <c r="L165">
        <v>1348</v>
      </c>
      <c r="N165">
        <v>1009</v>
      </c>
      <c r="O165" t="s">
        <v>41</v>
      </c>
      <c r="P165" t="s">
        <v>41</v>
      </c>
      <c r="Q165">
        <v>1000</v>
      </c>
      <c r="W165">
        <v>0</v>
      </c>
      <c r="X165">
        <v>1876412176</v>
      </c>
      <c r="Y165">
        <v>0.224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1</v>
      </c>
      <c r="AJ165">
        <v>1</v>
      </c>
      <c r="AK165">
        <v>1</v>
      </c>
      <c r="AL165">
        <v>1</v>
      </c>
      <c r="AN165">
        <v>0</v>
      </c>
      <c r="AO165">
        <v>0</v>
      </c>
      <c r="AP165">
        <v>0</v>
      </c>
      <c r="AQ165">
        <v>0</v>
      </c>
      <c r="AR165">
        <v>0</v>
      </c>
      <c r="AS165" t="s">
        <v>3</v>
      </c>
      <c r="AT165">
        <v>0.224</v>
      </c>
      <c r="AU165" t="s">
        <v>3</v>
      </c>
      <c r="AV165">
        <v>0</v>
      </c>
      <c r="AW165">
        <v>2</v>
      </c>
      <c r="AX165">
        <v>36518309</v>
      </c>
      <c r="AY165">
        <v>1</v>
      </c>
      <c r="AZ165">
        <v>0</v>
      </c>
      <c r="BA165">
        <v>166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0</v>
      </c>
      <c r="BI165">
        <v>0</v>
      </c>
      <c r="BJ165">
        <v>0</v>
      </c>
      <c r="BK165">
        <v>0</v>
      </c>
      <c r="BL165">
        <v>0</v>
      </c>
      <c r="BM165">
        <v>0</v>
      </c>
      <c r="BN165">
        <v>0</v>
      </c>
      <c r="BO165">
        <v>0</v>
      </c>
      <c r="BP165">
        <v>0</v>
      </c>
      <c r="BQ165">
        <v>0</v>
      </c>
      <c r="BR165">
        <v>0</v>
      </c>
      <c r="BS165">
        <v>0</v>
      </c>
      <c r="BT165">
        <v>0</v>
      </c>
      <c r="BU165">
        <v>0</v>
      </c>
      <c r="BV165">
        <v>0</v>
      </c>
      <c r="BW165">
        <v>0</v>
      </c>
      <c r="CX165">
        <f>Y165*Source!I202</f>
        <v>3.3600000000000001E-3</v>
      </c>
      <c r="CY165">
        <f>AA165</f>
        <v>0</v>
      </c>
      <c r="CZ165">
        <f>AE165</f>
        <v>0</v>
      </c>
      <c r="DA165">
        <f>AI165</f>
        <v>1</v>
      </c>
      <c r="DB165">
        <f t="shared" si="26"/>
        <v>0</v>
      </c>
      <c r="DC165">
        <f t="shared" si="27"/>
        <v>0</v>
      </c>
    </row>
    <row r="166" spans="1:107">
      <c r="A166">
        <f>ROW(Source!A204)</f>
        <v>204</v>
      </c>
      <c r="B166">
        <v>35841400</v>
      </c>
      <c r="C166">
        <v>36514521</v>
      </c>
      <c r="D166">
        <v>18407150</v>
      </c>
      <c r="E166">
        <v>1</v>
      </c>
      <c r="F166">
        <v>1</v>
      </c>
      <c r="G166">
        <v>1</v>
      </c>
      <c r="H166">
        <v>1</v>
      </c>
      <c r="I166" t="s">
        <v>475</v>
      </c>
      <c r="J166" t="s">
        <v>3</v>
      </c>
      <c r="K166" t="s">
        <v>476</v>
      </c>
      <c r="L166">
        <v>1369</v>
      </c>
      <c r="N166">
        <v>1013</v>
      </c>
      <c r="O166" t="s">
        <v>361</v>
      </c>
      <c r="P166" t="s">
        <v>361</v>
      </c>
      <c r="Q166">
        <v>1</v>
      </c>
      <c r="W166">
        <v>0</v>
      </c>
      <c r="X166">
        <v>-931037793</v>
      </c>
      <c r="Y166">
        <v>24.368500000000001</v>
      </c>
      <c r="AA166">
        <v>0</v>
      </c>
      <c r="AB166">
        <v>0</v>
      </c>
      <c r="AC166">
        <v>0</v>
      </c>
      <c r="AD166">
        <v>283.07</v>
      </c>
      <c r="AE166">
        <v>0</v>
      </c>
      <c r="AF166">
        <v>0</v>
      </c>
      <c r="AG166">
        <v>0</v>
      </c>
      <c r="AH166">
        <v>283.07</v>
      </c>
      <c r="AI166">
        <v>1</v>
      </c>
      <c r="AJ166">
        <v>1</v>
      </c>
      <c r="AK166">
        <v>1</v>
      </c>
      <c r="AL166">
        <v>1</v>
      </c>
      <c r="AN166">
        <v>0</v>
      </c>
      <c r="AO166">
        <v>1</v>
      </c>
      <c r="AP166">
        <v>1</v>
      </c>
      <c r="AQ166">
        <v>0</v>
      </c>
      <c r="AR166">
        <v>0</v>
      </c>
      <c r="AS166" t="s">
        <v>3</v>
      </c>
      <c r="AT166">
        <v>21.19</v>
      </c>
      <c r="AU166" t="s">
        <v>114</v>
      </c>
      <c r="AV166">
        <v>1</v>
      </c>
      <c r="AW166">
        <v>2</v>
      </c>
      <c r="AX166">
        <v>36514522</v>
      </c>
      <c r="AY166">
        <v>2</v>
      </c>
      <c r="AZ166">
        <v>131072</v>
      </c>
      <c r="BA166">
        <v>167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0</v>
      </c>
      <c r="BI166">
        <v>0</v>
      </c>
      <c r="BJ166">
        <v>0</v>
      </c>
      <c r="BK166">
        <v>0</v>
      </c>
      <c r="BL166">
        <v>0</v>
      </c>
      <c r="BM166">
        <v>0</v>
      </c>
      <c r="BN166">
        <v>0</v>
      </c>
      <c r="BO166">
        <v>0</v>
      </c>
      <c r="BP166">
        <v>0</v>
      </c>
      <c r="BQ166">
        <v>0</v>
      </c>
      <c r="BR166">
        <v>0</v>
      </c>
      <c r="BS166">
        <v>0</v>
      </c>
      <c r="BT166">
        <v>0</v>
      </c>
      <c r="BU166">
        <v>0</v>
      </c>
      <c r="BV166">
        <v>0</v>
      </c>
      <c r="BW166">
        <v>0</v>
      </c>
      <c r="CX166">
        <f>Y166*Source!I204</f>
        <v>0.438633</v>
      </c>
      <c r="CY166">
        <f>AD166</f>
        <v>283.07</v>
      </c>
      <c r="CZ166">
        <f>AH166</f>
        <v>283.07</v>
      </c>
      <c r="DA166">
        <f>AL166</f>
        <v>1</v>
      </c>
      <c r="DB166">
        <f>ROUND((ROUND(AT166*CZ166,2)*1.15),6)</f>
        <v>6897.9875000000002</v>
      </c>
      <c r="DC166">
        <f>ROUND((ROUND(AT166*AG166,2)*1.15),6)</f>
        <v>0</v>
      </c>
    </row>
    <row r="167" spans="1:107">
      <c r="A167">
        <f>ROW(Source!A204)</f>
        <v>204</v>
      </c>
      <c r="B167">
        <v>35841400</v>
      </c>
      <c r="C167">
        <v>36514521</v>
      </c>
      <c r="D167">
        <v>121548</v>
      </c>
      <c r="E167">
        <v>1</v>
      </c>
      <c r="F167">
        <v>1</v>
      </c>
      <c r="G167">
        <v>1</v>
      </c>
      <c r="H167">
        <v>1</v>
      </c>
      <c r="I167" t="s">
        <v>213</v>
      </c>
      <c r="J167" t="s">
        <v>3</v>
      </c>
      <c r="K167" t="s">
        <v>362</v>
      </c>
      <c r="L167">
        <v>608254</v>
      </c>
      <c r="N167">
        <v>1013</v>
      </c>
      <c r="O167" t="s">
        <v>363</v>
      </c>
      <c r="P167" t="s">
        <v>363</v>
      </c>
      <c r="Q167">
        <v>1</v>
      </c>
      <c r="W167">
        <v>0</v>
      </c>
      <c r="X167">
        <v>-185737400</v>
      </c>
      <c r="Y167">
        <v>0.04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1</v>
      </c>
      <c r="AJ167">
        <v>1</v>
      </c>
      <c r="AK167">
        <v>1</v>
      </c>
      <c r="AL167">
        <v>1</v>
      </c>
      <c r="AN167">
        <v>0</v>
      </c>
      <c r="AO167">
        <v>1</v>
      </c>
      <c r="AP167">
        <v>1</v>
      </c>
      <c r="AQ167">
        <v>0</v>
      </c>
      <c r="AR167">
        <v>0</v>
      </c>
      <c r="AS167" t="s">
        <v>3</v>
      </c>
      <c r="AT167">
        <v>0.04</v>
      </c>
      <c r="AU167" t="s">
        <v>3</v>
      </c>
      <c r="AV167">
        <v>2</v>
      </c>
      <c r="AW167">
        <v>2</v>
      </c>
      <c r="AX167">
        <v>36514523</v>
      </c>
      <c r="AY167">
        <v>1</v>
      </c>
      <c r="AZ167">
        <v>0</v>
      </c>
      <c r="BA167">
        <v>168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0</v>
      </c>
      <c r="BI167">
        <v>0</v>
      </c>
      <c r="BJ167">
        <v>0</v>
      </c>
      <c r="BK167">
        <v>0</v>
      </c>
      <c r="BL167">
        <v>0</v>
      </c>
      <c r="BM167">
        <v>0</v>
      </c>
      <c r="BN167">
        <v>0</v>
      </c>
      <c r="BO167">
        <v>0</v>
      </c>
      <c r="BP167">
        <v>0</v>
      </c>
      <c r="BQ167">
        <v>0</v>
      </c>
      <c r="BR167">
        <v>0</v>
      </c>
      <c r="BS167">
        <v>0</v>
      </c>
      <c r="BT167">
        <v>0</v>
      </c>
      <c r="BU167">
        <v>0</v>
      </c>
      <c r="BV167">
        <v>0</v>
      </c>
      <c r="BW167">
        <v>0</v>
      </c>
      <c r="CX167">
        <f>Y167*Source!I204</f>
        <v>7.1999999999999994E-4</v>
      </c>
      <c r="CY167">
        <f>AD167</f>
        <v>0</v>
      </c>
      <c r="CZ167">
        <f>AH167</f>
        <v>0</v>
      </c>
      <c r="DA167">
        <f>AL167</f>
        <v>1</v>
      </c>
      <c r="DB167">
        <f t="shared" ref="DB167:DB172" si="31">ROUND(ROUND(AT167*CZ167,2),6)</f>
        <v>0</v>
      </c>
      <c r="DC167">
        <f t="shared" ref="DC167:DC172" si="32">ROUND(ROUND(AT167*AG167,2),6)</f>
        <v>0</v>
      </c>
    </row>
    <row r="168" spans="1:107">
      <c r="A168">
        <f>ROW(Source!A204)</f>
        <v>204</v>
      </c>
      <c r="B168">
        <v>35841400</v>
      </c>
      <c r="C168">
        <v>36514521</v>
      </c>
      <c r="D168">
        <v>29172556</v>
      </c>
      <c r="E168">
        <v>1</v>
      </c>
      <c r="F168">
        <v>1</v>
      </c>
      <c r="G168">
        <v>1</v>
      </c>
      <c r="H168">
        <v>2</v>
      </c>
      <c r="I168" t="s">
        <v>364</v>
      </c>
      <c r="J168" t="s">
        <v>365</v>
      </c>
      <c r="K168" t="s">
        <v>366</v>
      </c>
      <c r="L168">
        <v>1368</v>
      </c>
      <c r="N168">
        <v>1011</v>
      </c>
      <c r="O168" t="s">
        <v>367</v>
      </c>
      <c r="P168" t="s">
        <v>367</v>
      </c>
      <c r="Q168">
        <v>1</v>
      </c>
      <c r="W168">
        <v>0</v>
      </c>
      <c r="X168">
        <v>344519037</v>
      </c>
      <c r="Y168">
        <v>0.04</v>
      </c>
      <c r="AA168">
        <v>0</v>
      </c>
      <c r="AB168">
        <v>466.71</v>
      </c>
      <c r="AC168">
        <v>453.6</v>
      </c>
      <c r="AD168">
        <v>0</v>
      </c>
      <c r="AE168">
        <v>0</v>
      </c>
      <c r="AF168">
        <v>31.26</v>
      </c>
      <c r="AG168">
        <v>13.5</v>
      </c>
      <c r="AH168">
        <v>0</v>
      </c>
      <c r="AI168">
        <v>1</v>
      </c>
      <c r="AJ168">
        <v>14.93</v>
      </c>
      <c r="AK168">
        <v>33.6</v>
      </c>
      <c r="AL168">
        <v>1</v>
      </c>
      <c r="AN168">
        <v>0</v>
      </c>
      <c r="AO168">
        <v>1</v>
      </c>
      <c r="AP168">
        <v>1</v>
      </c>
      <c r="AQ168">
        <v>0</v>
      </c>
      <c r="AR168">
        <v>0</v>
      </c>
      <c r="AS168" t="s">
        <v>3</v>
      </c>
      <c r="AT168">
        <v>0.04</v>
      </c>
      <c r="AU168" t="s">
        <v>3</v>
      </c>
      <c r="AV168">
        <v>0</v>
      </c>
      <c r="AW168">
        <v>2</v>
      </c>
      <c r="AX168">
        <v>36514524</v>
      </c>
      <c r="AY168">
        <v>1</v>
      </c>
      <c r="AZ168">
        <v>0</v>
      </c>
      <c r="BA168">
        <v>169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0</v>
      </c>
      <c r="BI168">
        <v>0</v>
      </c>
      <c r="BJ168">
        <v>0</v>
      </c>
      <c r="BK168">
        <v>0</v>
      </c>
      <c r="BL168">
        <v>0</v>
      </c>
      <c r="BM168">
        <v>0</v>
      </c>
      <c r="BN168">
        <v>0</v>
      </c>
      <c r="BO168">
        <v>0</v>
      </c>
      <c r="BP168">
        <v>0</v>
      </c>
      <c r="BQ168">
        <v>0</v>
      </c>
      <c r="BR168">
        <v>0</v>
      </c>
      <c r="BS168">
        <v>0</v>
      </c>
      <c r="BT168">
        <v>0</v>
      </c>
      <c r="BU168">
        <v>0</v>
      </c>
      <c r="BV168">
        <v>0</v>
      </c>
      <c r="BW168">
        <v>0</v>
      </c>
      <c r="CX168">
        <f>Y168*Source!I204</f>
        <v>7.1999999999999994E-4</v>
      </c>
      <c r="CY168">
        <f>AB168</f>
        <v>466.71</v>
      </c>
      <c r="CZ168">
        <f>AF168</f>
        <v>31.26</v>
      </c>
      <c r="DA168">
        <f>AJ168</f>
        <v>14.93</v>
      </c>
      <c r="DB168">
        <f t="shared" si="31"/>
        <v>1.25</v>
      </c>
      <c r="DC168">
        <f t="shared" si="32"/>
        <v>0.54</v>
      </c>
    </row>
    <row r="169" spans="1:107">
      <c r="A169">
        <f>ROW(Source!A204)</f>
        <v>204</v>
      </c>
      <c r="B169">
        <v>35841400</v>
      </c>
      <c r="C169">
        <v>36514521</v>
      </c>
      <c r="D169">
        <v>29174913</v>
      </c>
      <c r="E169">
        <v>1</v>
      </c>
      <c r="F169">
        <v>1</v>
      </c>
      <c r="G169">
        <v>1</v>
      </c>
      <c r="H169">
        <v>2</v>
      </c>
      <c r="I169" t="s">
        <v>381</v>
      </c>
      <c r="J169" t="s">
        <v>382</v>
      </c>
      <c r="K169" t="s">
        <v>383</v>
      </c>
      <c r="L169">
        <v>1368</v>
      </c>
      <c r="N169">
        <v>1011</v>
      </c>
      <c r="O169" t="s">
        <v>367</v>
      </c>
      <c r="P169" t="s">
        <v>367</v>
      </c>
      <c r="Q169">
        <v>1</v>
      </c>
      <c r="W169">
        <v>0</v>
      </c>
      <c r="X169">
        <v>1230759911</v>
      </c>
      <c r="Y169">
        <v>0.15</v>
      </c>
      <c r="AA169">
        <v>0</v>
      </c>
      <c r="AB169">
        <v>932.72</v>
      </c>
      <c r="AC169">
        <v>389.76</v>
      </c>
      <c r="AD169">
        <v>0</v>
      </c>
      <c r="AE169">
        <v>0</v>
      </c>
      <c r="AF169">
        <v>87.17</v>
      </c>
      <c r="AG169">
        <v>11.6</v>
      </c>
      <c r="AH169">
        <v>0</v>
      </c>
      <c r="AI169">
        <v>1</v>
      </c>
      <c r="AJ169">
        <v>10.7</v>
      </c>
      <c r="AK169">
        <v>33.6</v>
      </c>
      <c r="AL169">
        <v>1</v>
      </c>
      <c r="AN169">
        <v>0</v>
      </c>
      <c r="AO169">
        <v>1</v>
      </c>
      <c r="AP169">
        <v>1</v>
      </c>
      <c r="AQ169">
        <v>0</v>
      </c>
      <c r="AR169">
        <v>0</v>
      </c>
      <c r="AS169" t="s">
        <v>3</v>
      </c>
      <c r="AT169">
        <v>0.15</v>
      </c>
      <c r="AU169" t="s">
        <v>3</v>
      </c>
      <c r="AV169">
        <v>0</v>
      </c>
      <c r="AW169">
        <v>2</v>
      </c>
      <c r="AX169">
        <v>36514525</v>
      </c>
      <c r="AY169">
        <v>1</v>
      </c>
      <c r="AZ169">
        <v>0</v>
      </c>
      <c r="BA169">
        <v>170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0</v>
      </c>
      <c r="BI169">
        <v>0</v>
      </c>
      <c r="BJ169">
        <v>0</v>
      </c>
      <c r="BK169">
        <v>0</v>
      </c>
      <c r="BL169">
        <v>0</v>
      </c>
      <c r="BM169">
        <v>0</v>
      </c>
      <c r="BN169">
        <v>0</v>
      </c>
      <c r="BO169">
        <v>0</v>
      </c>
      <c r="BP169">
        <v>0</v>
      </c>
      <c r="BQ169">
        <v>0</v>
      </c>
      <c r="BR169">
        <v>0</v>
      </c>
      <c r="BS169">
        <v>0</v>
      </c>
      <c r="BT169">
        <v>0</v>
      </c>
      <c r="BU169">
        <v>0</v>
      </c>
      <c r="BV169">
        <v>0</v>
      </c>
      <c r="BW169">
        <v>0</v>
      </c>
      <c r="CX169">
        <f>Y169*Source!I204</f>
        <v>2.6999999999999997E-3</v>
      </c>
      <c r="CY169">
        <f>AB169</f>
        <v>932.72</v>
      </c>
      <c r="CZ169">
        <f>AF169</f>
        <v>87.17</v>
      </c>
      <c r="DA169">
        <f>AJ169</f>
        <v>10.7</v>
      </c>
      <c r="DB169">
        <f t="shared" si="31"/>
        <v>13.08</v>
      </c>
      <c r="DC169">
        <f t="shared" si="32"/>
        <v>1.74</v>
      </c>
    </row>
    <row r="170" spans="1:107">
      <c r="A170">
        <f>ROW(Source!A204)</f>
        <v>204</v>
      </c>
      <c r="B170">
        <v>35841400</v>
      </c>
      <c r="C170">
        <v>36514521</v>
      </c>
      <c r="D170">
        <v>29108696</v>
      </c>
      <c r="E170">
        <v>1</v>
      </c>
      <c r="F170">
        <v>1</v>
      </c>
      <c r="G170">
        <v>1</v>
      </c>
      <c r="H170">
        <v>3</v>
      </c>
      <c r="I170" t="s">
        <v>524</v>
      </c>
      <c r="J170" t="s">
        <v>525</v>
      </c>
      <c r="K170" t="s">
        <v>526</v>
      </c>
      <c r="L170">
        <v>1354</v>
      </c>
      <c r="N170">
        <v>1010</v>
      </c>
      <c r="O170" t="s">
        <v>195</v>
      </c>
      <c r="P170" t="s">
        <v>195</v>
      </c>
      <c r="Q170">
        <v>1</v>
      </c>
      <c r="W170">
        <v>0</v>
      </c>
      <c r="X170">
        <v>-393423820</v>
      </c>
      <c r="Y170">
        <v>56.6</v>
      </c>
      <c r="AA170">
        <v>313.2</v>
      </c>
      <c r="AB170">
        <v>0</v>
      </c>
      <c r="AC170">
        <v>0</v>
      </c>
      <c r="AD170">
        <v>0</v>
      </c>
      <c r="AE170">
        <v>67.209999999999994</v>
      </c>
      <c r="AF170">
        <v>0</v>
      </c>
      <c r="AG170">
        <v>0</v>
      </c>
      <c r="AH170">
        <v>0</v>
      </c>
      <c r="AI170">
        <v>4.66</v>
      </c>
      <c r="AJ170">
        <v>1</v>
      </c>
      <c r="AK170">
        <v>1</v>
      </c>
      <c r="AL170">
        <v>1</v>
      </c>
      <c r="AN170">
        <v>0</v>
      </c>
      <c r="AO170">
        <v>1</v>
      </c>
      <c r="AP170">
        <v>0</v>
      </c>
      <c r="AQ170">
        <v>0</v>
      </c>
      <c r="AR170">
        <v>0</v>
      </c>
      <c r="AS170" t="s">
        <v>3</v>
      </c>
      <c r="AT170">
        <v>56.6</v>
      </c>
      <c r="AU170" t="s">
        <v>3</v>
      </c>
      <c r="AV170">
        <v>0</v>
      </c>
      <c r="AW170">
        <v>2</v>
      </c>
      <c r="AX170">
        <v>36514526</v>
      </c>
      <c r="AY170">
        <v>1</v>
      </c>
      <c r="AZ170">
        <v>0</v>
      </c>
      <c r="BA170">
        <v>171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0</v>
      </c>
      <c r="BI170">
        <v>0</v>
      </c>
      <c r="BJ170">
        <v>0</v>
      </c>
      <c r="BK170">
        <v>0</v>
      </c>
      <c r="BL170">
        <v>0</v>
      </c>
      <c r="BM170">
        <v>0</v>
      </c>
      <c r="BN170">
        <v>0</v>
      </c>
      <c r="BO170">
        <v>0</v>
      </c>
      <c r="BP170">
        <v>0</v>
      </c>
      <c r="BQ170">
        <v>0</v>
      </c>
      <c r="BR170">
        <v>0</v>
      </c>
      <c r="BS170">
        <v>0</v>
      </c>
      <c r="BT170">
        <v>0</v>
      </c>
      <c r="BU170">
        <v>0</v>
      </c>
      <c r="BV170">
        <v>0</v>
      </c>
      <c r="BW170">
        <v>0</v>
      </c>
      <c r="CX170">
        <f>Y170*Source!I204</f>
        <v>1.0187999999999999</v>
      </c>
      <c r="CY170">
        <f>AA170</f>
        <v>313.2</v>
      </c>
      <c r="CZ170">
        <f>AE170</f>
        <v>67.209999999999994</v>
      </c>
      <c r="DA170">
        <f>AI170</f>
        <v>4.66</v>
      </c>
      <c r="DB170">
        <f t="shared" si="31"/>
        <v>3804.09</v>
      </c>
      <c r="DC170">
        <f t="shared" si="32"/>
        <v>0</v>
      </c>
    </row>
    <row r="171" spans="1:107">
      <c r="A171">
        <f>ROW(Source!A204)</f>
        <v>204</v>
      </c>
      <c r="B171">
        <v>35841400</v>
      </c>
      <c r="C171">
        <v>36514521</v>
      </c>
      <c r="D171">
        <v>29109720</v>
      </c>
      <c r="E171">
        <v>1</v>
      </c>
      <c r="F171">
        <v>1</v>
      </c>
      <c r="G171">
        <v>1</v>
      </c>
      <c r="H171">
        <v>3</v>
      </c>
      <c r="I171" t="s">
        <v>236</v>
      </c>
      <c r="J171" t="s">
        <v>239</v>
      </c>
      <c r="K171" t="s">
        <v>237</v>
      </c>
      <c r="L171">
        <v>1301</v>
      </c>
      <c r="N171">
        <v>1003</v>
      </c>
      <c r="O171" t="s">
        <v>238</v>
      </c>
      <c r="P171" t="s">
        <v>238</v>
      </c>
      <c r="Q171">
        <v>1</v>
      </c>
      <c r="W171">
        <v>0</v>
      </c>
      <c r="X171">
        <v>1128706910</v>
      </c>
      <c r="Y171">
        <v>100</v>
      </c>
      <c r="AA171">
        <v>108.23</v>
      </c>
      <c r="AB171">
        <v>0</v>
      </c>
      <c r="AC171">
        <v>0</v>
      </c>
      <c r="AD171">
        <v>0</v>
      </c>
      <c r="AE171">
        <v>131.99</v>
      </c>
      <c r="AF171">
        <v>0</v>
      </c>
      <c r="AG171">
        <v>0</v>
      </c>
      <c r="AH171">
        <v>0</v>
      </c>
      <c r="AI171">
        <v>0.82</v>
      </c>
      <c r="AJ171">
        <v>1</v>
      </c>
      <c r="AK171">
        <v>1</v>
      </c>
      <c r="AL171">
        <v>1</v>
      </c>
      <c r="AN171">
        <v>0</v>
      </c>
      <c r="AO171">
        <v>0</v>
      </c>
      <c r="AP171">
        <v>0</v>
      </c>
      <c r="AQ171">
        <v>0</v>
      </c>
      <c r="AR171">
        <v>0</v>
      </c>
      <c r="AS171" t="s">
        <v>3</v>
      </c>
      <c r="AT171">
        <v>100</v>
      </c>
      <c r="AU171" t="s">
        <v>3</v>
      </c>
      <c r="AV171">
        <v>0</v>
      </c>
      <c r="AW171">
        <v>1</v>
      </c>
      <c r="AX171">
        <v>-1</v>
      </c>
      <c r="AY171">
        <v>0</v>
      </c>
      <c r="AZ171">
        <v>0</v>
      </c>
      <c r="BA171" t="s">
        <v>3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0</v>
      </c>
      <c r="BI171">
        <v>0</v>
      </c>
      <c r="BJ171">
        <v>0</v>
      </c>
      <c r="BK171">
        <v>0</v>
      </c>
      <c r="BL171">
        <v>0</v>
      </c>
      <c r="BM171">
        <v>0</v>
      </c>
      <c r="BN171">
        <v>0</v>
      </c>
      <c r="BO171">
        <v>0</v>
      </c>
      <c r="BP171">
        <v>0</v>
      </c>
      <c r="BQ171">
        <v>0</v>
      </c>
      <c r="BR171">
        <v>0</v>
      </c>
      <c r="BS171">
        <v>0</v>
      </c>
      <c r="BT171">
        <v>0</v>
      </c>
      <c r="BU171">
        <v>0</v>
      </c>
      <c r="BV171">
        <v>0</v>
      </c>
      <c r="BW171">
        <v>0</v>
      </c>
      <c r="CX171">
        <f>Y171*Source!I204</f>
        <v>1.7999999999999998</v>
      </c>
      <c r="CY171">
        <f>AA171</f>
        <v>108.23</v>
      </c>
      <c r="CZ171">
        <f>AE171</f>
        <v>131.99</v>
      </c>
      <c r="DA171">
        <f>AI171</f>
        <v>0.82</v>
      </c>
      <c r="DB171">
        <f t="shared" si="31"/>
        <v>13199</v>
      </c>
      <c r="DC171">
        <f t="shared" si="32"/>
        <v>0</v>
      </c>
    </row>
    <row r="172" spans="1:107">
      <c r="A172">
        <f>ROW(Source!A204)</f>
        <v>204</v>
      </c>
      <c r="B172">
        <v>35841400</v>
      </c>
      <c r="C172">
        <v>36514521</v>
      </c>
      <c r="D172">
        <v>29115197</v>
      </c>
      <c r="E172">
        <v>1</v>
      </c>
      <c r="F172">
        <v>1</v>
      </c>
      <c r="G172">
        <v>1</v>
      </c>
      <c r="H172">
        <v>3</v>
      </c>
      <c r="I172" t="s">
        <v>534</v>
      </c>
      <c r="J172" t="s">
        <v>535</v>
      </c>
      <c r="K172" t="s">
        <v>536</v>
      </c>
      <c r="L172">
        <v>1355</v>
      </c>
      <c r="N172">
        <v>1010</v>
      </c>
      <c r="O172" t="s">
        <v>46</v>
      </c>
      <c r="P172" t="s">
        <v>46</v>
      </c>
      <c r="Q172">
        <v>100</v>
      </c>
      <c r="W172">
        <v>0</v>
      </c>
      <c r="X172">
        <v>-619439245</v>
      </c>
      <c r="Y172">
        <v>4</v>
      </c>
      <c r="AA172">
        <v>368</v>
      </c>
      <c r="AB172">
        <v>0</v>
      </c>
      <c r="AC172">
        <v>0</v>
      </c>
      <c r="AD172">
        <v>0</v>
      </c>
      <c r="AE172">
        <v>50</v>
      </c>
      <c r="AF172">
        <v>0</v>
      </c>
      <c r="AG172">
        <v>0</v>
      </c>
      <c r="AH172">
        <v>0</v>
      </c>
      <c r="AI172">
        <v>7.36</v>
      </c>
      <c r="AJ172">
        <v>1</v>
      </c>
      <c r="AK172">
        <v>1</v>
      </c>
      <c r="AL172">
        <v>1</v>
      </c>
      <c r="AN172">
        <v>0</v>
      </c>
      <c r="AO172">
        <v>1</v>
      </c>
      <c r="AP172">
        <v>0</v>
      </c>
      <c r="AQ172">
        <v>0</v>
      </c>
      <c r="AR172">
        <v>0</v>
      </c>
      <c r="AS172" t="s">
        <v>3</v>
      </c>
      <c r="AT172">
        <v>4</v>
      </c>
      <c r="AU172" t="s">
        <v>3</v>
      </c>
      <c r="AV172">
        <v>0</v>
      </c>
      <c r="AW172">
        <v>2</v>
      </c>
      <c r="AX172">
        <v>36514528</v>
      </c>
      <c r="AY172">
        <v>1</v>
      </c>
      <c r="AZ172">
        <v>0</v>
      </c>
      <c r="BA172">
        <v>173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0</v>
      </c>
      <c r="BI172">
        <v>0</v>
      </c>
      <c r="BJ172">
        <v>0</v>
      </c>
      <c r="BK172">
        <v>0</v>
      </c>
      <c r="BL172">
        <v>0</v>
      </c>
      <c r="BM172">
        <v>0</v>
      </c>
      <c r="BN172">
        <v>0</v>
      </c>
      <c r="BO172">
        <v>0</v>
      </c>
      <c r="BP172">
        <v>0</v>
      </c>
      <c r="BQ172">
        <v>0</v>
      </c>
      <c r="BR172">
        <v>0</v>
      </c>
      <c r="BS172">
        <v>0</v>
      </c>
      <c r="BT172">
        <v>0</v>
      </c>
      <c r="BU172">
        <v>0</v>
      </c>
      <c r="BV172">
        <v>0</v>
      </c>
      <c r="BW172">
        <v>0</v>
      </c>
      <c r="CX172">
        <f>Y172*Source!I204</f>
        <v>7.1999999999999995E-2</v>
      </c>
      <c r="CY172">
        <f>AA172</f>
        <v>368</v>
      </c>
      <c r="CZ172">
        <f>AE172</f>
        <v>50</v>
      </c>
      <c r="DA172">
        <f>AI172</f>
        <v>7.36</v>
      </c>
      <c r="DB172">
        <f t="shared" si="31"/>
        <v>200</v>
      </c>
      <c r="DC172">
        <f t="shared" si="32"/>
        <v>0</v>
      </c>
    </row>
    <row r="173" spans="1:107">
      <c r="A173">
        <f>ROW(Source!A206)</f>
        <v>206</v>
      </c>
      <c r="B173">
        <v>35841400</v>
      </c>
      <c r="C173">
        <v>36514530</v>
      </c>
      <c r="D173">
        <v>18413230</v>
      </c>
      <c r="E173">
        <v>1</v>
      </c>
      <c r="F173">
        <v>1</v>
      </c>
      <c r="G173">
        <v>1</v>
      </c>
      <c r="H173">
        <v>1</v>
      </c>
      <c r="I173" t="s">
        <v>467</v>
      </c>
      <c r="J173" t="s">
        <v>3</v>
      </c>
      <c r="K173" t="s">
        <v>468</v>
      </c>
      <c r="L173">
        <v>1369</v>
      </c>
      <c r="N173">
        <v>1013</v>
      </c>
      <c r="O173" t="s">
        <v>361</v>
      </c>
      <c r="P173" t="s">
        <v>361</v>
      </c>
      <c r="Q173">
        <v>1</v>
      </c>
      <c r="W173">
        <v>0</v>
      </c>
      <c r="X173">
        <v>355262106</v>
      </c>
      <c r="Y173">
        <v>191.44049999999999</v>
      </c>
      <c r="AA173">
        <v>0</v>
      </c>
      <c r="AB173">
        <v>0</v>
      </c>
      <c r="AC173">
        <v>0</v>
      </c>
      <c r="AD173">
        <v>304.64</v>
      </c>
      <c r="AE173">
        <v>0</v>
      </c>
      <c r="AF173">
        <v>0</v>
      </c>
      <c r="AG173">
        <v>0</v>
      </c>
      <c r="AH173">
        <v>304.64</v>
      </c>
      <c r="AI173">
        <v>1</v>
      </c>
      <c r="AJ173">
        <v>1</v>
      </c>
      <c r="AK173">
        <v>1</v>
      </c>
      <c r="AL173">
        <v>1</v>
      </c>
      <c r="AN173">
        <v>0</v>
      </c>
      <c r="AO173">
        <v>1</v>
      </c>
      <c r="AP173">
        <v>1</v>
      </c>
      <c r="AQ173">
        <v>0</v>
      </c>
      <c r="AR173">
        <v>0</v>
      </c>
      <c r="AS173" t="s">
        <v>3</v>
      </c>
      <c r="AT173">
        <v>166.47</v>
      </c>
      <c r="AU173" t="s">
        <v>114</v>
      </c>
      <c r="AV173">
        <v>1</v>
      </c>
      <c r="AW173">
        <v>2</v>
      </c>
      <c r="AX173">
        <v>36514531</v>
      </c>
      <c r="AY173">
        <v>2</v>
      </c>
      <c r="AZ173">
        <v>131072</v>
      </c>
      <c r="BA173">
        <v>174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0</v>
      </c>
      <c r="BI173">
        <v>0</v>
      </c>
      <c r="BJ173">
        <v>0</v>
      </c>
      <c r="BK173">
        <v>0</v>
      </c>
      <c r="BL173">
        <v>0</v>
      </c>
      <c r="BM173">
        <v>0</v>
      </c>
      <c r="BN173">
        <v>0</v>
      </c>
      <c r="BO173">
        <v>0</v>
      </c>
      <c r="BP173">
        <v>0</v>
      </c>
      <c r="BQ173">
        <v>0</v>
      </c>
      <c r="BR173">
        <v>0</v>
      </c>
      <c r="BS173">
        <v>0</v>
      </c>
      <c r="BT173">
        <v>0</v>
      </c>
      <c r="BU173">
        <v>0</v>
      </c>
      <c r="BV173">
        <v>0</v>
      </c>
      <c r="BW173">
        <v>0</v>
      </c>
      <c r="CX173">
        <f>Y173*Source!I206</f>
        <v>2.2972859999999997</v>
      </c>
      <c r="CY173">
        <f>AD173</f>
        <v>304.64</v>
      </c>
      <c r="CZ173">
        <f>AH173</f>
        <v>304.64</v>
      </c>
      <c r="DA173">
        <f>AL173</f>
        <v>1</v>
      </c>
      <c r="DB173">
        <f>ROUND((ROUND(AT173*CZ173,2)*1.15),6)</f>
        <v>58320.432999999997</v>
      </c>
      <c r="DC173">
        <f>ROUND((ROUND(AT173*AG173,2)*1.15),6)</f>
        <v>0</v>
      </c>
    </row>
    <row r="174" spans="1:107">
      <c r="A174">
        <f>ROW(Source!A206)</f>
        <v>206</v>
      </c>
      <c r="B174">
        <v>35841400</v>
      </c>
      <c r="C174">
        <v>36514530</v>
      </c>
      <c r="D174">
        <v>121548</v>
      </c>
      <c r="E174">
        <v>1</v>
      </c>
      <c r="F174">
        <v>1</v>
      </c>
      <c r="G174">
        <v>1</v>
      </c>
      <c r="H174">
        <v>1</v>
      </c>
      <c r="I174" t="s">
        <v>213</v>
      </c>
      <c r="J174" t="s">
        <v>3</v>
      </c>
      <c r="K174" t="s">
        <v>362</v>
      </c>
      <c r="L174">
        <v>608254</v>
      </c>
      <c r="N174">
        <v>1013</v>
      </c>
      <c r="O174" t="s">
        <v>363</v>
      </c>
      <c r="P174" t="s">
        <v>363</v>
      </c>
      <c r="Q174">
        <v>1</v>
      </c>
      <c r="W174">
        <v>0</v>
      </c>
      <c r="X174">
        <v>-185737400</v>
      </c>
      <c r="Y174">
        <v>0.08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1</v>
      </c>
      <c r="AJ174">
        <v>1</v>
      </c>
      <c r="AK174">
        <v>1</v>
      </c>
      <c r="AL174">
        <v>1</v>
      </c>
      <c r="AN174">
        <v>0</v>
      </c>
      <c r="AO174">
        <v>1</v>
      </c>
      <c r="AP174">
        <v>1</v>
      </c>
      <c r="AQ174">
        <v>0</v>
      </c>
      <c r="AR174">
        <v>0</v>
      </c>
      <c r="AS174" t="s">
        <v>3</v>
      </c>
      <c r="AT174">
        <v>0.08</v>
      </c>
      <c r="AU174" t="s">
        <v>3</v>
      </c>
      <c r="AV174">
        <v>2</v>
      </c>
      <c r="AW174">
        <v>2</v>
      </c>
      <c r="AX174">
        <v>36514532</v>
      </c>
      <c r="AY174">
        <v>1</v>
      </c>
      <c r="AZ174">
        <v>0</v>
      </c>
      <c r="BA174">
        <v>175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0</v>
      </c>
      <c r="BI174">
        <v>0</v>
      </c>
      <c r="BJ174">
        <v>0</v>
      </c>
      <c r="BK174">
        <v>0</v>
      </c>
      <c r="BL174">
        <v>0</v>
      </c>
      <c r="BM174">
        <v>0</v>
      </c>
      <c r="BN174">
        <v>0</v>
      </c>
      <c r="BO174">
        <v>0</v>
      </c>
      <c r="BP174">
        <v>0</v>
      </c>
      <c r="BQ174">
        <v>0</v>
      </c>
      <c r="BR174">
        <v>0</v>
      </c>
      <c r="BS174">
        <v>0</v>
      </c>
      <c r="BT174">
        <v>0</v>
      </c>
      <c r="BU174">
        <v>0</v>
      </c>
      <c r="BV174">
        <v>0</v>
      </c>
      <c r="BW174">
        <v>0</v>
      </c>
      <c r="CX174">
        <f>Y174*Source!I206</f>
        <v>9.6000000000000002E-4</v>
      </c>
      <c r="CY174">
        <f>AD174</f>
        <v>0</v>
      </c>
      <c r="CZ174">
        <f>AH174</f>
        <v>0</v>
      </c>
      <c r="DA174">
        <f>AL174</f>
        <v>1</v>
      </c>
      <c r="DB174">
        <f t="shared" ref="DB174:DB220" si="33">ROUND(ROUND(AT174*CZ174,2),6)</f>
        <v>0</v>
      </c>
      <c r="DC174">
        <f t="shared" ref="DC174:DC220" si="34">ROUND(ROUND(AT174*AG174,2),6)</f>
        <v>0</v>
      </c>
    </row>
    <row r="175" spans="1:107">
      <c r="A175">
        <f>ROW(Source!A206)</f>
        <v>206</v>
      </c>
      <c r="B175">
        <v>35841400</v>
      </c>
      <c r="C175">
        <v>36514530</v>
      </c>
      <c r="D175">
        <v>29172556</v>
      </c>
      <c r="E175">
        <v>1</v>
      </c>
      <c r="F175">
        <v>1</v>
      </c>
      <c r="G175">
        <v>1</v>
      </c>
      <c r="H175">
        <v>2</v>
      </c>
      <c r="I175" t="s">
        <v>364</v>
      </c>
      <c r="J175" t="s">
        <v>365</v>
      </c>
      <c r="K175" t="s">
        <v>366</v>
      </c>
      <c r="L175">
        <v>1368</v>
      </c>
      <c r="N175">
        <v>1011</v>
      </c>
      <c r="O175" t="s">
        <v>367</v>
      </c>
      <c r="P175" t="s">
        <v>367</v>
      </c>
      <c r="Q175">
        <v>1</v>
      </c>
      <c r="W175">
        <v>0</v>
      </c>
      <c r="X175">
        <v>344519037</v>
      </c>
      <c r="Y175">
        <v>0.08</v>
      </c>
      <c r="AA175">
        <v>0</v>
      </c>
      <c r="AB175">
        <v>466.71</v>
      </c>
      <c r="AC175">
        <v>453.6</v>
      </c>
      <c r="AD175">
        <v>0</v>
      </c>
      <c r="AE175">
        <v>0</v>
      </c>
      <c r="AF175">
        <v>31.26</v>
      </c>
      <c r="AG175">
        <v>13.5</v>
      </c>
      <c r="AH175">
        <v>0</v>
      </c>
      <c r="AI175">
        <v>1</v>
      </c>
      <c r="AJ175">
        <v>14.93</v>
      </c>
      <c r="AK175">
        <v>33.6</v>
      </c>
      <c r="AL175">
        <v>1</v>
      </c>
      <c r="AN175">
        <v>0</v>
      </c>
      <c r="AO175">
        <v>1</v>
      </c>
      <c r="AP175">
        <v>1</v>
      </c>
      <c r="AQ175">
        <v>0</v>
      </c>
      <c r="AR175">
        <v>0</v>
      </c>
      <c r="AS175" t="s">
        <v>3</v>
      </c>
      <c r="AT175">
        <v>0.08</v>
      </c>
      <c r="AU175" t="s">
        <v>3</v>
      </c>
      <c r="AV175">
        <v>0</v>
      </c>
      <c r="AW175">
        <v>2</v>
      </c>
      <c r="AX175">
        <v>36514533</v>
      </c>
      <c r="AY175">
        <v>1</v>
      </c>
      <c r="AZ175">
        <v>0</v>
      </c>
      <c r="BA175">
        <v>176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0</v>
      </c>
      <c r="BI175">
        <v>0</v>
      </c>
      <c r="BJ175">
        <v>0</v>
      </c>
      <c r="BK175">
        <v>0</v>
      </c>
      <c r="BL175">
        <v>0</v>
      </c>
      <c r="BM175">
        <v>0</v>
      </c>
      <c r="BN175">
        <v>0</v>
      </c>
      <c r="BO175">
        <v>0</v>
      </c>
      <c r="BP175">
        <v>0</v>
      </c>
      <c r="BQ175">
        <v>0</v>
      </c>
      <c r="BR175">
        <v>0</v>
      </c>
      <c r="BS175">
        <v>0</v>
      </c>
      <c r="BT175">
        <v>0</v>
      </c>
      <c r="BU175">
        <v>0</v>
      </c>
      <c r="BV175">
        <v>0</v>
      </c>
      <c r="BW175">
        <v>0</v>
      </c>
      <c r="CX175">
        <f>Y175*Source!I206</f>
        <v>9.6000000000000002E-4</v>
      </c>
      <c r="CY175">
        <f>AB175</f>
        <v>466.71</v>
      </c>
      <c r="CZ175">
        <f>AF175</f>
        <v>31.26</v>
      </c>
      <c r="DA175">
        <f>AJ175</f>
        <v>14.93</v>
      </c>
      <c r="DB175">
        <f t="shared" si="33"/>
        <v>2.5</v>
      </c>
      <c r="DC175">
        <f t="shared" si="34"/>
        <v>1.08</v>
      </c>
    </row>
    <row r="176" spans="1:107">
      <c r="A176">
        <f>ROW(Source!A206)</f>
        <v>206</v>
      </c>
      <c r="B176">
        <v>35841400</v>
      </c>
      <c r="C176">
        <v>36514530</v>
      </c>
      <c r="D176">
        <v>29174591</v>
      </c>
      <c r="E176">
        <v>1</v>
      </c>
      <c r="F176">
        <v>1</v>
      </c>
      <c r="G176">
        <v>1</v>
      </c>
      <c r="H176">
        <v>2</v>
      </c>
      <c r="I176" t="s">
        <v>477</v>
      </c>
      <c r="J176" t="s">
        <v>537</v>
      </c>
      <c r="K176" t="s">
        <v>479</v>
      </c>
      <c r="L176">
        <v>1368</v>
      </c>
      <c r="N176">
        <v>1011</v>
      </c>
      <c r="O176" t="s">
        <v>367</v>
      </c>
      <c r="P176" t="s">
        <v>367</v>
      </c>
      <c r="Q176">
        <v>1</v>
      </c>
      <c r="W176">
        <v>0</v>
      </c>
      <c r="X176">
        <v>1042522176</v>
      </c>
      <c r="Y176">
        <v>0.26</v>
      </c>
      <c r="AA176">
        <v>0</v>
      </c>
      <c r="AB176">
        <v>9.4700000000000006</v>
      </c>
      <c r="AC176">
        <v>0</v>
      </c>
      <c r="AD176">
        <v>0</v>
      </c>
      <c r="AE176">
        <v>0</v>
      </c>
      <c r="AF176">
        <v>0.95</v>
      </c>
      <c r="AG176">
        <v>0</v>
      </c>
      <c r="AH176">
        <v>0</v>
      </c>
      <c r="AI176">
        <v>1</v>
      </c>
      <c r="AJ176">
        <v>9.9700000000000006</v>
      </c>
      <c r="AK176">
        <v>33.6</v>
      </c>
      <c r="AL176">
        <v>1</v>
      </c>
      <c r="AN176">
        <v>0</v>
      </c>
      <c r="AO176">
        <v>1</v>
      </c>
      <c r="AP176">
        <v>1</v>
      </c>
      <c r="AQ176">
        <v>0</v>
      </c>
      <c r="AR176">
        <v>0</v>
      </c>
      <c r="AS176" t="s">
        <v>3</v>
      </c>
      <c r="AT176">
        <v>0.26</v>
      </c>
      <c r="AU176" t="s">
        <v>3</v>
      </c>
      <c r="AV176">
        <v>0</v>
      </c>
      <c r="AW176">
        <v>2</v>
      </c>
      <c r="AX176">
        <v>36514534</v>
      </c>
      <c r="AY176">
        <v>1</v>
      </c>
      <c r="AZ176">
        <v>0</v>
      </c>
      <c r="BA176">
        <v>177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0</v>
      </c>
      <c r="BI176">
        <v>0</v>
      </c>
      <c r="BJ176">
        <v>0</v>
      </c>
      <c r="BK176">
        <v>0</v>
      </c>
      <c r="BL176">
        <v>0</v>
      </c>
      <c r="BM176">
        <v>0</v>
      </c>
      <c r="BN176">
        <v>0</v>
      </c>
      <c r="BO176">
        <v>0</v>
      </c>
      <c r="BP176">
        <v>0</v>
      </c>
      <c r="BQ176">
        <v>0</v>
      </c>
      <c r="BR176">
        <v>0</v>
      </c>
      <c r="BS176">
        <v>0</v>
      </c>
      <c r="BT176">
        <v>0</v>
      </c>
      <c r="BU176">
        <v>0</v>
      </c>
      <c r="BV176">
        <v>0</v>
      </c>
      <c r="BW176">
        <v>0</v>
      </c>
      <c r="CX176">
        <f>Y176*Source!I206</f>
        <v>3.1200000000000004E-3</v>
      </c>
      <c r="CY176">
        <f>AB176</f>
        <v>9.4700000000000006</v>
      </c>
      <c r="CZ176">
        <f>AF176</f>
        <v>0.95</v>
      </c>
      <c r="DA176">
        <f>AJ176</f>
        <v>9.9700000000000006</v>
      </c>
      <c r="DB176">
        <f t="shared" si="33"/>
        <v>0.25</v>
      </c>
      <c r="DC176">
        <f t="shared" si="34"/>
        <v>0</v>
      </c>
    </row>
    <row r="177" spans="1:107">
      <c r="A177">
        <f>ROW(Source!A206)</f>
        <v>206</v>
      </c>
      <c r="B177">
        <v>35841400</v>
      </c>
      <c r="C177">
        <v>36514530</v>
      </c>
      <c r="D177">
        <v>29174913</v>
      </c>
      <c r="E177">
        <v>1</v>
      </c>
      <c r="F177">
        <v>1</v>
      </c>
      <c r="G177">
        <v>1</v>
      </c>
      <c r="H177">
        <v>2</v>
      </c>
      <c r="I177" t="s">
        <v>381</v>
      </c>
      <c r="J177" t="s">
        <v>382</v>
      </c>
      <c r="K177" t="s">
        <v>383</v>
      </c>
      <c r="L177">
        <v>1368</v>
      </c>
      <c r="N177">
        <v>1011</v>
      </c>
      <c r="O177" t="s">
        <v>367</v>
      </c>
      <c r="P177" t="s">
        <v>367</v>
      </c>
      <c r="Q177">
        <v>1</v>
      </c>
      <c r="W177">
        <v>0</v>
      </c>
      <c r="X177">
        <v>1230759911</v>
      </c>
      <c r="Y177">
        <v>0.5</v>
      </c>
      <c r="AA177">
        <v>0</v>
      </c>
      <c r="AB177">
        <v>932.72</v>
      </c>
      <c r="AC177">
        <v>389.76</v>
      </c>
      <c r="AD177">
        <v>0</v>
      </c>
      <c r="AE177">
        <v>0</v>
      </c>
      <c r="AF177">
        <v>87.17</v>
      </c>
      <c r="AG177">
        <v>11.6</v>
      </c>
      <c r="AH177">
        <v>0</v>
      </c>
      <c r="AI177">
        <v>1</v>
      </c>
      <c r="AJ177">
        <v>10.7</v>
      </c>
      <c r="AK177">
        <v>33.6</v>
      </c>
      <c r="AL177">
        <v>1</v>
      </c>
      <c r="AN177">
        <v>0</v>
      </c>
      <c r="AO177">
        <v>1</v>
      </c>
      <c r="AP177">
        <v>1</v>
      </c>
      <c r="AQ177">
        <v>0</v>
      </c>
      <c r="AR177">
        <v>0</v>
      </c>
      <c r="AS177" t="s">
        <v>3</v>
      </c>
      <c r="AT177">
        <v>0.5</v>
      </c>
      <c r="AU177" t="s">
        <v>3</v>
      </c>
      <c r="AV177">
        <v>0</v>
      </c>
      <c r="AW177">
        <v>2</v>
      </c>
      <c r="AX177">
        <v>36514535</v>
      </c>
      <c r="AY177">
        <v>1</v>
      </c>
      <c r="AZ177">
        <v>0</v>
      </c>
      <c r="BA177">
        <v>178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0</v>
      </c>
      <c r="BI177">
        <v>0</v>
      </c>
      <c r="BJ177">
        <v>0</v>
      </c>
      <c r="BK177">
        <v>0</v>
      </c>
      <c r="BL177">
        <v>0</v>
      </c>
      <c r="BM177">
        <v>0</v>
      </c>
      <c r="BN177">
        <v>0</v>
      </c>
      <c r="BO177">
        <v>0</v>
      </c>
      <c r="BP177">
        <v>0</v>
      </c>
      <c r="BQ177">
        <v>0</v>
      </c>
      <c r="BR177">
        <v>0</v>
      </c>
      <c r="BS177">
        <v>0</v>
      </c>
      <c r="BT177">
        <v>0</v>
      </c>
      <c r="BU177">
        <v>0</v>
      </c>
      <c r="BV177">
        <v>0</v>
      </c>
      <c r="BW177">
        <v>0</v>
      </c>
      <c r="CX177">
        <f>Y177*Source!I206</f>
        <v>6.0000000000000001E-3</v>
      </c>
      <c r="CY177">
        <f>AB177</f>
        <v>932.72</v>
      </c>
      <c r="CZ177">
        <f>AF177</f>
        <v>87.17</v>
      </c>
      <c r="DA177">
        <f>AJ177</f>
        <v>10.7</v>
      </c>
      <c r="DB177">
        <f t="shared" si="33"/>
        <v>43.59</v>
      </c>
      <c r="DC177">
        <f t="shared" si="34"/>
        <v>5.8</v>
      </c>
    </row>
    <row r="178" spans="1:107">
      <c r="A178">
        <f>ROW(Source!A206)</f>
        <v>206</v>
      </c>
      <c r="B178">
        <v>35841400</v>
      </c>
      <c r="C178">
        <v>36514530</v>
      </c>
      <c r="D178">
        <v>29107800</v>
      </c>
      <c r="E178">
        <v>1</v>
      </c>
      <c r="F178">
        <v>1</v>
      </c>
      <c r="G178">
        <v>1</v>
      </c>
      <c r="H178">
        <v>3</v>
      </c>
      <c r="I178" t="s">
        <v>384</v>
      </c>
      <c r="J178" t="s">
        <v>385</v>
      </c>
      <c r="K178" t="s">
        <v>386</v>
      </c>
      <c r="L178">
        <v>1346</v>
      </c>
      <c r="N178">
        <v>1009</v>
      </c>
      <c r="O178" t="s">
        <v>151</v>
      </c>
      <c r="P178" t="s">
        <v>151</v>
      </c>
      <c r="Q178">
        <v>1</v>
      </c>
      <c r="W178">
        <v>0</v>
      </c>
      <c r="X178">
        <v>644139035</v>
      </c>
      <c r="Y178">
        <v>0.2</v>
      </c>
      <c r="AA178">
        <v>46.61</v>
      </c>
      <c r="AB178">
        <v>0</v>
      </c>
      <c r="AC178">
        <v>0</v>
      </c>
      <c r="AD178">
        <v>0</v>
      </c>
      <c r="AE178">
        <v>1.81</v>
      </c>
      <c r="AF178">
        <v>0</v>
      </c>
      <c r="AG178">
        <v>0</v>
      </c>
      <c r="AH178">
        <v>0</v>
      </c>
      <c r="AI178">
        <v>25.75</v>
      </c>
      <c r="AJ178">
        <v>1</v>
      </c>
      <c r="AK178">
        <v>1</v>
      </c>
      <c r="AL178">
        <v>1</v>
      </c>
      <c r="AN178">
        <v>0</v>
      </c>
      <c r="AO178">
        <v>1</v>
      </c>
      <c r="AP178">
        <v>0</v>
      </c>
      <c r="AQ178">
        <v>0</v>
      </c>
      <c r="AR178">
        <v>0</v>
      </c>
      <c r="AS178" t="s">
        <v>3</v>
      </c>
      <c r="AT178">
        <v>0.2</v>
      </c>
      <c r="AU178" t="s">
        <v>3</v>
      </c>
      <c r="AV178">
        <v>0</v>
      </c>
      <c r="AW178">
        <v>2</v>
      </c>
      <c r="AX178">
        <v>36514536</v>
      </c>
      <c r="AY178">
        <v>1</v>
      </c>
      <c r="AZ178">
        <v>0</v>
      </c>
      <c r="BA178">
        <v>179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0</v>
      </c>
      <c r="BI178">
        <v>0</v>
      </c>
      <c r="BJ178">
        <v>0</v>
      </c>
      <c r="BK178">
        <v>0</v>
      </c>
      <c r="BL178">
        <v>0</v>
      </c>
      <c r="BM178">
        <v>0</v>
      </c>
      <c r="BN178">
        <v>0</v>
      </c>
      <c r="BO178">
        <v>0</v>
      </c>
      <c r="BP178">
        <v>0</v>
      </c>
      <c r="BQ178">
        <v>0</v>
      </c>
      <c r="BR178">
        <v>0</v>
      </c>
      <c r="BS178">
        <v>0</v>
      </c>
      <c r="BT178">
        <v>0</v>
      </c>
      <c r="BU178">
        <v>0</v>
      </c>
      <c r="BV178">
        <v>0</v>
      </c>
      <c r="BW178">
        <v>0</v>
      </c>
      <c r="CX178">
        <f>Y178*Source!I206</f>
        <v>2.4000000000000002E-3</v>
      </c>
      <c r="CY178">
        <f>AA178</f>
        <v>46.61</v>
      </c>
      <c r="CZ178">
        <f>AE178</f>
        <v>1.81</v>
      </c>
      <c r="DA178">
        <f>AI178</f>
        <v>25.75</v>
      </c>
      <c r="DB178">
        <f t="shared" si="33"/>
        <v>0.36</v>
      </c>
      <c r="DC178">
        <f t="shared" si="34"/>
        <v>0</v>
      </c>
    </row>
    <row r="179" spans="1:107">
      <c r="A179">
        <f>ROW(Source!A206)</f>
        <v>206</v>
      </c>
      <c r="B179">
        <v>35841400</v>
      </c>
      <c r="C179">
        <v>36514530</v>
      </c>
      <c r="D179">
        <v>29109348</v>
      </c>
      <c r="E179">
        <v>1</v>
      </c>
      <c r="F179">
        <v>1</v>
      </c>
      <c r="G179">
        <v>1</v>
      </c>
      <c r="H179">
        <v>3</v>
      </c>
      <c r="I179" t="s">
        <v>252</v>
      </c>
      <c r="J179" t="s">
        <v>254</v>
      </c>
      <c r="K179" t="s">
        <v>253</v>
      </c>
      <c r="L179">
        <v>1346</v>
      </c>
      <c r="N179">
        <v>1009</v>
      </c>
      <c r="O179" t="s">
        <v>151</v>
      </c>
      <c r="P179" t="s">
        <v>151</v>
      </c>
      <c r="Q179">
        <v>1</v>
      </c>
      <c r="W179">
        <v>0</v>
      </c>
      <c r="X179">
        <v>-1800780702</v>
      </c>
      <c r="Y179">
        <v>8.9169999999999996E-3</v>
      </c>
      <c r="AA179">
        <v>134.02000000000001</v>
      </c>
      <c r="AB179">
        <v>0</v>
      </c>
      <c r="AC179">
        <v>0</v>
      </c>
      <c r="AD179">
        <v>0</v>
      </c>
      <c r="AE179">
        <v>22.91</v>
      </c>
      <c r="AF179">
        <v>0</v>
      </c>
      <c r="AG179">
        <v>0</v>
      </c>
      <c r="AH179">
        <v>0</v>
      </c>
      <c r="AI179">
        <v>5.85</v>
      </c>
      <c r="AJ179">
        <v>1</v>
      </c>
      <c r="AK179">
        <v>1</v>
      </c>
      <c r="AL179">
        <v>1</v>
      </c>
      <c r="AN179">
        <v>0</v>
      </c>
      <c r="AO179">
        <v>0</v>
      </c>
      <c r="AP179">
        <v>0</v>
      </c>
      <c r="AQ179">
        <v>0</v>
      </c>
      <c r="AR179">
        <v>0</v>
      </c>
      <c r="AS179" t="s">
        <v>3</v>
      </c>
      <c r="AT179">
        <v>8.9169999999999996E-3</v>
      </c>
      <c r="AU179" t="s">
        <v>3</v>
      </c>
      <c r="AV179">
        <v>0</v>
      </c>
      <c r="AW179">
        <v>1</v>
      </c>
      <c r="AX179">
        <v>-1</v>
      </c>
      <c r="AY179">
        <v>0</v>
      </c>
      <c r="AZ179">
        <v>0</v>
      </c>
      <c r="BA179" t="s">
        <v>3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0</v>
      </c>
      <c r="BI179">
        <v>0</v>
      </c>
      <c r="BJ179">
        <v>0</v>
      </c>
      <c r="BK179">
        <v>0</v>
      </c>
      <c r="BL179">
        <v>0</v>
      </c>
      <c r="BM179">
        <v>0</v>
      </c>
      <c r="BN179">
        <v>0</v>
      </c>
      <c r="BO179">
        <v>0</v>
      </c>
      <c r="BP179">
        <v>0</v>
      </c>
      <c r="BQ179">
        <v>0</v>
      </c>
      <c r="BR179">
        <v>0</v>
      </c>
      <c r="BS179">
        <v>0</v>
      </c>
      <c r="BT179">
        <v>0</v>
      </c>
      <c r="BU179">
        <v>0</v>
      </c>
      <c r="BV179">
        <v>0</v>
      </c>
      <c r="BW179">
        <v>0</v>
      </c>
      <c r="CX179">
        <f>Y179*Source!I206</f>
        <v>1.0700399999999999E-4</v>
      </c>
      <c r="CY179">
        <f>AA179</f>
        <v>134.02000000000001</v>
      </c>
      <c r="CZ179">
        <f>AE179</f>
        <v>22.91</v>
      </c>
      <c r="DA179">
        <f>AI179</f>
        <v>5.85</v>
      </c>
      <c r="DB179">
        <f t="shared" si="33"/>
        <v>0.2</v>
      </c>
      <c r="DC179">
        <f t="shared" si="34"/>
        <v>0</v>
      </c>
    </row>
    <row r="180" spans="1:107">
      <c r="A180">
        <f>ROW(Source!A206)</f>
        <v>206</v>
      </c>
      <c r="B180">
        <v>35841400</v>
      </c>
      <c r="C180">
        <v>36514530</v>
      </c>
      <c r="D180">
        <v>29109411</v>
      </c>
      <c r="E180">
        <v>1</v>
      </c>
      <c r="F180">
        <v>1</v>
      </c>
      <c r="G180">
        <v>1</v>
      </c>
      <c r="H180">
        <v>3</v>
      </c>
      <c r="I180" t="s">
        <v>538</v>
      </c>
      <c r="J180" t="s">
        <v>539</v>
      </c>
      <c r="K180" t="s">
        <v>540</v>
      </c>
      <c r="L180">
        <v>1346</v>
      </c>
      <c r="N180">
        <v>1009</v>
      </c>
      <c r="O180" t="s">
        <v>151</v>
      </c>
      <c r="P180" t="s">
        <v>151</v>
      </c>
      <c r="Q180">
        <v>1</v>
      </c>
      <c r="W180">
        <v>0</v>
      </c>
      <c r="X180">
        <v>42272800</v>
      </c>
      <c r="Y180">
        <v>30</v>
      </c>
      <c r="AA180">
        <v>53.91</v>
      </c>
      <c r="AB180">
        <v>0</v>
      </c>
      <c r="AC180">
        <v>0</v>
      </c>
      <c r="AD180">
        <v>0</v>
      </c>
      <c r="AE180">
        <v>15.95</v>
      </c>
      <c r="AF180">
        <v>0</v>
      </c>
      <c r="AG180">
        <v>0</v>
      </c>
      <c r="AH180">
        <v>0</v>
      </c>
      <c r="AI180">
        <v>3.38</v>
      </c>
      <c r="AJ180">
        <v>1</v>
      </c>
      <c r="AK180">
        <v>1</v>
      </c>
      <c r="AL180">
        <v>1</v>
      </c>
      <c r="AN180">
        <v>0</v>
      </c>
      <c r="AO180">
        <v>1</v>
      </c>
      <c r="AP180">
        <v>0</v>
      </c>
      <c r="AQ180">
        <v>0</v>
      </c>
      <c r="AR180">
        <v>0</v>
      </c>
      <c r="AS180" t="s">
        <v>3</v>
      </c>
      <c r="AT180">
        <v>30</v>
      </c>
      <c r="AU180" t="s">
        <v>3</v>
      </c>
      <c r="AV180">
        <v>0</v>
      </c>
      <c r="AW180">
        <v>2</v>
      </c>
      <c r="AX180">
        <v>36514537</v>
      </c>
      <c r="AY180">
        <v>1</v>
      </c>
      <c r="AZ180">
        <v>0</v>
      </c>
      <c r="BA180">
        <v>180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0</v>
      </c>
      <c r="BI180">
        <v>0</v>
      </c>
      <c r="BJ180">
        <v>0</v>
      </c>
      <c r="BK180">
        <v>0</v>
      </c>
      <c r="BL180">
        <v>0</v>
      </c>
      <c r="BM180">
        <v>0</v>
      </c>
      <c r="BN180">
        <v>0</v>
      </c>
      <c r="BO180">
        <v>0</v>
      </c>
      <c r="BP180">
        <v>0</v>
      </c>
      <c r="BQ180">
        <v>0</v>
      </c>
      <c r="BR180">
        <v>0</v>
      </c>
      <c r="BS180">
        <v>0</v>
      </c>
      <c r="BT180">
        <v>0</v>
      </c>
      <c r="BU180">
        <v>0</v>
      </c>
      <c r="BV180">
        <v>0</v>
      </c>
      <c r="BW180">
        <v>0</v>
      </c>
      <c r="CX180">
        <f>Y180*Source!I206</f>
        <v>0.36</v>
      </c>
      <c r="CY180">
        <f>AA180</f>
        <v>53.91</v>
      </c>
      <c r="CZ180">
        <f>AE180</f>
        <v>15.95</v>
      </c>
      <c r="DA180">
        <f>AI180</f>
        <v>3.38</v>
      </c>
      <c r="DB180">
        <f t="shared" si="33"/>
        <v>478.5</v>
      </c>
      <c r="DC180">
        <f t="shared" si="34"/>
        <v>0</v>
      </c>
    </row>
    <row r="181" spans="1:107">
      <c r="A181">
        <f>ROW(Source!A206)</f>
        <v>206</v>
      </c>
      <c r="B181">
        <v>35841400</v>
      </c>
      <c r="C181">
        <v>36514530</v>
      </c>
      <c r="D181">
        <v>29109648</v>
      </c>
      <c r="E181">
        <v>1</v>
      </c>
      <c r="F181">
        <v>1</v>
      </c>
      <c r="G181">
        <v>1</v>
      </c>
      <c r="H181">
        <v>3</v>
      </c>
      <c r="I181" t="s">
        <v>248</v>
      </c>
      <c r="J181" t="s">
        <v>250</v>
      </c>
      <c r="K181" t="s">
        <v>249</v>
      </c>
      <c r="L181">
        <v>1327</v>
      </c>
      <c r="N181">
        <v>1005</v>
      </c>
      <c r="O181" t="s">
        <v>129</v>
      </c>
      <c r="P181" t="s">
        <v>129</v>
      </c>
      <c r="Q181">
        <v>1</v>
      </c>
      <c r="W181">
        <v>0</v>
      </c>
      <c r="X181">
        <v>80520630</v>
      </c>
      <c r="Y181">
        <v>105</v>
      </c>
      <c r="AA181">
        <v>226.72</v>
      </c>
      <c r="AB181">
        <v>0</v>
      </c>
      <c r="AC181">
        <v>0</v>
      </c>
      <c r="AD181">
        <v>0</v>
      </c>
      <c r="AE181">
        <v>377.87</v>
      </c>
      <c r="AF181">
        <v>0</v>
      </c>
      <c r="AG181">
        <v>0</v>
      </c>
      <c r="AH181">
        <v>0</v>
      </c>
      <c r="AI181">
        <v>0.6</v>
      </c>
      <c r="AJ181">
        <v>1</v>
      </c>
      <c r="AK181">
        <v>1</v>
      </c>
      <c r="AL181">
        <v>1</v>
      </c>
      <c r="AN181">
        <v>0</v>
      </c>
      <c r="AO181">
        <v>0</v>
      </c>
      <c r="AP181">
        <v>0</v>
      </c>
      <c r="AQ181">
        <v>0</v>
      </c>
      <c r="AR181">
        <v>0</v>
      </c>
      <c r="AS181" t="s">
        <v>3</v>
      </c>
      <c r="AT181">
        <v>105</v>
      </c>
      <c r="AU181" t="s">
        <v>3</v>
      </c>
      <c r="AV181">
        <v>0</v>
      </c>
      <c r="AW181">
        <v>1</v>
      </c>
      <c r="AX181">
        <v>-1</v>
      </c>
      <c r="AY181">
        <v>0</v>
      </c>
      <c r="AZ181">
        <v>0</v>
      </c>
      <c r="BA181" t="s">
        <v>3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0</v>
      </c>
      <c r="BI181">
        <v>0</v>
      </c>
      <c r="BJ181">
        <v>0</v>
      </c>
      <c r="BK181">
        <v>0</v>
      </c>
      <c r="BL181">
        <v>0</v>
      </c>
      <c r="BM181">
        <v>0</v>
      </c>
      <c r="BN181">
        <v>0</v>
      </c>
      <c r="BO181">
        <v>0</v>
      </c>
      <c r="BP181">
        <v>0</v>
      </c>
      <c r="BQ181">
        <v>0</v>
      </c>
      <c r="BR181">
        <v>0</v>
      </c>
      <c r="BS181">
        <v>0</v>
      </c>
      <c r="BT181">
        <v>0</v>
      </c>
      <c r="BU181">
        <v>0</v>
      </c>
      <c r="BV181">
        <v>0</v>
      </c>
      <c r="BW181">
        <v>0</v>
      </c>
      <c r="CX181">
        <f>Y181*Source!I206</f>
        <v>1.26</v>
      </c>
      <c r="CY181">
        <f>AA181</f>
        <v>226.72</v>
      </c>
      <c r="CZ181">
        <f>AE181</f>
        <v>377.87</v>
      </c>
      <c r="DA181">
        <f>AI181</f>
        <v>0.6</v>
      </c>
      <c r="DB181">
        <f t="shared" si="33"/>
        <v>39676.35</v>
      </c>
      <c r="DC181">
        <f t="shared" si="34"/>
        <v>0</v>
      </c>
    </row>
    <row r="182" spans="1:107">
      <c r="A182">
        <f>ROW(Source!A244)</f>
        <v>244</v>
      </c>
      <c r="B182">
        <v>35841400</v>
      </c>
      <c r="C182">
        <v>35847482</v>
      </c>
      <c r="D182">
        <v>29364679</v>
      </c>
      <c r="E182">
        <v>1</v>
      </c>
      <c r="F182">
        <v>1</v>
      </c>
      <c r="G182">
        <v>1</v>
      </c>
      <c r="H182">
        <v>1</v>
      </c>
      <c r="I182" t="s">
        <v>547</v>
      </c>
      <c r="J182" t="s">
        <v>3</v>
      </c>
      <c r="K182" t="s">
        <v>548</v>
      </c>
      <c r="L182">
        <v>1369</v>
      </c>
      <c r="N182">
        <v>1013</v>
      </c>
      <c r="O182" t="s">
        <v>361</v>
      </c>
      <c r="P182" t="s">
        <v>361</v>
      </c>
      <c r="Q182">
        <v>1</v>
      </c>
      <c r="W182">
        <v>0</v>
      </c>
      <c r="X182">
        <v>931378261</v>
      </c>
      <c r="Y182">
        <v>35.130000000000003</v>
      </c>
      <c r="AA182">
        <v>0</v>
      </c>
      <c r="AB182">
        <v>0</v>
      </c>
      <c r="AC182">
        <v>0</v>
      </c>
      <c r="AD182">
        <v>329.2</v>
      </c>
      <c r="AE182">
        <v>0</v>
      </c>
      <c r="AF182">
        <v>0</v>
      </c>
      <c r="AG182">
        <v>0</v>
      </c>
      <c r="AH182">
        <v>329.2</v>
      </c>
      <c r="AI182">
        <v>1</v>
      </c>
      <c r="AJ182">
        <v>1</v>
      </c>
      <c r="AK182">
        <v>1</v>
      </c>
      <c r="AL182">
        <v>1</v>
      </c>
      <c r="AN182">
        <v>0</v>
      </c>
      <c r="AO182">
        <v>1</v>
      </c>
      <c r="AP182">
        <v>0</v>
      </c>
      <c r="AQ182">
        <v>0</v>
      </c>
      <c r="AR182">
        <v>0</v>
      </c>
      <c r="AS182" t="s">
        <v>3</v>
      </c>
      <c r="AT182">
        <v>35.130000000000003</v>
      </c>
      <c r="AU182" t="s">
        <v>3</v>
      </c>
      <c r="AV182">
        <v>1</v>
      </c>
      <c r="AW182">
        <v>2</v>
      </c>
      <c r="AX182">
        <v>37378920</v>
      </c>
      <c r="AY182">
        <v>1</v>
      </c>
      <c r="AZ182">
        <v>0</v>
      </c>
      <c r="BA182">
        <v>183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0</v>
      </c>
      <c r="BI182">
        <v>0</v>
      </c>
      <c r="BJ182">
        <v>0</v>
      </c>
      <c r="BK182">
        <v>0</v>
      </c>
      <c r="BL182">
        <v>0</v>
      </c>
      <c r="BM182">
        <v>0</v>
      </c>
      <c r="BN182">
        <v>0</v>
      </c>
      <c r="BO182">
        <v>0</v>
      </c>
      <c r="BP182">
        <v>0</v>
      </c>
      <c r="BQ182">
        <v>0</v>
      </c>
      <c r="BR182">
        <v>0</v>
      </c>
      <c r="BS182">
        <v>0</v>
      </c>
      <c r="BT182">
        <v>0</v>
      </c>
      <c r="BU182">
        <v>0</v>
      </c>
      <c r="BV182">
        <v>0</v>
      </c>
      <c r="BW182">
        <v>0</v>
      </c>
      <c r="CX182">
        <f>Y182*Source!I244</f>
        <v>0.35130000000000006</v>
      </c>
      <c r="CY182">
        <f>AD182</f>
        <v>329.2</v>
      </c>
      <c r="CZ182">
        <f>AH182</f>
        <v>329.2</v>
      </c>
      <c r="DA182">
        <f>AL182</f>
        <v>1</v>
      </c>
      <c r="DB182">
        <f t="shared" si="33"/>
        <v>11564.8</v>
      </c>
      <c r="DC182">
        <f t="shared" si="34"/>
        <v>0</v>
      </c>
    </row>
    <row r="183" spans="1:107">
      <c r="A183">
        <f>ROW(Source!A244)</f>
        <v>244</v>
      </c>
      <c r="B183">
        <v>35841400</v>
      </c>
      <c r="C183">
        <v>35847482</v>
      </c>
      <c r="D183">
        <v>121548</v>
      </c>
      <c r="E183">
        <v>1</v>
      </c>
      <c r="F183">
        <v>1</v>
      </c>
      <c r="G183">
        <v>1</v>
      </c>
      <c r="H183">
        <v>1</v>
      </c>
      <c r="I183" t="s">
        <v>213</v>
      </c>
      <c r="J183" t="s">
        <v>3</v>
      </c>
      <c r="K183" t="s">
        <v>362</v>
      </c>
      <c r="L183">
        <v>608254</v>
      </c>
      <c r="N183">
        <v>1013</v>
      </c>
      <c r="O183" t="s">
        <v>363</v>
      </c>
      <c r="P183" t="s">
        <v>363</v>
      </c>
      <c r="Q183">
        <v>1</v>
      </c>
      <c r="W183">
        <v>0</v>
      </c>
      <c r="X183">
        <v>-185737400</v>
      </c>
      <c r="Y183">
        <v>0.03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1</v>
      </c>
      <c r="AJ183">
        <v>1</v>
      </c>
      <c r="AK183">
        <v>1</v>
      </c>
      <c r="AL183">
        <v>1</v>
      </c>
      <c r="AN183">
        <v>0</v>
      </c>
      <c r="AO183">
        <v>1</v>
      </c>
      <c r="AP183">
        <v>0</v>
      </c>
      <c r="AQ183">
        <v>0</v>
      </c>
      <c r="AR183">
        <v>0</v>
      </c>
      <c r="AS183" t="s">
        <v>3</v>
      </c>
      <c r="AT183">
        <v>0.03</v>
      </c>
      <c r="AU183" t="s">
        <v>3</v>
      </c>
      <c r="AV183">
        <v>2</v>
      </c>
      <c r="AW183">
        <v>2</v>
      </c>
      <c r="AX183">
        <v>37378921</v>
      </c>
      <c r="AY183">
        <v>1</v>
      </c>
      <c r="AZ183">
        <v>0</v>
      </c>
      <c r="BA183">
        <v>184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0</v>
      </c>
      <c r="BI183">
        <v>0</v>
      </c>
      <c r="BJ183">
        <v>0</v>
      </c>
      <c r="BK183">
        <v>0</v>
      </c>
      <c r="BL183">
        <v>0</v>
      </c>
      <c r="BM183">
        <v>0</v>
      </c>
      <c r="BN183">
        <v>0</v>
      </c>
      <c r="BO183">
        <v>0</v>
      </c>
      <c r="BP183">
        <v>0</v>
      </c>
      <c r="BQ183">
        <v>0</v>
      </c>
      <c r="BR183">
        <v>0</v>
      </c>
      <c r="BS183">
        <v>0</v>
      </c>
      <c r="BT183">
        <v>0</v>
      </c>
      <c r="BU183">
        <v>0</v>
      </c>
      <c r="BV183">
        <v>0</v>
      </c>
      <c r="BW183">
        <v>0</v>
      </c>
      <c r="CX183">
        <f>Y183*Source!I244</f>
        <v>2.9999999999999997E-4</v>
      </c>
      <c r="CY183">
        <f>AD183</f>
        <v>0</v>
      </c>
      <c r="CZ183">
        <f>AH183</f>
        <v>0</v>
      </c>
      <c r="DA183">
        <f>AL183</f>
        <v>1</v>
      </c>
      <c r="DB183">
        <f t="shared" si="33"/>
        <v>0</v>
      </c>
      <c r="DC183">
        <f t="shared" si="34"/>
        <v>0</v>
      </c>
    </row>
    <row r="184" spans="1:107">
      <c r="A184">
        <f>ROW(Source!A244)</f>
        <v>244</v>
      </c>
      <c r="B184">
        <v>35841400</v>
      </c>
      <c r="C184">
        <v>35847482</v>
      </c>
      <c r="D184">
        <v>29172362</v>
      </c>
      <c r="E184">
        <v>1</v>
      </c>
      <c r="F184">
        <v>1</v>
      </c>
      <c r="G184">
        <v>1</v>
      </c>
      <c r="H184">
        <v>2</v>
      </c>
      <c r="I184" t="s">
        <v>549</v>
      </c>
      <c r="J184" t="s">
        <v>550</v>
      </c>
      <c r="K184" t="s">
        <v>551</v>
      </c>
      <c r="L184">
        <v>1368</v>
      </c>
      <c r="N184">
        <v>1011</v>
      </c>
      <c r="O184" t="s">
        <v>367</v>
      </c>
      <c r="P184" t="s">
        <v>367</v>
      </c>
      <c r="Q184">
        <v>1</v>
      </c>
      <c r="W184">
        <v>0</v>
      </c>
      <c r="X184">
        <v>783836208</v>
      </c>
      <c r="Y184">
        <v>0.03</v>
      </c>
      <c r="AA184">
        <v>0</v>
      </c>
      <c r="AB184">
        <v>1113.56</v>
      </c>
      <c r="AC184">
        <v>453.6</v>
      </c>
      <c r="AD184">
        <v>0</v>
      </c>
      <c r="AE184">
        <v>0</v>
      </c>
      <c r="AF184">
        <v>134.65</v>
      </c>
      <c r="AG184">
        <v>13.5</v>
      </c>
      <c r="AH184">
        <v>0</v>
      </c>
      <c r="AI184">
        <v>1</v>
      </c>
      <c r="AJ184">
        <v>8.27</v>
      </c>
      <c r="AK184">
        <v>33.6</v>
      </c>
      <c r="AL184">
        <v>1</v>
      </c>
      <c r="AN184">
        <v>0</v>
      </c>
      <c r="AO184">
        <v>1</v>
      </c>
      <c r="AP184">
        <v>0</v>
      </c>
      <c r="AQ184">
        <v>0</v>
      </c>
      <c r="AR184">
        <v>0</v>
      </c>
      <c r="AS184" t="s">
        <v>3</v>
      </c>
      <c r="AT184">
        <v>0.03</v>
      </c>
      <c r="AU184" t="s">
        <v>3</v>
      </c>
      <c r="AV184">
        <v>0</v>
      </c>
      <c r="AW184">
        <v>2</v>
      </c>
      <c r="AX184">
        <v>37378922</v>
      </c>
      <c r="AY184">
        <v>1</v>
      </c>
      <c r="AZ184">
        <v>0</v>
      </c>
      <c r="BA184">
        <v>185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0</v>
      </c>
      <c r="BI184">
        <v>0</v>
      </c>
      <c r="BJ184">
        <v>0</v>
      </c>
      <c r="BK184">
        <v>0</v>
      </c>
      <c r="BL184">
        <v>0</v>
      </c>
      <c r="BM184">
        <v>0</v>
      </c>
      <c r="BN184">
        <v>0</v>
      </c>
      <c r="BO184">
        <v>0</v>
      </c>
      <c r="BP184">
        <v>0</v>
      </c>
      <c r="BQ184">
        <v>0</v>
      </c>
      <c r="BR184">
        <v>0</v>
      </c>
      <c r="BS184">
        <v>0</v>
      </c>
      <c r="BT184">
        <v>0</v>
      </c>
      <c r="BU184">
        <v>0</v>
      </c>
      <c r="BV184">
        <v>0</v>
      </c>
      <c r="BW184">
        <v>0</v>
      </c>
      <c r="CX184">
        <f>Y184*Source!I244</f>
        <v>2.9999999999999997E-4</v>
      </c>
      <c r="CY184">
        <f>AB184</f>
        <v>1113.56</v>
      </c>
      <c r="CZ184">
        <f>AF184</f>
        <v>134.65</v>
      </c>
      <c r="DA184">
        <f>AJ184</f>
        <v>8.27</v>
      </c>
      <c r="DB184">
        <f t="shared" si="33"/>
        <v>4.04</v>
      </c>
      <c r="DC184">
        <f t="shared" si="34"/>
        <v>0.41</v>
      </c>
    </row>
    <row r="185" spans="1:107">
      <c r="A185">
        <f>ROW(Source!A244)</f>
        <v>244</v>
      </c>
      <c r="B185">
        <v>35841400</v>
      </c>
      <c r="C185">
        <v>35847482</v>
      </c>
      <c r="D185">
        <v>29174500</v>
      </c>
      <c r="E185">
        <v>1</v>
      </c>
      <c r="F185">
        <v>1</v>
      </c>
      <c r="G185">
        <v>1</v>
      </c>
      <c r="H185">
        <v>2</v>
      </c>
      <c r="I185" t="s">
        <v>552</v>
      </c>
      <c r="J185" t="s">
        <v>553</v>
      </c>
      <c r="K185" t="s">
        <v>554</v>
      </c>
      <c r="L185">
        <v>1368</v>
      </c>
      <c r="N185">
        <v>1011</v>
      </c>
      <c r="O185" t="s">
        <v>367</v>
      </c>
      <c r="P185" t="s">
        <v>367</v>
      </c>
      <c r="Q185">
        <v>1</v>
      </c>
      <c r="W185">
        <v>0</v>
      </c>
      <c r="X185">
        <v>-1867053656</v>
      </c>
      <c r="Y185">
        <v>4.0999999999999996</v>
      </c>
      <c r="AA185">
        <v>0</v>
      </c>
      <c r="AB185">
        <v>7.33</v>
      </c>
      <c r="AC185">
        <v>0</v>
      </c>
      <c r="AD185">
        <v>0</v>
      </c>
      <c r="AE185">
        <v>0</v>
      </c>
      <c r="AF185">
        <v>1.95</v>
      </c>
      <c r="AG185">
        <v>0</v>
      </c>
      <c r="AH185">
        <v>0</v>
      </c>
      <c r="AI185">
        <v>1</v>
      </c>
      <c r="AJ185">
        <v>3.76</v>
      </c>
      <c r="AK185">
        <v>33.6</v>
      </c>
      <c r="AL185">
        <v>1</v>
      </c>
      <c r="AN185">
        <v>0</v>
      </c>
      <c r="AO185">
        <v>1</v>
      </c>
      <c r="AP185">
        <v>0</v>
      </c>
      <c r="AQ185">
        <v>0</v>
      </c>
      <c r="AR185">
        <v>0</v>
      </c>
      <c r="AS185" t="s">
        <v>3</v>
      </c>
      <c r="AT185">
        <v>4.0999999999999996</v>
      </c>
      <c r="AU185" t="s">
        <v>3</v>
      </c>
      <c r="AV185">
        <v>0</v>
      </c>
      <c r="AW185">
        <v>2</v>
      </c>
      <c r="AX185">
        <v>37378923</v>
      </c>
      <c r="AY185">
        <v>1</v>
      </c>
      <c r="AZ185">
        <v>0</v>
      </c>
      <c r="BA185">
        <v>186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0</v>
      </c>
      <c r="BI185">
        <v>0</v>
      </c>
      <c r="BJ185">
        <v>0</v>
      </c>
      <c r="BK185">
        <v>0</v>
      </c>
      <c r="BL185">
        <v>0</v>
      </c>
      <c r="BM185">
        <v>0</v>
      </c>
      <c r="BN185">
        <v>0</v>
      </c>
      <c r="BO185">
        <v>0</v>
      </c>
      <c r="BP185">
        <v>0</v>
      </c>
      <c r="BQ185">
        <v>0</v>
      </c>
      <c r="BR185">
        <v>0</v>
      </c>
      <c r="BS185">
        <v>0</v>
      </c>
      <c r="BT185">
        <v>0</v>
      </c>
      <c r="BU185">
        <v>0</v>
      </c>
      <c r="BV185">
        <v>0</v>
      </c>
      <c r="BW185">
        <v>0</v>
      </c>
      <c r="CX185">
        <f>Y185*Source!I244</f>
        <v>4.0999999999999995E-2</v>
      </c>
      <c r="CY185">
        <f>AB185</f>
        <v>7.33</v>
      </c>
      <c r="CZ185">
        <f>AF185</f>
        <v>1.95</v>
      </c>
      <c r="DA185">
        <f>AJ185</f>
        <v>3.76</v>
      </c>
      <c r="DB185">
        <f t="shared" si="33"/>
        <v>8</v>
      </c>
      <c r="DC185">
        <f t="shared" si="34"/>
        <v>0</v>
      </c>
    </row>
    <row r="186" spans="1:107">
      <c r="A186">
        <f>ROW(Source!A244)</f>
        <v>244</v>
      </c>
      <c r="B186">
        <v>35841400</v>
      </c>
      <c r="C186">
        <v>35847482</v>
      </c>
      <c r="D186">
        <v>29174913</v>
      </c>
      <c r="E186">
        <v>1</v>
      </c>
      <c r="F186">
        <v>1</v>
      </c>
      <c r="G186">
        <v>1</v>
      </c>
      <c r="H186">
        <v>2</v>
      </c>
      <c r="I186" t="s">
        <v>381</v>
      </c>
      <c r="J186" t="s">
        <v>382</v>
      </c>
      <c r="K186" t="s">
        <v>383</v>
      </c>
      <c r="L186">
        <v>1368</v>
      </c>
      <c r="N186">
        <v>1011</v>
      </c>
      <c r="O186" t="s">
        <v>367</v>
      </c>
      <c r="P186" t="s">
        <v>367</v>
      </c>
      <c r="Q186">
        <v>1</v>
      </c>
      <c r="W186">
        <v>0</v>
      </c>
      <c r="X186">
        <v>1230759911</v>
      </c>
      <c r="Y186">
        <v>0.02</v>
      </c>
      <c r="AA186">
        <v>0</v>
      </c>
      <c r="AB186">
        <v>932.72</v>
      </c>
      <c r="AC186">
        <v>389.76</v>
      </c>
      <c r="AD186">
        <v>0</v>
      </c>
      <c r="AE186">
        <v>0</v>
      </c>
      <c r="AF186">
        <v>87.17</v>
      </c>
      <c r="AG186">
        <v>11.6</v>
      </c>
      <c r="AH186">
        <v>0</v>
      </c>
      <c r="AI186">
        <v>1</v>
      </c>
      <c r="AJ186">
        <v>10.7</v>
      </c>
      <c r="AK186">
        <v>33.6</v>
      </c>
      <c r="AL186">
        <v>1</v>
      </c>
      <c r="AN186">
        <v>0</v>
      </c>
      <c r="AO186">
        <v>1</v>
      </c>
      <c r="AP186">
        <v>0</v>
      </c>
      <c r="AQ186">
        <v>0</v>
      </c>
      <c r="AR186">
        <v>0</v>
      </c>
      <c r="AS186" t="s">
        <v>3</v>
      </c>
      <c r="AT186">
        <v>0.02</v>
      </c>
      <c r="AU186" t="s">
        <v>3</v>
      </c>
      <c r="AV186">
        <v>0</v>
      </c>
      <c r="AW186">
        <v>2</v>
      </c>
      <c r="AX186">
        <v>37378924</v>
      </c>
      <c r="AY186">
        <v>1</v>
      </c>
      <c r="AZ186">
        <v>0</v>
      </c>
      <c r="BA186">
        <v>187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0</v>
      </c>
      <c r="BI186">
        <v>0</v>
      </c>
      <c r="BJ186">
        <v>0</v>
      </c>
      <c r="BK186">
        <v>0</v>
      </c>
      <c r="BL186">
        <v>0</v>
      </c>
      <c r="BM186">
        <v>0</v>
      </c>
      <c r="BN186">
        <v>0</v>
      </c>
      <c r="BO186">
        <v>0</v>
      </c>
      <c r="BP186">
        <v>0</v>
      </c>
      <c r="BQ186">
        <v>0</v>
      </c>
      <c r="BR186">
        <v>0</v>
      </c>
      <c r="BS186">
        <v>0</v>
      </c>
      <c r="BT186">
        <v>0</v>
      </c>
      <c r="BU186">
        <v>0</v>
      </c>
      <c r="BV186">
        <v>0</v>
      </c>
      <c r="BW186">
        <v>0</v>
      </c>
      <c r="CX186">
        <f>Y186*Source!I244</f>
        <v>2.0000000000000001E-4</v>
      </c>
      <c r="CY186">
        <f>AB186</f>
        <v>932.72</v>
      </c>
      <c r="CZ186">
        <f>AF186</f>
        <v>87.17</v>
      </c>
      <c r="DA186">
        <f>AJ186</f>
        <v>10.7</v>
      </c>
      <c r="DB186">
        <f t="shared" si="33"/>
        <v>1.74</v>
      </c>
      <c r="DC186">
        <f t="shared" si="34"/>
        <v>0.23</v>
      </c>
    </row>
    <row r="187" spans="1:107">
      <c r="A187">
        <f>ROW(Source!A244)</f>
        <v>244</v>
      </c>
      <c r="B187">
        <v>35841400</v>
      </c>
      <c r="C187">
        <v>35847482</v>
      </c>
      <c r="D187">
        <v>29114684</v>
      </c>
      <c r="E187">
        <v>1</v>
      </c>
      <c r="F187">
        <v>1</v>
      </c>
      <c r="G187">
        <v>1</v>
      </c>
      <c r="H187">
        <v>3</v>
      </c>
      <c r="I187" t="s">
        <v>555</v>
      </c>
      <c r="J187" t="s">
        <v>556</v>
      </c>
      <c r="K187" t="s">
        <v>557</v>
      </c>
      <c r="L187">
        <v>1348</v>
      </c>
      <c r="N187">
        <v>1009</v>
      </c>
      <c r="O187" t="s">
        <v>41</v>
      </c>
      <c r="P187" t="s">
        <v>41</v>
      </c>
      <c r="Q187">
        <v>1000</v>
      </c>
      <c r="W187">
        <v>0</v>
      </c>
      <c r="X187">
        <v>-1501215447</v>
      </c>
      <c r="Y187">
        <v>1.6000000000000001E-4</v>
      </c>
      <c r="AA187">
        <v>114134</v>
      </c>
      <c r="AB187">
        <v>0</v>
      </c>
      <c r="AC187">
        <v>0</v>
      </c>
      <c r="AD187">
        <v>0</v>
      </c>
      <c r="AE187">
        <v>29800</v>
      </c>
      <c r="AF187">
        <v>0</v>
      </c>
      <c r="AG187">
        <v>0</v>
      </c>
      <c r="AH187">
        <v>0</v>
      </c>
      <c r="AI187">
        <v>3.83</v>
      </c>
      <c r="AJ187">
        <v>1</v>
      </c>
      <c r="AK187">
        <v>1</v>
      </c>
      <c r="AL187">
        <v>1</v>
      </c>
      <c r="AN187">
        <v>0</v>
      </c>
      <c r="AO187">
        <v>1</v>
      </c>
      <c r="AP187">
        <v>0</v>
      </c>
      <c r="AQ187">
        <v>0</v>
      </c>
      <c r="AR187">
        <v>0</v>
      </c>
      <c r="AS187" t="s">
        <v>3</v>
      </c>
      <c r="AT187">
        <v>1.6000000000000001E-4</v>
      </c>
      <c r="AU187" t="s">
        <v>3</v>
      </c>
      <c r="AV187">
        <v>0</v>
      </c>
      <c r="AW187">
        <v>2</v>
      </c>
      <c r="AX187">
        <v>37378925</v>
      </c>
      <c r="AY187">
        <v>1</v>
      </c>
      <c r="AZ187">
        <v>0</v>
      </c>
      <c r="BA187">
        <v>188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0</v>
      </c>
      <c r="BI187">
        <v>0</v>
      </c>
      <c r="BJ187">
        <v>0</v>
      </c>
      <c r="BK187">
        <v>0</v>
      </c>
      <c r="BL187">
        <v>0</v>
      </c>
      <c r="BM187">
        <v>0</v>
      </c>
      <c r="BN187">
        <v>0</v>
      </c>
      <c r="BO187">
        <v>0</v>
      </c>
      <c r="BP187">
        <v>0</v>
      </c>
      <c r="BQ187">
        <v>0</v>
      </c>
      <c r="BR187">
        <v>0</v>
      </c>
      <c r="BS187">
        <v>0</v>
      </c>
      <c r="BT187">
        <v>0</v>
      </c>
      <c r="BU187">
        <v>0</v>
      </c>
      <c r="BV187">
        <v>0</v>
      </c>
      <c r="BW187">
        <v>0</v>
      </c>
      <c r="CX187">
        <f>Y187*Source!I244</f>
        <v>1.6000000000000001E-6</v>
      </c>
      <c r="CY187">
        <f>AA187</f>
        <v>114134</v>
      </c>
      <c r="CZ187">
        <f>AE187</f>
        <v>29800</v>
      </c>
      <c r="DA187">
        <f>AI187</f>
        <v>3.83</v>
      </c>
      <c r="DB187">
        <f t="shared" si="33"/>
        <v>4.7699999999999996</v>
      </c>
      <c r="DC187">
        <f t="shared" si="34"/>
        <v>0</v>
      </c>
    </row>
    <row r="188" spans="1:107">
      <c r="A188">
        <f>ROW(Source!A244)</f>
        <v>244</v>
      </c>
      <c r="B188">
        <v>35841400</v>
      </c>
      <c r="C188">
        <v>35847482</v>
      </c>
      <c r="D188">
        <v>29114688</v>
      </c>
      <c r="E188">
        <v>1</v>
      </c>
      <c r="F188">
        <v>1</v>
      </c>
      <c r="G188">
        <v>1</v>
      </c>
      <c r="H188">
        <v>3</v>
      </c>
      <c r="I188" t="s">
        <v>558</v>
      </c>
      <c r="J188" t="s">
        <v>559</v>
      </c>
      <c r="K188" t="s">
        <v>560</v>
      </c>
      <c r="L188">
        <v>1348</v>
      </c>
      <c r="N188">
        <v>1009</v>
      </c>
      <c r="O188" t="s">
        <v>41</v>
      </c>
      <c r="P188" t="s">
        <v>41</v>
      </c>
      <c r="Q188">
        <v>1000</v>
      </c>
      <c r="W188">
        <v>0</v>
      </c>
      <c r="X188">
        <v>546198954</v>
      </c>
      <c r="Y188">
        <v>2.9999999999999997E-4</v>
      </c>
      <c r="AA188">
        <v>98197</v>
      </c>
      <c r="AB188">
        <v>0</v>
      </c>
      <c r="AC188">
        <v>0</v>
      </c>
      <c r="AD188">
        <v>0</v>
      </c>
      <c r="AE188">
        <v>12430</v>
      </c>
      <c r="AF188">
        <v>0</v>
      </c>
      <c r="AG188">
        <v>0</v>
      </c>
      <c r="AH188">
        <v>0</v>
      </c>
      <c r="AI188">
        <v>7.9</v>
      </c>
      <c r="AJ188">
        <v>1</v>
      </c>
      <c r="AK188">
        <v>1</v>
      </c>
      <c r="AL188">
        <v>1</v>
      </c>
      <c r="AN188">
        <v>0</v>
      </c>
      <c r="AO188">
        <v>1</v>
      </c>
      <c r="AP188">
        <v>0</v>
      </c>
      <c r="AQ188">
        <v>0</v>
      </c>
      <c r="AR188">
        <v>0</v>
      </c>
      <c r="AS188" t="s">
        <v>3</v>
      </c>
      <c r="AT188">
        <v>2.9999999999999997E-4</v>
      </c>
      <c r="AU188" t="s">
        <v>3</v>
      </c>
      <c r="AV188">
        <v>0</v>
      </c>
      <c r="AW188">
        <v>2</v>
      </c>
      <c r="AX188">
        <v>37378926</v>
      </c>
      <c r="AY188">
        <v>1</v>
      </c>
      <c r="AZ188">
        <v>0</v>
      </c>
      <c r="BA188">
        <v>189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0</v>
      </c>
      <c r="BI188">
        <v>0</v>
      </c>
      <c r="BJ188">
        <v>0</v>
      </c>
      <c r="BK188">
        <v>0</v>
      </c>
      <c r="BL188">
        <v>0</v>
      </c>
      <c r="BM188">
        <v>0</v>
      </c>
      <c r="BN188">
        <v>0</v>
      </c>
      <c r="BO188">
        <v>0</v>
      </c>
      <c r="BP188">
        <v>0</v>
      </c>
      <c r="BQ188">
        <v>0</v>
      </c>
      <c r="BR188">
        <v>0</v>
      </c>
      <c r="BS188">
        <v>0</v>
      </c>
      <c r="BT188">
        <v>0</v>
      </c>
      <c r="BU188">
        <v>0</v>
      </c>
      <c r="BV188">
        <v>0</v>
      </c>
      <c r="BW188">
        <v>0</v>
      </c>
      <c r="CX188">
        <f>Y188*Source!I244</f>
        <v>2.9999999999999997E-6</v>
      </c>
      <c r="CY188">
        <f>AA188</f>
        <v>98197</v>
      </c>
      <c r="CZ188">
        <f>AE188</f>
        <v>12430</v>
      </c>
      <c r="DA188">
        <f>AI188</f>
        <v>7.9</v>
      </c>
      <c r="DB188">
        <f t="shared" si="33"/>
        <v>3.73</v>
      </c>
      <c r="DC188">
        <f t="shared" si="34"/>
        <v>0</v>
      </c>
    </row>
    <row r="189" spans="1:107">
      <c r="A189">
        <f>ROW(Source!A244)</f>
        <v>244</v>
      </c>
      <c r="B189">
        <v>35841400</v>
      </c>
      <c r="C189">
        <v>35847482</v>
      </c>
      <c r="D189">
        <v>29114470</v>
      </c>
      <c r="E189">
        <v>1</v>
      </c>
      <c r="F189">
        <v>1</v>
      </c>
      <c r="G189">
        <v>1</v>
      </c>
      <c r="H189">
        <v>3</v>
      </c>
      <c r="I189" t="s">
        <v>561</v>
      </c>
      <c r="J189" t="s">
        <v>562</v>
      </c>
      <c r="K189" t="s">
        <v>563</v>
      </c>
      <c r="L189">
        <v>1355</v>
      </c>
      <c r="N189">
        <v>1010</v>
      </c>
      <c r="O189" t="s">
        <v>46</v>
      </c>
      <c r="P189" t="s">
        <v>46</v>
      </c>
      <c r="Q189">
        <v>100</v>
      </c>
      <c r="W189">
        <v>0</v>
      </c>
      <c r="X189">
        <v>1627582661</v>
      </c>
      <c r="Y189">
        <v>1.02</v>
      </c>
      <c r="AA189">
        <v>55.19</v>
      </c>
      <c r="AB189">
        <v>0</v>
      </c>
      <c r="AC189">
        <v>0</v>
      </c>
      <c r="AD189">
        <v>0</v>
      </c>
      <c r="AE189">
        <v>86.24</v>
      </c>
      <c r="AF189">
        <v>0</v>
      </c>
      <c r="AG189">
        <v>0</v>
      </c>
      <c r="AH189">
        <v>0</v>
      </c>
      <c r="AI189">
        <v>0.64</v>
      </c>
      <c r="AJ189">
        <v>1</v>
      </c>
      <c r="AK189">
        <v>1</v>
      </c>
      <c r="AL189">
        <v>1</v>
      </c>
      <c r="AN189">
        <v>0</v>
      </c>
      <c r="AO189">
        <v>1</v>
      </c>
      <c r="AP189">
        <v>0</v>
      </c>
      <c r="AQ189">
        <v>0</v>
      </c>
      <c r="AR189">
        <v>0</v>
      </c>
      <c r="AS189" t="s">
        <v>3</v>
      </c>
      <c r="AT189">
        <v>1.02</v>
      </c>
      <c r="AU189" t="s">
        <v>3</v>
      </c>
      <c r="AV189">
        <v>0</v>
      </c>
      <c r="AW189">
        <v>2</v>
      </c>
      <c r="AX189">
        <v>37378927</v>
      </c>
      <c r="AY189">
        <v>1</v>
      </c>
      <c r="AZ189">
        <v>0</v>
      </c>
      <c r="BA189">
        <v>190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0</v>
      </c>
      <c r="BI189">
        <v>0</v>
      </c>
      <c r="BJ189">
        <v>0</v>
      </c>
      <c r="BK189">
        <v>0</v>
      </c>
      <c r="BL189">
        <v>0</v>
      </c>
      <c r="BM189">
        <v>0</v>
      </c>
      <c r="BN189">
        <v>0</v>
      </c>
      <c r="BO189">
        <v>0</v>
      </c>
      <c r="BP189">
        <v>0</v>
      </c>
      <c r="BQ189">
        <v>0</v>
      </c>
      <c r="BR189">
        <v>0</v>
      </c>
      <c r="BS189">
        <v>0</v>
      </c>
      <c r="BT189">
        <v>0</v>
      </c>
      <c r="BU189">
        <v>0</v>
      </c>
      <c r="BV189">
        <v>0</v>
      </c>
      <c r="BW189">
        <v>0</v>
      </c>
      <c r="CX189">
        <f>Y189*Source!I244</f>
        <v>1.0200000000000001E-2</v>
      </c>
      <c r="CY189">
        <f>AA189</f>
        <v>55.19</v>
      </c>
      <c r="CZ189">
        <f>AE189</f>
        <v>86.24</v>
      </c>
      <c r="DA189">
        <f>AI189</f>
        <v>0.64</v>
      </c>
      <c r="DB189">
        <f t="shared" si="33"/>
        <v>87.96</v>
      </c>
      <c r="DC189">
        <f t="shared" si="34"/>
        <v>0</v>
      </c>
    </row>
    <row r="190" spans="1:107">
      <c r="A190">
        <f>ROW(Source!A244)</f>
        <v>244</v>
      </c>
      <c r="B190">
        <v>35841400</v>
      </c>
      <c r="C190">
        <v>35847482</v>
      </c>
      <c r="D190">
        <v>29169273</v>
      </c>
      <c r="E190">
        <v>1</v>
      </c>
      <c r="F190">
        <v>1</v>
      </c>
      <c r="G190">
        <v>1</v>
      </c>
      <c r="H190">
        <v>3</v>
      </c>
      <c r="I190" t="s">
        <v>262</v>
      </c>
      <c r="J190" t="s">
        <v>265</v>
      </c>
      <c r="K190" t="s">
        <v>263</v>
      </c>
      <c r="L190">
        <v>1358</v>
      </c>
      <c r="N190">
        <v>1010</v>
      </c>
      <c r="O190" t="s">
        <v>264</v>
      </c>
      <c r="P190" t="s">
        <v>264</v>
      </c>
      <c r="Q190">
        <v>10</v>
      </c>
      <c r="W190">
        <v>0</v>
      </c>
      <c r="X190">
        <v>630344398</v>
      </c>
      <c r="Y190">
        <v>10</v>
      </c>
      <c r="AA190">
        <v>741.69</v>
      </c>
      <c r="AB190">
        <v>0</v>
      </c>
      <c r="AC190">
        <v>0</v>
      </c>
      <c r="AD190">
        <v>0</v>
      </c>
      <c r="AE190">
        <v>100.5</v>
      </c>
      <c r="AF190">
        <v>0</v>
      </c>
      <c r="AG190">
        <v>0</v>
      </c>
      <c r="AH190">
        <v>0</v>
      </c>
      <c r="AI190">
        <v>7.38</v>
      </c>
      <c r="AJ190">
        <v>1</v>
      </c>
      <c r="AK190">
        <v>1</v>
      </c>
      <c r="AL190">
        <v>1</v>
      </c>
      <c r="AN190">
        <v>0</v>
      </c>
      <c r="AO190">
        <v>0</v>
      </c>
      <c r="AP190">
        <v>0</v>
      </c>
      <c r="AQ190">
        <v>0</v>
      </c>
      <c r="AR190">
        <v>0</v>
      </c>
      <c r="AS190" t="s">
        <v>3</v>
      </c>
      <c r="AT190">
        <v>10</v>
      </c>
      <c r="AU190" t="s">
        <v>3</v>
      </c>
      <c r="AV190">
        <v>0</v>
      </c>
      <c r="AW190">
        <v>1</v>
      </c>
      <c r="AX190">
        <v>-1</v>
      </c>
      <c r="AY190">
        <v>0</v>
      </c>
      <c r="AZ190">
        <v>0</v>
      </c>
      <c r="BA190" t="s">
        <v>3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0</v>
      </c>
      <c r="BI190">
        <v>0</v>
      </c>
      <c r="BJ190">
        <v>0</v>
      </c>
      <c r="BK190">
        <v>0</v>
      </c>
      <c r="BL190">
        <v>0</v>
      </c>
      <c r="BM190">
        <v>0</v>
      </c>
      <c r="BN190">
        <v>0</v>
      </c>
      <c r="BO190">
        <v>0</v>
      </c>
      <c r="BP190">
        <v>0</v>
      </c>
      <c r="BQ190">
        <v>0</v>
      </c>
      <c r="BR190">
        <v>0</v>
      </c>
      <c r="BS190">
        <v>0</v>
      </c>
      <c r="BT190">
        <v>0</v>
      </c>
      <c r="BU190">
        <v>0</v>
      </c>
      <c r="BV190">
        <v>0</v>
      </c>
      <c r="BW190">
        <v>0</v>
      </c>
      <c r="CX190">
        <f>Y190*Source!I244</f>
        <v>0.1</v>
      </c>
      <c r="CY190">
        <f>AA190</f>
        <v>741.69</v>
      </c>
      <c r="CZ190">
        <f>AE190</f>
        <v>100.5</v>
      </c>
      <c r="DA190">
        <f>AI190</f>
        <v>7.38</v>
      </c>
      <c r="DB190">
        <f t="shared" si="33"/>
        <v>1005</v>
      </c>
      <c r="DC190">
        <f t="shared" si="34"/>
        <v>0</v>
      </c>
    </row>
    <row r="191" spans="1:107">
      <c r="A191">
        <f>ROW(Source!A244)</f>
        <v>244</v>
      </c>
      <c r="B191">
        <v>35841400</v>
      </c>
      <c r="C191">
        <v>35847482</v>
      </c>
      <c r="D191">
        <v>29171808</v>
      </c>
      <c r="E191">
        <v>1</v>
      </c>
      <c r="F191">
        <v>1</v>
      </c>
      <c r="G191">
        <v>1</v>
      </c>
      <c r="H191">
        <v>3</v>
      </c>
      <c r="I191" t="s">
        <v>564</v>
      </c>
      <c r="J191" t="s">
        <v>565</v>
      </c>
      <c r="K191" t="s">
        <v>566</v>
      </c>
      <c r="L191">
        <v>1374</v>
      </c>
      <c r="N191">
        <v>1013</v>
      </c>
      <c r="O191" t="s">
        <v>567</v>
      </c>
      <c r="P191" t="s">
        <v>567</v>
      </c>
      <c r="Q191">
        <v>1</v>
      </c>
      <c r="W191">
        <v>0</v>
      </c>
      <c r="X191">
        <v>-915781824</v>
      </c>
      <c r="Y191">
        <v>6.97</v>
      </c>
      <c r="AA191">
        <v>1</v>
      </c>
      <c r="AB191">
        <v>0</v>
      </c>
      <c r="AC191">
        <v>0</v>
      </c>
      <c r="AD191">
        <v>0</v>
      </c>
      <c r="AE191">
        <v>1</v>
      </c>
      <c r="AF191">
        <v>0</v>
      </c>
      <c r="AG191">
        <v>0</v>
      </c>
      <c r="AH191">
        <v>0</v>
      </c>
      <c r="AI191">
        <v>1</v>
      </c>
      <c r="AJ191">
        <v>1</v>
      </c>
      <c r="AK191">
        <v>1</v>
      </c>
      <c r="AL191">
        <v>1</v>
      </c>
      <c r="AN191">
        <v>0</v>
      </c>
      <c r="AO191">
        <v>1</v>
      </c>
      <c r="AP191">
        <v>0</v>
      </c>
      <c r="AQ191">
        <v>0</v>
      </c>
      <c r="AR191">
        <v>0</v>
      </c>
      <c r="AS191" t="s">
        <v>3</v>
      </c>
      <c r="AT191">
        <v>6.97</v>
      </c>
      <c r="AU191" t="s">
        <v>3</v>
      </c>
      <c r="AV191">
        <v>0</v>
      </c>
      <c r="AW191">
        <v>2</v>
      </c>
      <c r="AX191">
        <v>37378928</v>
      </c>
      <c r="AY191">
        <v>1</v>
      </c>
      <c r="AZ191">
        <v>0</v>
      </c>
      <c r="BA191">
        <v>191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0</v>
      </c>
      <c r="BI191">
        <v>0</v>
      </c>
      <c r="BJ191">
        <v>0</v>
      </c>
      <c r="BK191">
        <v>0</v>
      </c>
      <c r="BL191">
        <v>0</v>
      </c>
      <c r="BM191">
        <v>0</v>
      </c>
      <c r="BN191">
        <v>0</v>
      </c>
      <c r="BO191">
        <v>0</v>
      </c>
      <c r="BP191">
        <v>0</v>
      </c>
      <c r="BQ191">
        <v>0</v>
      </c>
      <c r="BR191">
        <v>0</v>
      </c>
      <c r="BS191">
        <v>0</v>
      </c>
      <c r="BT191">
        <v>0</v>
      </c>
      <c r="BU191">
        <v>0</v>
      </c>
      <c r="BV191">
        <v>0</v>
      </c>
      <c r="BW191">
        <v>0</v>
      </c>
      <c r="CX191">
        <f>Y191*Source!I244</f>
        <v>6.9699999999999998E-2</v>
      </c>
      <c r="CY191">
        <f>AA191</f>
        <v>1</v>
      </c>
      <c r="CZ191">
        <f>AE191</f>
        <v>1</v>
      </c>
      <c r="DA191">
        <f>AI191</f>
        <v>1</v>
      </c>
      <c r="DB191">
        <f t="shared" si="33"/>
        <v>6.97</v>
      </c>
      <c r="DC191">
        <f t="shared" si="34"/>
        <v>0</v>
      </c>
    </row>
    <row r="192" spans="1:107">
      <c r="A192">
        <f>ROW(Source!A246)</f>
        <v>246</v>
      </c>
      <c r="B192">
        <v>35841400</v>
      </c>
      <c r="C192">
        <v>35847492</v>
      </c>
      <c r="D192">
        <v>29364679</v>
      </c>
      <c r="E192">
        <v>1</v>
      </c>
      <c r="F192">
        <v>1</v>
      </c>
      <c r="G192">
        <v>1</v>
      </c>
      <c r="H192">
        <v>1</v>
      </c>
      <c r="I192" t="s">
        <v>547</v>
      </c>
      <c r="J192" t="s">
        <v>3</v>
      </c>
      <c r="K192" t="s">
        <v>548</v>
      </c>
      <c r="L192">
        <v>1369</v>
      </c>
      <c r="N192">
        <v>1013</v>
      </c>
      <c r="O192" t="s">
        <v>361</v>
      </c>
      <c r="P192" t="s">
        <v>361</v>
      </c>
      <c r="Q192">
        <v>1</v>
      </c>
      <c r="W192">
        <v>0</v>
      </c>
      <c r="X192">
        <v>931378261</v>
      </c>
      <c r="Y192">
        <v>34.56</v>
      </c>
      <c r="AA192">
        <v>0</v>
      </c>
      <c r="AB192">
        <v>0</v>
      </c>
      <c r="AC192">
        <v>0</v>
      </c>
      <c r="AD192">
        <v>329.2</v>
      </c>
      <c r="AE192">
        <v>0</v>
      </c>
      <c r="AF192">
        <v>0</v>
      </c>
      <c r="AG192">
        <v>0</v>
      </c>
      <c r="AH192">
        <v>329.2</v>
      </c>
      <c r="AI192">
        <v>1</v>
      </c>
      <c r="AJ192">
        <v>1</v>
      </c>
      <c r="AK192">
        <v>1</v>
      </c>
      <c r="AL192">
        <v>1</v>
      </c>
      <c r="AN192">
        <v>0</v>
      </c>
      <c r="AO192">
        <v>1</v>
      </c>
      <c r="AP192">
        <v>0</v>
      </c>
      <c r="AQ192">
        <v>0</v>
      </c>
      <c r="AR192">
        <v>0</v>
      </c>
      <c r="AS192" t="s">
        <v>3</v>
      </c>
      <c r="AT192">
        <v>34.56</v>
      </c>
      <c r="AU192" t="s">
        <v>3</v>
      </c>
      <c r="AV192">
        <v>1</v>
      </c>
      <c r="AW192">
        <v>2</v>
      </c>
      <c r="AX192">
        <v>36150426</v>
      </c>
      <c r="AY192">
        <v>2</v>
      </c>
      <c r="AZ192">
        <v>131072</v>
      </c>
      <c r="BA192">
        <v>192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0</v>
      </c>
      <c r="BI192">
        <v>0</v>
      </c>
      <c r="BJ192">
        <v>0</v>
      </c>
      <c r="BK192">
        <v>0</v>
      </c>
      <c r="BL192">
        <v>0</v>
      </c>
      <c r="BM192">
        <v>0</v>
      </c>
      <c r="BN192">
        <v>0</v>
      </c>
      <c r="BO192">
        <v>0</v>
      </c>
      <c r="BP192">
        <v>0</v>
      </c>
      <c r="BQ192">
        <v>0</v>
      </c>
      <c r="BR192">
        <v>0</v>
      </c>
      <c r="BS192">
        <v>0</v>
      </c>
      <c r="BT192">
        <v>0</v>
      </c>
      <c r="BU192">
        <v>0</v>
      </c>
      <c r="BV192">
        <v>0</v>
      </c>
      <c r="BW192">
        <v>0</v>
      </c>
      <c r="CX192">
        <f>Y192*Source!I246</f>
        <v>1.3824000000000001</v>
      </c>
      <c r="CY192">
        <f>AD192</f>
        <v>329.2</v>
      </c>
      <c r="CZ192">
        <f>AH192</f>
        <v>329.2</v>
      </c>
      <c r="DA192">
        <f>AL192</f>
        <v>1</v>
      </c>
      <c r="DB192">
        <f t="shared" si="33"/>
        <v>11377.15</v>
      </c>
      <c r="DC192">
        <f t="shared" si="34"/>
        <v>0</v>
      </c>
    </row>
    <row r="193" spans="1:107">
      <c r="A193">
        <f>ROW(Source!A246)</f>
        <v>246</v>
      </c>
      <c r="B193">
        <v>35841400</v>
      </c>
      <c r="C193">
        <v>35847492</v>
      </c>
      <c r="D193">
        <v>121548</v>
      </c>
      <c r="E193">
        <v>1</v>
      </c>
      <c r="F193">
        <v>1</v>
      </c>
      <c r="G193">
        <v>1</v>
      </c>
      <c r="H193">
        <v>1</v>
      </c>
      <c r="I193" t="s">
        <v>213</v>
      </c>
      <c r="J193" t="s">
        <v>3</v>
      </c>
      <c r="K193" t="s">
        <v>362</v>
      </c>
      <c r="L193">
        <v>608254</v>
      </c>
      <c r="N193">
        <v>1013</v>
      </c>
      <c r="O193" t="s">
        <v>363</v>
      </c>
      <c r="P193" t="s">
        <v>363</v>
      </c>
      <c r="Q193">
        <v>1</v>
      </c>
      <c r="W193">
        <v>0</v>
      </c>
      <c r="X193">
        <v>-185737400</v>
      </c>
      <c r="Y193">
        <v>0.03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1</v>
      </c>
      <c r="AJ193">
        <v>1</v>
      </c>
      <c r="AK193">
        <v>1</v>
      </c>
      <c r="AL193">
        <v>1</v>
      </c>
      <c r="AN193">
        <v>0</v>
      </c>
      <c r="AO193">
        <v>1</v>
      </c>
      <c r="AP193">
        <v>0</v>
      </c>
      <c r="AQ193">
        <v>0</v>
      </c>
      <c r="AR193">
        <v>0</v>
      </c>
      <c r="AS193" t="s">
        <v>3</v>
      </c>
      <c r="AT193">
        <v>0.03</v>
      </c>
      <c r="AU193" t="s">
        <v>3</v>
      </c>
      <c r="AV193">
        <v>2</v>
      </c>
      <c r="AW193">
        <v>2</v>
      </c>
      <c r="AX193">
        <v>36150427</v>
      </c>
      <c r="AY193">
        <v>1</v>
      </c>
      <c r="AZ193">
        <v>0</v>
      </c>
      <c r="BA193">
        <v>193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0</v>
      </c>
      <c r="BI193">
        <v>0</v>
      </c>
      <c r="BJ193">
        <v>0</v>
      </c>
      <c r="BK193">
        <v>0</v>
      </c>
      <c r="BL193">
        <v>0</v>
      </c>
      <c r="BM193">
        <v>0</v>
      </c>
      <c r="BN193">
        <v>0</v>
      </c>
      <c r="BO193">
        <v>0</v>
      </c>
      <c r="BP193">
        <v>0</v>
      </c>
      <c r="BQ193">
        <v>0</v>
      </c>
      <c r="BR193">
        <v>0</v>
      </c>
      <c r="BS193">
        <v>0</v>
      </c>
      <c r="BT193">
        <v>0</v>
      </c>
      <c r="BU193">
        <v>0</v>
      </c>
      <c r="BV193">
        <v>0</v>
      </c>
      <c r="BW193">
        <v>0</v>
      </c>
      <c r="CX193">
        <f>Y193*Source!I246</f>
        <v>1.1999999999999999E-3</v>
      </c>
      <c r="CY193">
        <f>AD193</f>
        <v>0</v>
      </c>
      <c r="CZ193">
        <f>AH193</f>
        <v>0</v>
      </c>
      <c r="DA193">
        <f>AL193</f>
        <v>1</v>
      </c>
      <c r="DB193">
        <f t="shared" si="33"/>
        <v>0</v>
      </c>
      <c r="DC193">
        <f t="shared" si="34"/>
        <v>0</v>
      </c>
    </row>
    <row r="194" spans="1:107">
      <c r="A194">
        <f>ROW(Source!A246)</f>
        <v>246</v>
      </c>
      <c r="B194">
        <v>35841400</v>
      </c>
      <c r="C194">
        <v>35847492</v>
      </c>
      <c r="D194">
        <v>29172362</v>
      </c>
      <c r="E194">
        <v>1</v>
      </c>
      <c r="F194">
        <v>1</v>
      </c>
      <c r="G194">
        <v>1</v>
      </c>
      <c r="H194">
        <v>2</v>
      </c>
      <c r="I194" t="s">
        <v>549</v>
      </c>
      <c r="J194" t="s">
        <v>568</v>
      </c>
      <c r="K194" t="s">
        <v>551</v>
      </c>
      <c r="L194">
        <v>1368</v>
      </c>
      <c r="N194">
        <v>1011</v>
      </c>
      <c r="O194" t="s">
        <v>367</v>
      </c>
      <c r="P194" t="s">
        <v>367</v>
      </c>
      <c r="Q194">
        <v>1</v>
      </c>
      <c r="W194">
        <v>0</v>
      </c>
      <c r="X194">
        <v>2071614860</v>
      </c>
      <c r="Y194">
        <v>0.03</v>
      </c>
      <c r="AA194">
        <v>0</v>
      </c>
      <c r="AB194">
        <v>1113.56</v>
      </c>
      <c r="AC194">
        <v>453.6</v>
      </c>
      <c r="AD194">
        <v>0</v>
      </c>
      <c r="AE194">
        <v>0</v>
      </c>
      <c r="AF194">
        <v>134.65</v>
      </c>
      <c r="AG194">
        <v>13.5</v>
      </c>
      <c r="AH194">
        <v>0</v>
      </c>
      <c r="AI194">
        <v>1</v>
      </c>
      <c r="AJ194">
        <v>8.27</v>
      </c>
      <c r="AK194">
        <v>33.6</v>
      </c>
      <c r="AL194">
        <v>1</v>
      </c>
      <c r="AN194">
        <v>0</v>
      </c>
      <c r="AO194">
        <v>1</v>
      </c>
      <c r="AP194">
        <v>0</v>
      </c>
      <c r="AQ194">
        <v>0</v>
      </c>
      <c r="AR194">
        <v>0</v>
      </c>
      <c r="AS194" t="s">
        <v>3</v>
      </c>
      <c r="AT194">
        <v>0.03</v>
      </c>
      <c r="AU194" t="s">
        <v>3</v>
      </c>
      <c r="AV194">
        <v>0</v>
      </c>
      <c r="AW194">
        <v>2</v>
      </c>
      <c r="AX194">
        <v>36150428</v>
      </c>
      <c r="AY194">
        <v>1</v>
      </c>
      <c r="AZ194">
        <v>0</v>
      </c>
      <c r="BA194">
        <v>194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0</v>
      </c>
      <c r="BI194">
        <v>0</v>
      </c>
      <c r="BJ194">
        <v>0</v>
      </c>
      <c r="BK194">
        <v>0</v>
      </c>
      <c r="BL194">
        <v>0</v>
      </c>
      <c r="BM194">
        <v>0</v>
      </c>
      <c r="BN194">
        <v>0</v>
      </c>
      <c r="BO194">
        <v>0</v>
      </c>
      <c r="BP194">
        <v>0</v>
      </c>
      <c r="BQ194">
        <v>0</v>
      </c>
      <c r="BR194">
        <v>0</v>
      </c>
      <c r="BS194">
        <v>0</v>
      </c>
      <c r="BT194">
        <v>0</v>
      </c>
      <c r="BU194">
        <v>0</v>
      </c>
      <c r="BV194">
        <v>0</v>
      </c>
      <c r="BW194">
        <v>0</v>
      </c>
      <c r="CX194">
        <f>Y194*Source!I246</f>
        <v>1.1999999999999999E-3</v>
      </c>
      <c r="CY194">
        <f>AB194</f>
        <v>1113.56</v>
      </c>
      <c r="CZ194">
        <f>AF194</f>
        <v>134.65</v>
      </c>
      <c r="DA194">
        <f>AJ194</f>
        <v>8.27</v>
      </c>
      <c r="DB194">
        <f t="shared" si="33"/>
        <v>4.04</v>
      </c>
      <c r="DC194">
        <f t="shared" si="34"/>
        <v>0.41</v>
      </c>
    </row>
    <row r="195" spans="1:107">
      <c r="A195">
        <f>ROW(Source!A246)</f>
        <v>246</v>
      </c>
      <c r="B195">
        <v>35841400</v>
      </c>
      <c r="C195">
        <v>35847492</v>
      </c>
      <c r="D195">
        <v>29174500</v>
      </c>
      <c r="E195">
        <v>1</v>
      </c>
      <c r="F195">
        <v>1</v>
      </c>
      <c r="G195">
        <v>1</v>
      </c>
      <c r="H195">
        <v>2</v>
      </c>
      <c r="I195" t="s">
        <v>552</v>
      </c>
      <c r="J195" t="s">
        <v>569</v>
      </c>
      <c r="K195" t="s">
        <v>554</v>
      </c>
      <c r="L195">
        <v>1368</v>
      </c>
      <c r="N195">
        <v>1011</v>
      </c>
      <c r="O195" t="s">
        <v>367</v>
      </c>
      <c r="P195" t="s">
        <v>367</v>
      </c>
      <c r="Q195">
        <v>1</v>
      </c>
      <c r="W195">
        <v>0</v>
      </c>
      <c r="X195">
        <v>-239831557</v>
      </c>
      <c r="Y195">
        <v>4.0999999999999996</v>
      </c>
      <c r="AA195">
        <v>0</v>
      </c>
      <c r="AB195">
        <v>7.33</v>
      </c>
      <c r="AC195">
        <v>0</v>
      </c>
      <c r="AD195">
        <v>0</v>
      </c>
      <c r="AE195">
        <v>0</v>
      </c>
      <c r="AF195">
        <v>1.95</v>
      </c>
      <c r="AG195">
        <v>0</v>
      </c>
      <c r="AH195">
        <v>0</v>
      </c>
      <c r="AI195">
        <v>1</v>
      </c>
      <c r="AJ195">
        <v>3.76</v>
      </c>
      <c r="AK195">
        <v>33.6</v>
      </c>
      <c r="AL195">
        <v>1</v>
      </c>
      <c r="AN195">
        <v>0</v>
      </c>
      <c r="AO195">
        <v>1</v>
      </c>
      <c r="AP195">
        <v>0</v>
      </c>
      <c r="AQ195">
        <v>0</v>
      </c>
      <c r="AR195">
        <v>0</v>
      </c>
      <c r="AS195" t="s">
        <v>3</v>
      </c>
      <c r="AT195">
        <v>4.0999999999999996</v>
      </c>
      <c r="AU195" t="s">
        <v>3</v>
      </c>
      <c r="AV195">
        <v>0</v>
      </c>
      <c r="AW195">
        <v>2</v>
      </c>
      <c r="AX195">
        <v>36150429</v>
      </c>
      <c r="AY195">
        <v>1</v>
      </c>
      <c r="AZ195">
        <v>0</v>
      </c>
      <c r="BA195">
        <v>195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0</v>
      </c>
      <c r="BI195">
        <v>0</v>
      </c>
      <c r="BJ195">
        <v>0</v>
      </c>
      <c r="BK195">
        <v>0</v>
      </c>
      <c r="BL195">
        <v>0</v>
      </c>
      <c r="BM195">
        <v>0</v>
      </c>
      <c r="BN195">
        <v>0</v>
      </c>
      <c r="BO195">
        <v>0</v>
      </c>
      <c r="BP195">
        <v>0</v>
      </c>
      <c r="BQ195">
        <v>0</v>
      </c>
      <c r="BR195">
        <v>0</v>
      </c>
      <c r="BS195">
        <v>0</v>
      </c>
      <c r="BT195">
        <v>0</v>
      </c>
      <c r="BU195">
        <v>0</v>
      </c>
      <c r="BV195">
        <v>0</v>
      </c>
      <c r="BW195">
        <v>0</v>
      </c>
      <c r="CX195">
        <f>Y195*Source!I246</f>
        <v>0.16399999999999998</v>
      </c>
      <c r="CY195">
        <f>AB195</f>
        <v>7.33</v>
      </c>
      <c r="CZ195">
        <f>AF195</f>
        <v>1.95</v>
      </c>
      <c r="DA195">
        <f>AJ195</f>
        <v>3.76</v>
      </c>
      <c r="DB195">
        <f t="shared" si="33"/>
        <v>8</v>
      </c>
      <c r="DC195">
        <f t="shared" si="34"/>
        <v>0</v>
      </c>
    </row>
    <row r="196" spans="1:107">
      <c r="A196">
        <f>ROW(Source!A246)</f>
        <v>246</v>
      </c>
      <c r="B196">
        <v>35841400</v>
      </c>
      <c r="C196">
        <v>35847492</v>
      </c>
      <c r="D196">
        <v>29174913</v>
      </c>
      <c r="E196">
        <v>1</v>
      </c>
      <c r="F196">
        <v>1</v>
      </c>
      <c r="G196">
        <v>1</v>
      </c>
      <c r="H196">
        <v>2</v>
      </c>
      <c r="I196" t="s">
        <v>381</v>
      </c>
      <c r="J196" t="s">
        <v>480</v>
      </c>
      <c r="K196" t="s">
        <v>383</v>
      </c>
      <c r="L196">
        <v>1368</v>
      </c>
      <c r="N196">
        <v>1011</v>
      </c>
      <c r="O196" t="s">
        <v>367</v>
      </c>
      <c r="P196" t="s">
        <v>367</v>
      </c>
      <c r="Q196">
        <v>1</v>
      </c>
      <c r="W196">
        <v>0</v>
      </c>
      <c r="X196">
        <v>458544584</v>
      </c>
      <c r="Y196">
        <v>0.02</v>
      </c>
      <c r="AA196">
        <v>0</v>
      </c>
      <c r="AB196">
        <v>932.72</v>
      </c>
      <c r="AC196">
        <v>389.76</v>
      </c>
      <c r="AD196">
        <v>0</v>
      </c>
      <c r="AE196">
        <v>0</v>
      </c>
      <c r="AF196">
        <v>87.17</v>
      </c>
      <c r="AG196">
        <v>11.6</v>
      </c>
      <c r="AH196">
        <v>0</v>
      </c>
      <c r="AI196">
        <v>1</v>
      </c>
      <c r="AJ196">
        <v>10.7</v>
      </c>
      <c r="AK196">
        <v>33.6</v>
      </c>
      <c r="AL196">
        <v>1</v>
      </c>
      <c r="AN196">
        <v>0</v>
      </c>
      <c r="AO196">
        <v>1</v>
      </c>
      <c r="AP196">
        <v>0</v>
      </c>
      <c r="AQ196">
        <v>0</v>
      </c>
      <c r="AR196">
        <v>0</v>
      </c>
      <c r="AS196" t="s">
        <v>3</v>
      </c>
      <c r="AT196">
        <v>0.02</v>
      </c>
      <c r="AU196" t="s">
        <v>3</v>
      </c>
      <c r="AV196">
        <v>0</v>
      </c>
      <c r="AW196">
        <v>2</v>
      </c>
      <c r="AX196">
        <v>36150430</v>
      </c>
      <c r="AY196">
        <v>1</v>
      </c>
      <c r="AZ196">
        <v>0</v>
      </c>
      <c r="BA196">
        <v>196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0</v>
      </c>
      <c r="BI196">
        <v>0</v>
      </c>
      <c r="BJ196">
        <v>0</v>
      </c>
      <c r="BK196">
        <v>0</v>
      </c>
      <c r="BL196">
        <v>0</v>
      </c>
      <c r="BM196">
        <v>0</v>
      </c>
      <c r="BN196">
        <v>0</v>
      </c>
      <c r="BO196">
        <v>0</v>
      </c>
      <c r="BP196">
        <v>0</v>
      </c>
      <c r="BQ196">
        <v>0</v>
      </c>
      <c r="BR196">
        <v>0</v>
      </c>
      <c r="BS196">
        <v>0</v>
      </c>
      <c r="BT196">
        <v>0</v>
      </c>
      <c r="BU196">
        <v>0</v>
      </c>
      <c r="BV196">
        <v>0</v>
      </c>
      <c r="BW196">
        <v>0</v>
      </c>
      <c r="CX196">
        <f>Y196*Source!I246</f>
        <v>8.0000000000000004E-4</v>
      </c>
      <c r="CY196">
        <f>AB196</f>
        <v>932.72</v>
      </c>
      <c r="CZ196">
        <f>AF196</f>
        <v>87.17</v>
      </c>
      <c r="DA196">
        <f>AJ196</f>
        <v>10.7</v>
      </c>
      <c r="DB196">
        <f t="shared" si="33"/>
        <v>1.74</v>
      </c>
      <c r="DC196">
        <f t="shared" si="34"/>
        <v>0.23</v>
      </c>
    </row>
    <row r="197" spans="1:107">
      <c r="A197">
        <f>ROW(Source!A246)</f>
        <v>246</v>
      </c>
      <c r="B197">
        <v>35841400</v>
      </c>
      <c r="C197">
        <v>35847492</v>
      </c>
      <c r="D197">
        <v>29114684</v>
      </c>
      <c r="E197">
        <v>1</v>
      </c>
      <c r="F197">
        <v>1</v>
      </c>
      <c r="G197">
        <v>1</v>
      </c>
      <c r="H197">
        <v>3</v>
      </c>
      <c r="I197" t="s">
        <v>555</v>
      </c>
      <c r="J197" t="s">
        <v>570</v>
      </c>
      <c r="K197" t="s">
        <v>557</v>
      </c>
      <c r="L197">
        <v>1348</v>
      </c>
      <c r="N197">
        <v>1009</v>
      </c>
      <c r="O197" t="s">
        <v>41</v>
      </c>
      <c r="P197" t="s">
        <v>41</v>
      </c>
      <c r="Q197">
        <v>1000</v>
      </c>
      <c r="W197">
        <v>0</v>
      </c>
      <c r="X197">
        <v>1269643534</v>
      </c>
      <c r="Y197">
        <v>1.6000000000000001E-4</v>
      </c>
      <c r="AA197">
        <v>114134</v>
      </c>
      <c r="AB197">
        <v>0</v>
      </c>
      <c r="AC197">
        <v>0</v>
      </c>
      <c r="AD197">
        <v>0</v>
      </c>
      <c r="AE197">
        <v>29800</v>
      </c>
      <c r="AF197">
        <v>0</v>
      </c>
      <c r="AG197">
        <v>0</v>
      </c>
      <c r="AH197">
        <v>0</v>
      </c>
      <c r="AI197">
        <v>3.83</v>
      </c>
      <c r="AJ197">
        <v>1</v>
      </c>
      <c r="AK197">
        <v>1</v>
      </c>
      <c r="AL197">
        <v>1</v>
      </c>
      <c r="AN197">
        <v>0</v>
      </c>
      <c r="AO197">
        <v>1</v>
      </c>
      <c r="AP197">
        <v>0</v>
      </c>
      <c r="AQ197">
        <v>0</v>
      </c>
      <c r="AR197">
        <v>0</v>
      </c>
      <c r="AS197" t="s">
        <v>3</v>
      </c>
      <c r="AT197">
        <v>1.6000000000000001E-4</v>
      </c>
      <c r="AU197" t="s">
        <v>3</v>
      </c>
      <c r="AV197">
        <v>0</v>
      </c>
      <c r="AW197">
        <v>2</v>
      </c>
      <c r="AX197">
        <v>36150431</v>
      </c>
      <c r="AY197">
        <v>1</v>
      </c>
      <c r="AZ197">
        <v>0</v>
      </c>
      <c r="BA197">
        <v>197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0</v>
      </c>
      <c r="BI197">
        <v>0</v>
      </c>
      <c r="BJ197">
        <v>0</v>
      </c>
      <c r="BK197">
        <v>0</v>
      </c>
      <c r="BL197">
        <v>0</v>
      </c>
      <c r="BM197">
        <v>0</v>
      </c>
      <c r="BN197">
        <v>0</v>
      </c>
      <c r="BO197">
        <v>0</v>
      </c>
      <c r="BP197">
        <v>0</v>
      </c>
      <c r="BQ197">
        <v>0</v>
      </c>
      <c r="BR197">
        <v>0</v>
      </c>
      <c r="BS197">
        <v>0</v>
      </c>
      <c r="BT197">
        <v>0</v>
      </c>
      <c r="BU197">
        <v>0</v>
      </c>
      <c r="BV197">
        <v>0</v>
      </c>
      <c r="BW197">
        <v>0</v>
      </c>
      <c r="CX197">
        <f>Y197*Source!I246</f>
        <v>6.4000000000000006E-6</v>
      </c>
      <c r="CY197">
        <f t="shared" ref="CY197:CY202" si="35">AA197</f>
        <v>114134</v>
      </c>
      <c r="CZ197">
        <f t="shared" ref="CZ197:CZ202" si="36">AE197</f>
        <v>29800</v>
      </c>
      <c r="DA197">
        <f t="shared" ref="DA197:DA202" si="37">AI197</f>
        <v>3.83</v>
      </c>
      <c r="DB197">
        <f t="shared" si="33"/>
        <v>4.7699999999999996</v>
      </c>
      <c r="DC197">
        <f t="shared" si="34"/>
        <v>0</v>
      </c>
    </row>
    <row r="198" spans="1:107">
      <c r="A198">
        <f>ROW(Source!A246)</f>
        <v>246</v>
      </c>
      <c r="B198">
        <v>35841400</v>
      </c>
      <c r="C198">
        <v>35847492</v>
      </c>
      <c r="D198">
        <v>29114688</v>
      </c>
      <c r="E198">
        <v>1</v>
      </c>
      <c r="F198">
        <v>1</v>
      </c>
      <c r="G198">
        <v>1</v>
      </c>
      <c r="H198">
        <v>3</v>
      </c>
      <c r="I198" t="s">
        <v>558</v>
      </c>
      <c r="J198" t="s">
        <v>571</v>
      </c>
      <c r="K198" t="s">
        <v>560</v>
      </c>
      <c r="L198">
        <v>1348</v>
      </c>
      <c r="N198">
        <v>1009</v>
      </c>
      <c r="O198" t="s">
        <v>41</v>
      </c>
      <c r="P198" t="s">
        <v>41</v>
      </c>
      <c r="Q198">
        <v>1000</v>
      </c>
      <c r="W198">
        <v>0</v>
      </c>
      <c r="X198">
        <v>1008226964</v>
      </c>
      <c r="Y198">
        <v>2.9999999999999997E-4</v>
      </c>
      <c r="AA198">
        <v>98197</v>
      </c>
      <c r="AB198">
        <v>0</v>
      </c>
      <c r="AC198">
        <v>0</v>
      </c>
      <c r="AD198">
        <v>0</v>
      </c>
      <c r="AE198">
        <v>12430</v>
      </c>
      <c r="AF198">
        <v>0</v>
      </c>
      <c r="AG198">
        <v>0</v>
      </c>
      <c r="AH198">
        <v>0</v>
      </c>
      <c r="AI198">
        <v>7.9</v>
      </c>
      <c r="AJ198">
        <v>1</v>
      </c>
      <c r="AK198">
        <v>1</v>
      </c>
      <c r="AL198">
        <v>1</v>
      </c>
      <c r="AN198">
        <v>0</v>
      </c>
      <c r="AO198">
        <v>1</v>
      </c>
      <c r="AP198">
        <v>0</v>
      </c>
      <c r="AQ198">
        <v>0</v>
      </c>
      <c r="AR198">
        <v>0</v>
      </c>
      <c r="AS198" t="s">
        <v>3</v>
      </c>
      <c r="AT198">
        <v>2.9999999999999997E-4</v>
      </c>
      <c r="AU198" t="s">
        <v>3</v>
      </c>
      <c r="AV198">
        <v>0</v>
      </c>
      <c r="AW198">
        <v>2</v>
      </c>
      <c r="AX198">
        <v>36150432</v>
      </c>
      <c r="AY198">
        <v>1</v>
      </c>
      <c r="AZ198">
        <v>0</v>
      </c>
      <c r="BA198">
        <v>198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0</v>
      </c>
      <c r="BI198">
        <v>0</v>
      </c>
      <c r="BJ198">
        <v>0</v>
      </c>
      <c r="BK198">
        <v>0</v>
      </c>
      <c r="BL198">
        <v>0</v>
      </c>
      <c r="BM198">
        <v>0</v>
      </c>
      <c r="BN198">
        <v>0</v>
      </c>
      <c r="BO198">
        <v>0</v>
      </c>
      <c r="BP198">
        <v>0</v>
      </c>
      <c r="BQ198">
        <v>0</v>
      </c>
      <c r="BR198">
        <v>0</v>
      </c>
      <c r="BS198">
        <v>0</v>
      </c>
      <c r="BT198">
        <v>0</v>
      </c>
      <c r="BU198">
        <v>0</v>
      </c>
      <c r="BV198">
        <v>0</v>
      </c>
      <c r="BW198">
        <v>0</v>
      </c>
      <c r="CX198">
        <f>Y198*Source!I246</f>
        <v>1.1999999999999999E-5</v>
      </c>
      <c r="CY198">
        <f t="shared" si="35"/>
        <v>98197</v>
      </c>
      <c r="CZ198">
        <f t="shared" si="36"/>
        <v>12430</v>
      </c>
      <c r="DA198">
        <f t="shared" si="37"/>
        <v>7.9</v>
      </c>
      <c r="DB198">
        <f t="shared" si="33"/>
        <v>3.73</v>
      </c>
      <c r="DC198">
        <f t="shared" si="34"/>
        <v>0</v>
      </c>
    </row>
    <row r="199" spans="1:107">
      <c r="A199">
        <f>ROW(Source!A246)</f>
        <v>246</v>
      </c>
      <c r="B199">
        <v>35841400</v>
      </c>
      <c r="C199">
        <v>35847492</v>
      </c>
      <c r="D199">
        <v>29110838</v>
      </c>
      <c r="E199">
        <v>1</v>
      </c>
      <c r="F199">
        <v>1</v>
      </c>
      <c r="G199">
        <v>1</v>
      </c>
      <c r="H199">
        <v>3</v>
      </c>
      <c r="I199" t="s">
        <v>572</v>
      </c>
      <c r="J199" t="s">
        <v>573</v>
      </c>
      <c r="K199" t="s">
        <v>574</v>
      </c>
      <c r="L199">
        <v>1346</v>
      </c>
      <c r="N199">
        <v>1009</v>
      </c>
      <c r="O199" t="s">
        <v>151</v>
      </c>
      <c r="P199" t="s">
        <v>151</v>
      </c>
      <c r="Q199">
        <v>1</v>
      </c>
      <c r="W199">
        <v>0</v>
      </c>
      <c r="X199">
        <v>-667794164</v>
      </c>
      <c r="Y199">
        <v>0.11</v>
      </c>
      <c r="AA199">
        <v>100.04</v>
      </c>
      <c r="AB199">
        <v>0</v>
      </c>
      <c r="AC199">
        <v>0</v>
      </c>
      <c r="AD199">
        <v>0</v>
      </c>
      <c r="AE199">
        <v>30.5</v>
      </c>
      <c r="AF199">
        <v>0</v>
      </c>
      <c r="AG199">
        <v>0</v>
      </c>
      <c r="AH199">
        <v>0</v>
      </c>
      <c r="AI199">
        <v>3.28</v>
      </c>
      <c r="AJ199">
        <v>1</v>
      </c>
      <c r="AK199">
        <v>1</v>
      </c>
      <c r="AL199">
        <v>1</v>
      </c>
      <c r="AN199">
        <v>0</v>
      </c>
      <c r="AO199">
        <v>1</v>
      </c>
      <c r="AP199">
        <v>0</v>
      </c>
      <c r="AQ199">
        <v>0</v>
      </c>
      <c r="AR199">
        <v>0</v>
      </c>
      <c r="AS199" t="s">
        <v>3</v>
      </c>
      <c r="AT199">
        <v>0.11</v>
      </c>
      <c r="AU199" t="s">
        <v>3</v>
      </c>
      <c r="AV199">
        <v>0</v>
      </c>
      <c r="AW199">
        <v>2</v>
      </c>
      <c r="AX199">
        <v>36150433</v>
      </c>
      <c r="AY199">
        <v>1</v>
      </c>
      <c r="AZ199">
        <v>0</v>
      </c>
      <c r="BA199">
        <v>199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0</v>
      </c>
      <c r="BI199">
        <v>0</v>
      </c>
      <c r="BJ199">
        <v>0</v>
      </c>
      <c r="BK199">
        <v>0</v>
      </c>
      <c r="BL199">
        <v>0</v>
      </c>
      <c r="BM199">
        <v>0</v>
      </c>
      <c r="BN199">
        <v>0</v>
      </c>
      <c r="BO199">
        <v>0</v>
      </c>
      <c r="BP199">
        <v>0</v>
      </c>
      <c r="BQ199">
        <v>0</v>
      </c>
      <c r="BR199">
        <v>0</v>
      </c>
      <c r="BS199">
        <v>0</v>
      </c>
      <c r="BT199">
        <v>0</v>
      </c>
      <c r="BU199">
        <v>0</v>
      </c>
      <c r="BV199">
        <v>0</v>
      </c>
      <c r="BW199">
        <v>0</v>
      </c>
      <c r="CX199">
        <f>Y199*Source!I246</f>
        <v>4.4000000000000003E-3</v>
      </c>
      <c r="CY199">
        <f t="shared" si="35"/>
        <v>100.04</v>
      </c>
      <c r="CZ199">
        <f t="shared" si="36"/>
        <v>30.5</v>
      </c>
      <c r="DA199">
        <f t="shared" si="37"/>
        <v>3.28</v>
      </c>
      <c r="DB199">
        <f t="shared" si="33"/>
        <v>3.36</v>
      </c>
      <c r="DC199">
        <f t="shared" si="34"/>
        <v>0</v>
      </c>
    </row>
    <row r="200" spans="1:107">
      <c r="A200">
        <f>ROW(Source!A246)</f>
        <v>246</v>
      </c>
      <c r="B200">
        <v>35841400</v>
      </c>
      <c r="C200">
        <v>35847492</v>
      </c>
      <c r="D200">
        <v>29114470</v>
      </c>
      <c r="E200">
        <v>1</v>
      </c>
      <c r="F200">
        <v>1</v>
      </c>
      <c r="G200">
        <v>1</v>
      </c>
      <c r="H200">
        <v>3</v>
      </c>
      <c r="I200" t="s">
        <v>561</v>
      </c>
      <c r="J200" t="s">
        <v>575</v>
      </c>
      <c r="K200" t="s">
        <v>563</v>
      </c>
      <c r="L200">
        <v>1355</v>
      </c>
      <c r="N200">
        <v>1010</v>
      </c>
      <c r="O200" t="s">
        <v>46</v>
      </c>
      <c r="P200" t="s">
        <v>46</v>
      </c>
      <c r="Q200">
        <v>100</v>
      </c>
      <c r="W200">
        <v>0</v>
      </c>
      <c r="X200">
        <v>-228248654</v>
      </c>
      <c r="Y200">
        <v>1.02</v>
      </c>
      <c r="AA200">
        <v>55.19</v>
      </c>
      <c r="AB200">
        <v>0</v>
      </c>
      <c r="AC200">
        <v>0</v>
      </c>
      <c r="AD200">
        <v>0</v>
      </c>
      <c r="AE200">
        <v>86.24</v>
      </c>
      <c r="AF200">
        <v>0</v>
      </c>
      <c r="AG200">
        <v>0</v>
      </c>
      <c r="AH200">
        <v>0</v>
      </c>
      <c r="AI200">
        <v>0.64</v>
      </c>
      <c r="AJ200">
        <v>1</v>
      </c>
      <c r="AK200">
        <v>1</v>
      </c>
      <c r="AL200">
        <v>1</v>
      </c>
      <c r="AN200">
        <v>0</v>
      </c>
      <c r="AO200">
        <v>1</v>
      </c>
      <c r="AP200">
        <v>0</v>
      </c>
      <c r="AQ200">
        <v>0</v>
      </c>
      <c r="AR200">
        <v>0</v>
      </c>
      <c r="AS200" t="s">
        <v>3</v>
      </c>
      <c r="AT200">
        <v>1.02</v>
      </c>
      <c r="AU200" t="s">
        <v>3</v>
      </c>
      <c r="AV200">
        <v>0</v>
      </c>
      <c r="AW200">
        <v>2</v>
      </c>
      <c r="AX200">
        <v>36150434</v>
      </c>
      <c r="AY200">
        <v>1</v>
      </c>
      <c r="AZ200">
        <v>0</v>
      </c>
      <c r="BA200">
        <v>200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0</v>
      </c>
      <c r="BI200">
        <v>0</v>
      </c>
      <c r="BJ200">
        <v>0</v>
      </c>
      <c r="BK200">
        <v>0</v>
      </c>
      <c r="BL200">
        <v>0</v>
      </c>
      <c r="BM200">
        <v>0</v>
      </c>
      <c r="BN200">
        <v>0</v>
      </c>
      <c r="BO200">
        <v>0</v>
      </c>
      <c r="BP200">
        <v>0</v>
      </c>
      <c r="BQ200">
        <v>0</v>
      </c>
      <c r="BR200">
        <v>0</v>
      </c>
      <c r="BS200">
        <v>0</v>
      </c>
      <c r="BT200">
        <v>0</v>
      </c>
      <c r="BU200">
        <v>0</v>
      </c>
      <c r="BV200">
        <v>0</v>
      </c>
      <c r="BW200">
        <v>0</v>
      </c>
      <c r="CX200">
        <f>Y200*Source!I246</f>
        <v>4.0800000000000003E-2</v>
      </c>
      <c r="CY200">
        <f t="shared" si="35"/>
        <v>55.19</v>
      </c>
      <c r="CZ200">
        <f t="shared" si="36"/>
        <v>86.24</v>
      </c>
      <c r="DA200">
        <f t="shared" si="37"/>
        <v>0.64</v>
      </c>
      <c r="DB200">
        <f t="shared" si="33"/>
        <v>87.96</v>
      </c>
      <c r="DC200">
        <f t="shared" si="34"/>
        <v>0</v>
      </c>
    </row>
    <row r="201" spans="1:107">
      <c r="A201">
        <f>ROW(Source!A246)</f>
        <v>246</v>
      </c>
      <c r="B201">
        <v>35841400</v>
      </c>
      <c r="C201">
        <v>35847492</v>
      </c>
      <c r="D201">
        <v>29156242</v>
      </c>
      <c r="E201">
        <v>1</v>
      </c>
      <c r="F201">
        <v>1</v>
      </c>
      <c r="G201">
        <v>1</v>
      </c>
      <c r="H201">
        <v>3</v>
      </c>
      <c r="I201" t="s">
        <v>269</v>
      </c>
      <c r="J201" t="s">
        <v>271</v>
      </c>
      <c r="K201" t="s">
        <v>270</v>
      </c>
      <c r="L201">
        <v>1355</v>
      </c>
      <c r="N201">
        <v>1010</v>
      </c>
      <c r="O201" t="s">
        <v>46</v>
      </c>
      <c r="P201" t="s">
        <v>46</v>
      </c>
      <c r="Q201">
        <v>100</v>
      </c>
      <c r="W201">
        <v>0</v>
      </c>
      <c r="X201">
        <v>1359760676</v>
      </c>
      <c r="Y201">
        <v>1</v>
      </c>
      <c r="AA201">
        <v>2890</v>
      </c>
      <c r="AB201">
        <v>0</v>
      </c>
      <c r="AC201">
        <v>0</v>
      </c>
      <c r="AD201">
        <v>0</v>
      </c>
      <c r="AE201">
        <v>578</v>
      </c>
      <c r="AF201">
        <v>0</v>
      </c>
      <c r="AG201">
        <v>0</v>
      </c>
      <c r="AH201">
        <v>0</v>
      </c>
      <c r="AI201">
        <v>5</v>
      </c>
      <c r="AJ201">
        <v>1</v>
      </c>
      <c r="AK201">
        <v>1</v>
      </c>
      <c r="AL201">
        <v>1</v>
      </c>
      <c r="AN201">
        <v>0</v>
      </c>
      <c r="AO201">
        <v>0</v>
      </c>
      <c r="AP201">
        <v>0</v>
      </c>
      <c r="AQ201">
        <v>0</v>
      </c>
      <c r="AR201">
        <v>0</v>
      </c>
      <c r="AS201" t="s">
        <v>3</v>
      </c>
      <c r="AT201">
        <v>1</v>
      </c>
      <c r="AU201" t="s">
        <v>3</v>
      </c>
      <c r="AV201">
        <v>0</v>
      </c>
      <c r="AW201">
        <v>1</v>
      </c>
      <c r="AX201">
        <v>-1</v>
      </c>
      <c r="AY201">
        <v>0</v>
      </c>
      <c r="AZ201">
        <v>0</v>
      </c>
      <c r="BA201" t="s">
        <v>3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0</v>
      </c>
      <c r="BI201">
        <v>0</v>
      </c>
      <c r="BJ201">
        <v>0</v>
      </c>
      <c r="BK201">
        <v>0</v>
      </c>
      <c r="BL201">
        <v>0</v>
      </c>
      <c r="BM201">
        <v>0</v>
      </c>
      <c r="BN201">
        <v>0</v>
      </c>
      <c r="BO201">
        <v>0</v>
      </c>
      <c r="BP201">
        <v>0</v>
      </c>
      <c r="BQ201">
        <v>0</v>
      </c>
      <c r="BR201">
        <v>0</v>
      </c>
      <c r="BS201">
        <v>0</v>
      </c>
      <c r="BT201">
        <v>0</v>
      </c>
      <c r="BU201">
        <v>0</v>
      </c>
      <c r="BV201">
        <v>0</v>
      </c>
      <c r="BW201">
        <v>0</v>
      </c>
      <c r="CX201">
        <f>Y201*Source!I246</f>
        <v>0.04</v>
      </c>
      <c r="CY201">
        <f t="shared" si="35"/>
        <v>2890</v>
      </c>
      <c r="CZ201">
        <f t="shared" si="36"/>
        <v>578</v>
      </c>
      <c r="DA201">
        <f t="shared" si="37"/>
        <v>5</v>
      </c>
      <c r="DB201">
        <f t="shared" si="33"/>
        <v>578</v>
      </c>
      <c r="DC201">
        <f t="shared" si="34"/>
        <v>0</v>
      </c>
    </row>
    <row r="202" spans="1:107">
      <c r="A202">
        <f>ROW(Source!A246)</f>
        <v>246</v>
      </c>
      <c r="B202">
        <v>35841400</v>
      </c>
      <c r="C202">
        <v>35847492</v>
      </c>
      <c r="D202">
        <v>29171808</v>
      </c>
      <c r="E202">
        <v>1</v>
      </c>
      <c r="F202">
        <v>1</v>
      </c>
      <c r="G202">
        <v>1</v>
      </c>
      <c r="H202">
        <v>3</v>
      </c>
      <c r="I202" t="s">
        <v>564</v>
      </c>
      <c r="J202" t="s">
        <v>565</v>
      </c>
      <c r="K202" t="s">
        <v>566</v>
      </c>
      <c r="L202">
        <v>1374</v>
      </c>
      <c r="N202">
        <v>1013</v>
      </c>
      <c r="O202" t="s">
        <v>567</v>
      </c>
      <c r="P202" t="s">
        <v>567</v>
      </c>
      <c r="Q202">
        <v>1</v>
      </c>
      <c r="W202">
        <v>0</v>
      </c>
      <c r="X202">
        <v>-915781824</v>
      </c>
      <c r="Y202">
        <v>6.86</v>
      </c>
      <c r="AA202">
        <v>1</v>
      </c>
      <c r="AB202">
        <v>0</v>
      </c>
      <c r="AC202">
        <v>0</v>
      </c>
      <c r="AD202">
        <v>0</v>
      </c>
      <c r="AE202">
        <v>1</v>
      </c>
      <c r="AF202">
        <v>0</v>
      </c>
      <c r="AG202">
        <v>0</v>
      </c>
      <c r="AH202">
        <v>0</v>
      </c>
      <c r="AI202">
        <v>1</v>
      </c>
      <c r="AJ202">
        <v>1</v>
      </c>
      <c r="AK202">
        <v>1</v>
      </c>
      <c r="AL202">
        <v>1</v>
      </c>
      <c r="AN202">
        <v>0</v>
      </c>
      <c r="AO202">
        <v>1</v>
      </c>
      <c r="AP202">
        <v>0</v>
      </c>
      <c r="AQ202">
        <v>0</v>
      </c>
      <c r="AR202">
        <v>0</v>
      </c>
      <c r="AS202" t="s">
        <v>3</v>
      </c>
      <c r="AT202">
        <v>6.86</v>
      </c>
      <c r="AU202" t="s">
        <v>3</v>
      </c>
      <c r="AV202">
        <v>0</v>
      </c>
      <c r="AW202">
        <v>2</v>
      </c>
      <c r="AX202">
        <v>36150435</v>
      </c>
      <c r="AY202">
        <v>1</v>
      </c>
      <c r="AZ202">
        <v>0</v>
      </c>
      <c r="BA202">
        <v>201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0</v>
      </c>
      <c r="BI202">
        <v>0</v>
      </c>
      <c r="BJ202">
        <v>0</v>
      </c>
      <c r="BK202">
        <v>0</v>
      </c>
      <c r="BL202">
        <v>0</v>
      </c>
      <c r="BM202">
        <v>0</v>
      </c>
      <c r="BN202">
        <v>0</v>
      </c>
      <c r="BO202">
        <v>0</v>
      </c>
      <c r="BP202">
        <v>0</v>
      </c>
      <c r="BQ202">
        <v>0</v>
      </c>
      <c r="BR202">
        <v>0</v>
      </c>
      <c r="BS202">
        <v>0</v>
      </c>
      <c r="BT202">
        <v>0</v>
      </c>
      <c r="BU202">
        <v>0</v>
      </c>
      <c r="BV202">
        <v>0</v>
      </c>
      <c r="BW202">
        <v>0</v>
      </c>
      <c r="CX202">
        <f>Y202*Source!I246</f>
        <v>0.27440000000000003</v>
      </c>
      <c r="CY202">
        <f t="shared" si="35"/>
        <v>1</v>
      </c>
      <c r="CZ202">
        <f t="shared" si="36"/>
        <v>1</v>
      </c>
      <c r="DA202">
        <f t="shared" si="37"/>
        <v>1</v>
      </c>
      <c r="DB202">
        <f t="shared" si="33"/>
        <v>6.86</v>
      </c>
      <c r="DC202">
        <f t="shared" si="34"/>
        <v>0</v>
      </c>
    </row>
    <row r="203" spans="1:107">
      <c r="A203">
        <f>ROW(Source!A248)</f>
        <v>248</v>
      </c>
      <c r="B203">
        <v>35841400</v>
      </c>
      <c r="C203">
        <v>35847517</v>
      </c>
      <c r="D203">
        <v>18410280</v>
      </c>
      <c r="E203">
        <v>1</v>
      </c>
      <c r="F203">
        <v>1</v>
      </c>
      <c r="G203">
        <v>1</v>
      </c>
      <c r="H203">
        <v>1</v>
      </c>
      <c r="I203" t="s">
        <v>576</v>
      </c>
      <c r="J203" t="s">
        <v>3</v>
      </c>
      <c r="K203" t="s">
        <v>577</v>
      </c>
      <c r="L203">
        <v>1369</v>
      </c>
      <c r="N203">
        <v>1013</v>
      </c>
      <c r="O203" t="s">
        <v>361</v>
      </c>
      <c r="P203" t="s">
        <v>361</v>
      </c>
      <c r="Q203">
        <v>1</v>
      </c>
      <c r="W203">
        <v>0</v>
      </c>
      <c r="X203">
        <v>-464685602</v>
      </c>
      <c r="Y203">
        <v>16.29</v>
      </c>
      <c r="AA203">
        <v>0</v>
      </c>
      <c r="AB203">
        <v>0</v>
      </c>
      <c r="AC203">
        <v>0</v>
      </c>
      <c r="AD203">
        <v>315.58999999999997</v>
      </c>
      <c r="AE203">
        <v>0</v>
      </c>
      <c r="AF203">
        <v>0</v>
      </c>
      <c r="AG203">
        <v>0</v>
      </c>
      <c r="AH203">
        <v>315.58999999999997</v>
      </c>
      <c r="AI203">
        <v>1</v>
      </c>
      <c r="AJ203">
        <v>1</v>
      </c>
      <c r="AK203">
        <v>1</v>
      </c>
      <c r="AL203">
        <v>1</v>
      </c>
      <c r="AN203">
        <v>0</v>
      </c>
      <c r="AO203">
        <v>1</v>
      </c>
      <c r="AP203">
        <v>0</v>
      </c>
      <c r="AQ203">
        <v>0</v>
      </c>
      <c r="AR203">
        <v>0</v>
      </c>
      <c r="AS203" t="s">
        <v>3</v>
      </c>
      <c r="AT203">
        <v>16.29</v>
      </c>
      <c r="AU203" t="s">
        <v>3</v>
      </c>
      <c r="AV203">
        <v>1</v>
      </c>
      <c r="AW203">
        <v>2</v>
      </c>
      <c r="AX203">
        <v>36150409</v>
      </c>
      <c r="AY203">
        <v>2</v>
      </c>
      <c r="AZ203">
        <v>131072</v>
      </c>
      <c r="BA203">
        <v>202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0</v>
      </c>
      <c r="BI203">
        <v>0</v>
      </c>
      <c r="BJ203">
        <v>0</v>
      </c>
      <c r="BK203">
        <v>0</v>
      </c>
      <c r="BL203">
        <v>0</v>
      </c>
      <c r="BM203">
        <v>0</v>
      </c>
      <c r="BN203">
        <v>0</v>
      </c>
      <c r="BO203">
        <v>0</v>
      </c>
      <c r="BP203">
        <v>0</v>
      </c>
      <c r="BQ203">
        <v>0</v>
      </c>
      <c r="BR203">
        <v>0</v>
      </c>
      <c r="BS203">
        <v>0</v>
      </c>
      <c r="BT203">
        <v>0</v>
      </c>
      <c r="BU203">
        <v>0</v>
      </c>
      <c r="BV203">
        <v>0</v>
      </c>
      <c r="BW203">
        <v>0</v>
      </c>
      <c r="CX203">
        <f>Y203*Source!I248</f>
        <v>1.6289999999999999E-2</v>
      </c>
      <c r="CY203">
        <f>AD203</f>
        <v>315.58999999999997</v>
      </c>
      <c r="CZ203">
        <f>AH203</f>
        <v>315.58999999999997</v>
      </c>
      <c r="DA203">
        <f>AL203</f>
        <v>1</v>
      </c>
      <c r="DB203">
        <f t="shared" si="33"/>
        <v>5140.96</v>
      </c>
      <c r="DC203">
        <f t="shared" si="34"/>
        <v>0</v>
      </c>
    </row>
    <row r="204" spans="1:107">
      <c r="A204">
        <f>ROW(Source!A248)</f>
        <v>248</v>
      </c>
      <c r="B204">
        <v>35841400</v>
      </c>
      <c r="C204">
        <v>35847517</v>
      </c>
      <c r="D204">
        <v>121548</v>
      </c>
      <c r="E204">
        <v>1</v>
      </c>
      <c r="F204">
        <v>1</v>
      </c>
      <c r="G204">
        <v>1</v>
      </c>
      <c r="H204">
        <v>1</v>
      </c>
      <c r="I204" t="s">
        <v>213</v>
      </c>
      <c r="J204" t="s">
        <v>3</v>
      </c>
      <c r="K204" t="s">
        <v>362</v>
      </c>
      <c r="L204">
        <v>608254</v>
      </c>
      <c r="N204">
        <v>1013</v>
      </c>
      <c r="O204" t="s">
        <v>363</v>
      </c>
      <c r="P204" t="s">
        <v>363</v>
      </c>
      <c r="Q204">
        <v>1</v>
      </c>
      <c r="W204">
        <v>0</v>
      </c>
      <c r="X204">
        <v>-185737400</v>
      </c>
      <c r="Y204">
        <v>0.01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1</v>
      </c>
      <c r="AJ204">
        <v>1</v>
      </c>
      <c r="AK204">
        <v>1</v>
      </c>
      <c r="AL204">
        <v>1</v>
      </c>
      <c r="AN204">
        <v>0</v>
      </c>
      <c r="AO204">
        <v>1</v>
      </c>
      <c r="AP204">
        <v>0</v>
      </c>
      <c r="AQ204">
        <v>0</v>
      </c>
      <c r="AR204">
        <v>0</v>
      </c>
      <c r="AS204" t="s">
        <v>3</v>
      </c>
      <c r="AT204">
        <v>0.01</v>
      </c>
      <c r="AU204" t="s">
        <v>3</v>
      </c>
      <c r="AV204">
        <v>2</v>
      </c>
      <c r="AW204">
        <v>2</v>
      </c>
      <c r="AX204">
        <v>36150410</v>
      </c>
      <c r="AY204">
        <v>1</v>
      </c>
      <c r="AZ204">
        <v>0</v>
      </c>
      <c r="BA204">
        <v>203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0</v>
      </c>
      <c r="BI204">
        <v>0</v>
      </c>
      <c r="BJ204">
        <v>0</v>
      </c>
      <c r="BK204">
        <v>0</v>
      </c>
      <c r="BL204">
        <v>0</v>
      </c>
      <c r="BM204">
        <v>0</v>
      </c>
      <c r="BN204">
        <v>0</v>
      </c>
      <c r="BO204">
        <v>0</v>
      </c>
      <c r="BP204">
        <v>0</v>
      </c>
      <c r="BQ204">
        <v>0</v>
      </c>
      <c r="BR204">
        <v>0</v>
      </c>
      <c r="BS204">
        <v>0</v>
      </c>
      <c r="BT204">
        <v>0</v>
      </c>
      <c r="BU204">
        <v>0</v>
      </c>
      <c r="BV204">
        <v>0</v>
      </c>
      <c r="BW204">
        <v>0</v>
      </c>
      <c r="CX204">
        <f>Y204*Source!I248</f>
        <v>1.0000000000000001E-5</v>
      </c>
      <c r="CY204">
        <f>AD204</f>
        <v>0</v>
      </c>
      <c r="CZ204">
        <f>AH204</f>
        <v>0</v>
      </c>
      <c r="DA204">
        <f>AL204</f>
        <v>1</v>
      </c>
      <c r="DB204">
        <f t="shared" si="33"/>
        <v>0</v>
      </c>
      <c r="DC204">
        <f t="shared" si="34"/>
        <v>0</v>
      </c>
    </row>
    <row r="205" spans="1:107">
      <c r="A205">
        <f>ROW(Source!A248)</f>
        <v>248</v>
      </c>
      <c r="B205">
        <v>35841400</v>
      </c>
      <c r="C205">
        <v>35847517</v>
      </c>
      <c r="D205">
        <v>29172556</v>
      </c>
      <c r="E205">
        <v>1</v>
      </c>
      <c r="F205">
        <v>1</v>
      </c>
      <c r="G205">
        <v>1</v>
      </c>
      <c r="H205">
        <v>2</v>
      </c>
      <c r="I205" t="s">
        <v>364</v>
      </c>
      <c r="J205" t="s">
        <v>372</v>
      </c>
      <c r="K205" t="s">
        <v>366</v>
      </c>
      <c r="L205">
        <v>1368</v>
      </c>
      <c r="N205">
        <v>1011</v>
      </c>
      <c r="O205" t="s">
        <v>367</v>
      </c>
      <c r="P205" t="s">
        <v>367</v>
      </c>
      <c r="Q205">
        <v>1</v>
      </c>
      <c r="W205">
        <v>0</v>
      </c>
      <c r="X205">
        <v>-1302720870</v>
      </c>
      <c r="Y205">
        <v>0.01</v>
      </c>
      <c r="AA205">
        <v>0</v>
      </c>
      <c r="AB205">
        <v>466.71</v>
      </c>
      <c r="AC205">
        <v>453.6</v>
      </c>
      <c r="AD205">
        <v>0</v>
      </c>
      <c r="AE205">
        <v>0</v>
      </c>
      <c r="AF205">
        <v>31.26</v>
      </c>
      <c r="AG205">
        <v>13.5</v>
      </c>
      <c r="AH205">
        <v>0</v>
      </c>
      <c r="AI205">
        <v>1</v>
      </c>
      <c r="AJ205">
        <v>14.93</v>
      </c>
      <c r="AK205">
        <v>33.6</v>
      </c>
      <c r="AL205">
        <v>1</v>
      </c>
      <c r="AN205">
        <v>0</v>
      </c>
      <c r="AO205">
        <v>1</v>
      </c>
      <c r="AP205">
        <v>0</v>
      </c>
      <c r="AQ205">
        <v>0</v>
      </c>
      <c r="AR205">
        <v>0</v>
      </c>
      <c r="AS205" t="s">
        <v>3</v>
      </c>
      <c r="AT205">
        <v>0.01</v>
      </c>
      <c r="AU205" t="s">
        <v>3</v>
      </c>
      <c r="AV205">
        <v>0</v>
      </c>
      <c r="AW205">
        <v>2</v>
      </c>
      <c r="AX205">
        <v>36150411</v>
      </c>
      <c r="AY205">
        <v>1</v>
      </c>
      <c r="AZ205">
        <v>0</v>
      </c>
      <c r="BA205">
        <v>204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0</v>
      </c>
      <c r="BI205">
        <v>0</v>
      </c>
      <c r="BJ205">
        <v>0</v>
      </c>
      <c r="BK205">
        <v>0</v>
      </c>
      <c r="BL205">
        <v>0</v>
      </c>
      <c r="BM205">
        <v>0</v>
      </c>
      <c r="BN205">
        <v>0</v>
      </c>
      <c r="BO205">
        <v>0</v>
      </c>
      <c r="BP205">
        <v>0</v>
      </c>
      <c r="BQ205">
        <v>0</v>
      </c>
      <c r="BR205">
        <v>0</v>
      </c>
      <c r="BS205">
        <v>0</v>
      </c>
      <c r="BT205">
        <v>0</v>
      </c>
      <c r="BU205">
        <v>0</v>
      </c>
      <c r="BV205">
        <v>0</v>
      </c>
      <c r="BW205">
        <v>0</v>
      </c>
      <c r="CX205">
        <f>Y205*Source!I248</f>
        <v>1.0000000000000001E-5</v>
      </c>
      <c r="CY205">
        <f>AB205</f>
        <v>466.71</v>
      </c>
      <c r="CZ205">
        <f>AF205</f>
        <v>31.26</v>
      </c>
      <c r="DA205">
        <f>AJ205</f>
        <v>14.93</v>
      </c>
      <c r="DB205">
        <f t="shared" si="33"/>
        <v>0.31</v>
      </c>
      <c r="DC205">
        <f t="shared" si="34"/>
        <v>0.14000000000000001</v>
      </c>
    </row>
    <row r="206" spans="1:107">
      <c r="A206">
        <f>ROW(Source!A248)</f>
        <v>248</v>
      </c>
      <c r="B206">
        <v>35841400</v>
      </c>
      <c r="C206">
        <v>35847517</v>
      </c>
      <c r="D206">
        <v>29173472</v>
      </c>
      <c r="E206">
        <v>1</v>
      </c>
      <c r="F206">
        <v>1</v>
      </c>
      <c r="G206">
        <v>1</v>
      </c>
      <c r="H206">
        <v>2</v>
      </c>
      <c r="I206" t="s">
        <v>396</v>
      </c>
      <c r="J206" t="s">
        <v>500</v>
      </c>
      <c r="K206" t="s">
        <v>398</v>
      </c>
      <c r="L206">
        <v>1368</v>
      </c>
      <c r="N206">
        <v>1011</v>
      </c>
      <c r="O206" t="s">
        <v>367</v>
      </c>
      <c r="P206" t="s">
        <v>367</v>
      </c>
      <c r="Q206">
        <v>1</v>
      </c>
      <c r="W206">
        <v>0</v>
      </c>
      <c r="X206">
        <v>275932499</v>
      </c>
      <c r="Y206">
        <v>6.08</v>
      </c>
      <c r="AA206">
        <v>0</v>
      </c>
      <c r="AB206">
        <v>12.75</v>
      </c>
      <c r="AC206">
        <v>0</v>
      </c>
      <c r="AD206">
        <v>0</v>
      </c>
      <c r="AE206">
        <v>0</v>
      </c>
      <c r="AF206">
        <v>3</v>
      </c>
      <c r="AG206">
        <v>0</v>
      </c>
      <c r="AH206">
        <v>0</v>
      </c>
      <c r="AI206">
        <v>1</v>
      </c>
      <c r="AJ206">
        <v>4.25</v>
      </c>
      <c r="AK206">
        <v>33.6</v>
      </c>
      <c r="AL206">
        <v>1</v>
      </c>
      <c r="AN206">
        <v>0</v>
      </c>
      <c r="AO206">
        <v>1</v>
      </c>
      <c r="AP206">
        <v>0</v>
      </c>
      <c r="AQ206">
        <v>0</v>
      </c>
      <c r="AR206">
        <v>0</v>
      </c>
      <c r="AS206" t="s">
        <v>3</v>
      </c>
      <c r="AT206">
        <v>6.08</v>
      </c>
      <c r="AU206" t="s">
        <v>3</v>
      </c>
      <c r="AV206">
        <v>0</v>
      </c>
      <c r="AW206">
        <v>2</v>
      </c>
      <c r="AX206">
        <v>36150412</v>
      </c>
      <c r="AY206">
        <v>1</v>
      </c>
      <c r="AZ206">
        <v>0</v>
      </c>
      <c r="BA206">
        <v>205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0</v>
      </c>
      <c r="BI206">
        <v>0</v>
      </c>
      <c r="BJ206">
        <v>0</v>
      </c>
      <c r="BK206">
        <v>0</v>
      </c>
      <c r="BL206">
        <v>0</v>
      </c>
      <c r="BM206">
        <v>0</v>
      </c>
      <c r="BN206">
        <v>0</v>
      </c>
      <c r="BO206">
        <v>0</v>
      </c>
      <c r="BP206">
        <v>0</v>
      </c>
      <c r="BQ206">
        <v>0</v>
      </c>
      <c r="BR206">
        <v>0</v>
      </c>
      <c r="BS206">
        <v>0</v>
      </c>
      <c r="BT206">
        <v>0</v>
      </c>
      <c r="BU206">
        <v>0</v>
      </c>
      <c r="BV206">
        <v>0</v>
      </c>
      <c r="BW206">
        <v>0</v>
      </c>
      <c r="CX206">
        <f>Y206*Source!I248</f>
        <v>6.0800000000000003E-3</v>
      </c>
      <c r="CY206">
        <f>AB206</f>
        <v>12.75</v>
      </c>
      <c r="CZ206">
        <f>AF206</f>
        <v>3</v>
      </c>
      <c r="DA206">
        <f>AJ206</f>
        <v>4.25</v>
      </c>
      <c r="DB206">
        <f t="shared" si="33"/>
        <v>18.239999999999998</v>
      </c>
      <c r="DC206">
        <f t="shared" si="34"/>
        <v>0</v>
      </c>
    </row>
    <row r="207" spans="1:107">
      <c r="A207">
        <f>ROW(Source!A248)</f>
        <v>248</v>
      </c>
      <c r="B207">
        <v>35841400</v>
      </c>
      <c r="C207">
        <v>35847517</v>
      </c>
      <c r="D207">
        <v>29174580</v>
      </c>
      <c r="E207">
        <v>1</v>
      </c>
      <c r="F207">
        <v>1</v>
      </c>
      <c r="G207">
        <v>1</v>
      </c>
      <c r="H207">
        <v>2</v>
      </c>
      <c r="I207" t="s">
        <v>402</v>
      </c>
      <c r="J207" t="s">
        <v>578</v>
      </c>
      <c r="K207" t="s">
        <v>404</v>
      </c>
      <c r="L207">
        <v>1368</v>
      </c>
      <c r="N207">
        <v>1011</v>
      </c>
      <c r="O207" t="s">
        <v>367</v>
      </c>
      <c r="P207" t="s">
        <v>367</v>
      </c>
      <c r="Q207">
        <v>1</v>
      </c>
      <c r="W207">
        <v>0</v>
      </c>
      <c r="X207">
        <v>-169468834</v>
      </c>
      <c r="Y207">
        <v>6.08</v>
      </c>
      <c r="AA207">
        <v>0</v>
      </c>
      <c r="AB207">
        <v>31.87</v>
      </c>
      <c r="AC207">
        <v>0</v>
      </c>
      <c r="AD207">
        <v>0</v>
      </c>
      <c r="AE207">
        <v>0</v>
      </c>
      <c r="AF207">
        <v>2.08</v>
      </c>
      <c r="AG207">
        <v>0</v>
      </c>
      <c r="AH207">
        <v>0</v>
      </c>
      <c r="AI207">
        <v>1</v>
      </c>
      <c r="AJ207">
        <v>15.32</v>
      </c>
      <c r="AK207">
        <v>33.6</v>
      </c>
      <c r="AL207">
        <v>1</v>
      </c>
      <c r="AN207">
        <v>0</v>
      </c>
      <c r="AO207">
        <v>1</v>
      </c>
      <c r="AP207">
        <v>0</v>
      </c>
      <c r="AQ207">
        <v>0</v>
      </c>
      <c r="AR207">
        <v>0</v>
      </c>
      <c r="AS207" t="s">
        <v>3</v>
      </c>
      <c r="AT207">
        <v>6.08</v>
      </c>
      <c r="AU207" t="s">
        <v>3</v>
      </c>
      <c r="AV207">
        <v>0</v>
      </c>
      <c r="AW207">
        <v>2</v>
      </c>
      <c r="AX207">
        <v>36150413</v>
      </c>
      <c r="AY207">
        <v>1</v>
      </c>
      <c r="AZ207">
        <v>0</v>
      </c>
      <c r="BA207">
        <v>206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0</v>
      </c>
      <c r="BI207">
        <v>0</v>
      </c>
      <c r="BJ207">
        <v>0</v>
      </c>
      <c r="BK207">
        <v>0</v>
      </c>
      <c r="BL207">
        <v>0</v>
      </c>
      <c r="BM207">
        <v>0</v>
      </c>
      <c r="BN207">
        <v>0</v>
      </c>
      <c r="BO207">
        <v>0</v>
      </c>
      <c r="BP207">
        <v>0</v>
      </c>
      <c r="BQ207">
        <v>0</v>
      </c>
      <c r="BR207">
        <v>0</v>
      </c>
      <c r="BS207">
        <v>0</v>
      </c>
      <c r="BT207">
        <v>0</v>
      </c>
      <c r="BU207">
        <v>0</v>
      </c>
      <c r="BV207">
        <v>0</v>
      </c>
      <c r="BW207">
        <v>0</v>
      </c>
      <c r="CX207">
        <f>Y207*Source!I248</f>
        <v>6.0800000000000003E-3</v>
      </c>
      <c r="CY207">
        <f>AB207</f>
        <v>31.87</v>
      </c>
      <c r="CZ207">
        <f>AF207</f>
        <v>2.08</v>
      </c>
      <c r="DA207">
        <f>AJ207</f>
        <v>15.32</v>
      </c>
      <c r="DB207">
        <f t="shared" si="33"/>
        <v>12.65</v>
      </c>
      <c r="DC207">
        <f t="shared" si="34"/>
        <v>0</v>
      </c>
    </row>
    <row r="208" spans="1:107">
      <c r="A208">
        <f>ROW(Source!A248)</f>
        <v>248</v>
      </c>
      <c r="B208">
        <v>35841400</v>
      </c>
      <c r="C208">
        <v>35847517</v>
      </c>
      <c r="D208">
        <v>29114688</v>
      </c>
      <c r="E208">
        <v>1</v>
      </c>
      <c r="F208">
        <v>1</v>
      </c>
      <c r="G208">
        <v>1</v>
      </c>
      <c r="H208">
        <v>3</v>
      </c>
      <c r="I208" t="s">
        <v>558</v>
      </c>
      <c r="J208" t="s">
        <v>571</v>
      </c>
      <c r="K208" t="s">
        <v>560</v>
      </c>
      <c r="L208">
        <v>1348</v>
      </c>
      <c r="N208">
        <v>1009</v>
      </c>
      <c r="O208" t="s">
        <v>41</v>
      </c>
      <c r="P208" t="s">
        <v>41</v>
      </c>
      <c r="Q208">
        <v>1000</v>
      </c>
      <c r="W208">
        <v>0</v>
      </c>
      <c r="X208">
        <v>1008226964</v>
      </c>
      <c r="Y208">
        <v>1E-3</v>
      </c>
      <c r="AA208">
        <v>98197</v>
      </c>
      <c r="AB208">
        <v>0</v>
      </c>
      <c r="AC208">
        <v>0</v>
      </c>
      <c r="AD208">
        <v>0</v>
      </c>
      <c r="AE208">
        <v>12430</v>
      </c>
      <c r="AF208">
        <v>0</v>
      </c>
      <c r="AG208">
        <v>0</v>
      </c>
      <c r="AH208">
        <v>0</v>
      </c>
      <c r="AI208">
        <v>7.9</v>
      </c>
      <c r="AJ208">
        <v>1</v>
      </c>
      <c r="AK208">
        <v>1</v>
      </c>
      <c r="AL208">
        <v>1</v>
      </c>
      <c r="AN208">
        <v>0</v>
      </c>
      <c r="AO208">
        <v>1</v>
      </c>
      <c r="AP208">
        <v>0</v>
      </c>
      <c r="AQ208">
        <v>0</v>
      </c>
      <c r="AR208">
        <v>0</v>
      </c>
      <c r="AS208" t="s">
        <v>3</v>
      </c>
      <c r="AT208">
        <v>1E-3</v>
      </c>
      <c r="AU208" t="s">
        <v>3</v>
      </c>
      <c r="AV208">
        <v>0</v>
      </c>
      <c r="AW208">
        <v>2</v>
      </c>
      <c r="AX208">
        <v>36150414</v>
      </c>
      <c r="AY208">
        <v>1</v>
      </c>
      <c r="AZ208">
        <v>0</v>
      </c>
      <c r="BA208">
        <v>207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0</v>
      </c>
      <c r="BI208">
        <v>0</v>
      </c>
      <c r="BJ208">
        <v>0</v>
      </c>
      <c r="BK208">
        <v>0</v>
      </c>
      <c r="BL208">
        <v>0</v>
      </c>
      <c r="BM208">
        <v>0</v>
      </c>
      <c r="BN208">
        <v>0</v>
      </c>
      <c r="BO208">
        <v>0</v>
      </c>
      <c r="BP208">
        <v>0</v>
      </c>
      <c r="BQ208">
        <v>0</v>
      </c>
      <c r="BR208">
        <v>0</v>
      </c>
      <c r="BS208">
        <v>0</v>
      </c>
      <c r="BT208">
        <v>0</v>
      </c>
      <c r="BU208">
        <v>0</v>
      </c>
      <c r="BV208">
        <v>0</v>
      </c>
      <c r="BW208">
        <v>0</v>
      </c>
      <c r="CX208">
        <f>Y208*Source!I248</f>
        <v>9.9999999999999995E-7</v>
      </c>
      <c r="CY208">
        <f>AA208</f>
        <v>98197</v>
      </c>
      <c r="CZ208">
        <f>AE208</f>
        <v>12430</v>
      </c>
      <c r="DA208">
        <f>AI208</f>
        <v>7.9</v>
      </c>
      <c r="DB208">
        <f t="shared" si="33"/>
        <v>12.43</v>
      </c>
      <c r="DC208">
        <f t="shared" si="34"/>
        <v>0</v>
      </c>
    </row>
    <row r="209" spans="1:107">
      <c r="A209">
        <f>ROW(Source!A248)</f>
        <v>248</v>
      </c>
      <c r="B209">
        <v>35841400</v>
      </c>
      <c r="C209">
        <v>35847517</v>
      </c>
      <c r="D209">
        <v>29114472</v>
      </c>
      <c r="E209">
        <v>1</v>
      </c>
      <c r="F209">
        <v>1</v>
      </c>
      <c r="G209">
        <v>1</v>
      </c>
      <c r="H209">
        <v>3</v>
      </c>
      <c r="I209" t="s">
        <v>579</v>
      </c>
      <c r="J209" t="s">
        <v>580</v>
      </c>
      <c r="K209" t="s">
        <v>581</v>
      </c>
      <c r="L209">
        <v>1358</v>
      </c>
      <c r="N209">
        <v>1010</v>
      </c>
      <c r="O209" t="s">
        <v>264</v>
      </c>
      <c r="P209" t="s">
        <v>264</v>
      </c>
      <c r="Q209">
        <v>10</v>
      </c>
      <c r="W209">
        <v>0</v>
      </c>
      <c r="X209">
        <v>2117263208</v>
      </c>
      <c r="Y209">
        <v>20</v>
      </c>
      <c r="AA209">
        <v>1.84</v>
      </c>
      <c r="AB209">
        <v>0</v>
      </c>
      <c r="AC209">
        <v>0</v>
      </c>
      <c r="AD209">
        <v>0</v>
      </c>
      <c r="AE209">
        <v>1.79</v>
      </c>
      <c r="AF209">
        <v>0</v>
      </c>
      <c r="AG209">
        <v>0</v>
      </c>
      <c r="AH209">
        <v>0</v>
      </c>
      <c r="AI209">
        <v>1.03</v>
      </c>
      <c r="AJ209">
        <v>1</v>
      </c>
      <c r="AK209">
        <v>1</v>
      </c>
      <c r="AL209">
        <v>1</v>
      </c>
      <c r="AN209">
        <v>0</v>
      </c>
      <c r="AO209">
        <v>1</v>
      </c>
      <c r="AP209">
        <v>0</v>
      </c>
      <c r="AQ209">
        <v>0</v>
      </c>
      <c r="AR209">
        <v>0</v>
      </c>
      <c r="AS209" t="s">
        <v>3</v>
      </c>
      <c r="AT209">
        <v>20</v>
      </c>
      <c r="AU209" t="s">
        <v>3</v>
      </c>
      <c r="AV209">
        <v>0</v>
      </c>
      <c r="AW209">
        <v>2</v>
      </c>
      <c r="AX209">
        <v>36150415</v>
      </c>
      <c r="AY209">
        <v>1</v>
      </c>
      <c r="AZ209">
        <v>0</v>
      </c>
      <c r="BA209">
        <v>208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0</v>
      </c>
      <c r="BI209">
        <v>0</v>
      </c>
      <c r="BJ209">
        <v>0</v>
      </c>
      <c r="BK209">
        <v>0</v>
      </c>
      <c r="BL209">
        <v>0</v>
      </c>
      <c r="BM209">
        <v>0</v>
      </c>
      <c r="BN209">
        <v>0</v>
      </c>
      <c r="BO209">
        <v>0</v>
      </c>
      <c r="BP209">
        <v>0</v>
      </c>
      <c r="BQ209">
        <v>0</v>
      </c>
      <c r="BR209">
        <v>0</v>
      </c>
      <c r="BS209">
        <v>0</v>
      </c>
      <c r="BT209">
        <v>0</v>
      </c>
      <c r="BU209">
        <v>0</v>
      </c>
      <c r="BV209">
        <v>0</v>
      </c>
      <c r="BW209">
        <v>0</v>
      </c>
      <c r="CX209">
        <f>Y209*Source!I248</f>
        <v>0.02</v>
      </c>
      <c r="CY209">
        <f>AA209</f>
        <v>1.84</v>
      </c>
      <c r="CZ209">
        <f>AE209</f>
        <v>1.79</v>
      </c>
      <c r="DA209">
        <f>AI209</f>
        <v>1.03</v>
      </c>
      <c r="DB209">
        <f t="shared" si="33"/>
        <v>35.799999999999997</v>
      </c>
      <c r="DC209">
        <f t="shared" si="34"/>
        <v>0</v>
      </c>
    </row>
    <row r="210" spans="1:107">
      <c r="A210">
        <f>ROW(Source!A248)</f>
        <v>248</v>
      </c>
      <c r="B210">
        <v>35841400</v>
      </c>
      <c r="C210">
        <v>35847517</v>
      </c>
      <c r="D210">
        <v>29170774</v>
      </c>
      <c r="E210">
        <v>1</v>
      </c>
      <c r="F210">
        <v>1</v>
      </c>
      <c r="G210">
        <v>1</v>
      </c>
      <c r="H210">
        <v>3</v>
      </c>
      <c r="I210" t="s">
        <v>276</v>
      </c>
      <c r="J210" t="s">
        <v>278</v>
      </c>
      <c r="K210" t="s">
        <v>277</v>
      </c>
      <c r="L210">
        <v>1308</v>
      </c>
      <c r="N210">
        <v>1003</v>
      </c>
      <c r="O210" t="s">
        <v>242</v>
      </c>
      <c r="P210" t="s">
        <v>242</v>
      </c>
      <c r="Q210">
        <v>100</v>
      </c>
      <c r="W210">
        <v>0</v>
      </c>
      <c r="X210">
        <v>-1721556227</v>
      </c>
      <c r="Y210">
        <v>1</v>
      </c>
      <c r="AA210">
        <v>1614.14</v>
      </c>
      <c r="AB210">
        <v>0</v>
      </c>
      <c r="AC210">
        <v>0</v>
      </c>
      <c r="AD210">
        <v>0</v>
      </c>
      <c r="AE210">
        <v>121</v>
      </c>
      <c r="AF210">
        <v>0</v>
      </c>
      <c r="AG210">
        <v>0</v>
      </c>
      <c r="AH210">
        <v>0</v>
      </c>
      <c r="AI210">
        <v>13.34</v>
      </c>
      <c r="AJ210">
        <v>1</v>
      </c>
      <c r="AK210">
        <v>1</v>
      </c>
      <c r="AL210">
        <v>1</v>
      </c>
      <c r="AN210">
        <v>0</v>
      </c>
      <c r="AO210">
        <v>0</v>
      </c>
      <c r="AP210">
        <v>0</v>
      </c>
      <c r="AQ210">
        <v>0</v>
      </c>
      <c r="AR210">
        <v>0</v>
      </c>
      <c r="AS210" t="s">
        <v>3</v>
      </c>
      <c r="AT210">
        <v>1</v>
      </c>
      <c r="AU210" t="s">
        <v>3</v>
      </c>
      <c r="AV210">
        <v>0</v>
      </c>
      <c r="AW210">
        <v>1</v>
      </c>
      <c r="AX210">
        <v>-1</v>
      </c>
      <c r="AY210">
        <v>0</v>
      </c>
      <c r="AZ210">
        <v>0</v>
      </c>
      <c r="BA210" t="s">
        <v>3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0</v>
      </c>
      <c r="BI210">
        <v>0</v>
      </c>
      <c r="BJ210">
        <v>0</v>
      </c>
      <c r="BK210">
        <v>0</v>
      </c>
      <c r="BL210">
        <v>0</v>
      </c>
      <c r="BM210">
        <v>0</v>
      </c>
      <c r="BN210">
        <v>0</v>
      </c>
      <c r="BO210">
        <v>0</v>
      </c>
      <c r="BP210">
        <v>0</v>
      </c>
      <c r="BQ210">
        <v>0</v>
      </c>
      <c r="BR210">
        <v>0</v>
      </c>
      <c r="BS210">
        <v>0</v>
      </c>
      <c r="BT210">
        <v>0</v>
      </c>
      <c r="BU210">
        <v>0</v>
      </c>
      <c r="BV210">
        <v>0</v>
      </c>
      <c r="BW210">
        <v>0</v>
      </c>
      <c r="CX210">
        <f>Y210*Source!I248</f>
        <v>1E-3</v>
      </c>
      <c r="CY210">
        <f>AA210</f>
        <v>1614.14</v>
      </c>
      <c r="CZ210">
        <f>AE210</f>
        <v>121</v>
      </c>
      <c r="DA210">
        <f>AI210</f>
        <v>13.34</v>
      </c>
      <c r="DB210">
        <f t="shared" si="33"/>
        <v>121</v>
      </c>
      <c r="DC210">
        <f t="shared" si="34"/>
        <v>0</v>
      </c>
    </row>
    <row r="211" spans="1:107">
      <c r="A211">
        <f>ROW(Source!A248)</f>
        <v>248</v>
      </c>
      <c r="B211">
        <v>35841400</v>
      </c>
      <c r="C211">
        <v>35847517</v>
      </c>
      <c r="D211">
        <v>29171808</v>
      </c>
      <c r="E211">
        <v>1</v>
      </c>
      <c r="F211">
        <v>1</v>
      </c>
      <c r="G211">
        <v>1</v>
      </c>
      <c r="H211">
        <v>3</v>
      </c>
      <c r="I211" t="s">
        <v>564</v>
      </c>
      <c r="J211" t="s">
        <v>565</v>
      </c>
      <c r="K211" t="s">
        <v>566</v>
      </c>
      <c r="L211">
        <v>1374</v>
      </c>
      <c r="N211">
        <v>1013</v>
      </c>
      <c r="O211" t="s">
        <v>567</v>
      </c>
      <c r="P211" t="s">
        <v>567</v>
      </c>
      <c r="Q211">
        <v>1</v>
      </c>
      <c r="W211">
        <v>0</v>
      </c>
      <c r="X211">
        <v>-915781824</v>
      </c>
      <c r="Y211">
        <v>3.1</v>
      </c>
      <c r="AA211">
        <v>1</v>
      </c>
      <c r="AB211">
        <v>0</v>
      </c>
      <c r="AC211">
        <v>0</v>
      </c>
      <c r="AD211">
        <v>0</v>
      </c>
      <c r="AE211">
        <v>1</v>
      </c>
      <c r="AF211">
        <v>0</v>
      </c>
      <c r="AG211">
        <v>0</v>
      </c>
      <c r="AH211">
        <v>0</v>
      </c>
      <c r="AI211">
        <v>1</v>
      </c>
      <c r="AJ211">
        <v>1</v>
      </c>
      <c r="AK211">
        <v>1</v>
      </c>
      <c r="AL211">
        <v>1</v>
      </c>
      <c r="AN211">
        <v>0</v>
      </c>
      <c r="AO211">
        <v>1</v>
      </c>
      <c r="AP211">
        <v>0</v>
      </c>
      <c r="AQ211">
        <v>0</v>
      </c>
      <c r="AR211">
        <v>0</v>
      </c>
      <c r="AS211" t="s">
        <v>3</v>
      </c>
      <c r="AT211">
        <v>3.1</v>
      </c>
      <c r="AU211" t="s">
        <v>3</v>
      </c>
      <c r="AV211">
        <v>0</v>
      </c>
      <c r="AW211">
        <v>2</v>
      </c>
      <c r="AX211">
        <v>36150416</v>
      </c>
      <c r="AY211">
        <v>1</v>
      </c>
      <c r="AZ211">
        <v>0</v>
      </c>
      <c r="BA211">
        <v>209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0</v>
      </c>
      <c r="BI211">
        <v>0</v>
      </c>
      <c r="BJ211">
        <v>0</v>
      </c>
      <c r="BK211">
        <v>0</v>
      </c>
      <c r="BL211">
        <v>0</v>
      </c>
      <c r="BM211">
        <v>0</v>
      </c>
      <c r="BN211">
        <v>0</v>
      </c>
      <c r="BO211">
        <v>0</v>
      </c>
      <c r="BP211">
        <v>0</v>
      </c>
      <c r="BQ211">
        <v>0</v>
      </c>
      <c r="BR211">
        <v>0</v>
      </c>
      <c r="BS211">
        <v>0</v>
      </c>
      <c r="BT211">
        <v>0</v>
      </c>
      <c r="BU211">
        <v>0</v>
      </c>
      <c r="BV211">
        <v>0</v>
      </c>
      <c r="BW211">
        <v>0</v>
      </c>
      <c r="CX211">
        <f>Y211*Source!I248</f>
        <v>3.1000000000000003E-3</v>
      </c>
      <c r="CY211">
        <f>AA211</f>
        <v>1</v>
      </c>
      <c r="CZ211">
        <f>AE211</f>
        <v>1</v>
      </c>
      <c r="DA211">
        <f>AI211</f>
        <v>1</v>
      </c>
      <c r="DB211">
        <f t="shared" si="33"/>
        <v>3.1</v>
      </c>
      <c r="DC211">
        <f t="shared" si="34"/>
        <v>0</v>
      </c>
    </row>
    <row r="212" spans="1:107">
      <c r="A212">
        <f>ROW(Source!A250)</f>
        <v>250</v>
      </c>
      <c r="B212">
        <v>35841400</v>
      </c>
      <c r="C212">
        <v>35847526</v>
      </c>
      <c r="D212">
        <v>29361034</v>
      </c>
      <c r="E212">
        <v>1</v>
      </c>
      <c r="F212">
        <v>1</v>
      </c>
      <c r="G212">
        <v>1</v>
      </c>
      <c r="H212">
        <v>1</v>
      </c>
      <c r="I212" t="s">
        <v>582</v>
      </c>
      <c r="J212" t="s">
        <v>3</v>
      </c>
      <c r="K212" t="s">
        <v>583</v>
      </c>
      <c r="L212">
        <v>1369</v>
      </c>
      <c r="N212">
        <v>1013</v>
      </c>
      <c r="O212" t="s">
        <v>361</v>
      </c>
      <c r="P212" t="s">
        <v>361</v>
      </c>
      <c r="Q212">
        <v>1</v>
      </c>
      <c r="W212">
        <v>0</v>
      </c>
      <c r="X212">
        <v>184923391</v>
      </c>
      <c r="Y212">
        <v>2.82</v>
      </c>
      <c r="AA212">
        <v>0</v>
      </c>
      <c r="AB212">
        <v>0</v>
      </c>
      <c r="AC212">
        <v>0</v>
      </c>
      <c r="AD212">
        <v>311.94</v>
      </c>
      <c r="AE212">
        <v>0</v>
      </c>
      <c r="AF212">
        <v>0</v>
      </c>
      <c r="AG212">
        <v>0</v>
      </c>
      <c r="AH212">
        <v>311.94</v>
      </c>
      <c r="AI212">
        <v>1</v>
      </c>
      <c r="AJ212">
        <v>1</v>
      </c>
      <c r="AK212">
        <v>1</v>
      </c>
      <c r="AL212">
        <v>1</v>
      </c>
      <c r="AN212">
        <v>0</v>
      </c>
      <c r="AO212">
        <v>1</v>
      </c>
      <c r="AP212">
        <v>1</v>
      </c>
      <c r="AQ212">
        <v>0</v>
      </c>
      <c r="AR212">
        <v>0</v>
      </c>
      <c r="AS212" t="s">
        <v>3</v>
      </c>
      <c r="AT212">
        <v>2.82</v>
      </c>
      <c r="AU212" t="s">
        <v>3</v>
      </c>
      <c r="AV212">
        <v>1</v>
      </c>
      <c r="AW212">
        <v>2</v>
      </c>
      <c r="AX212">
        <v>36517866</v>
      </c>
      <c r="AY212">
        <v>1</v>
      </c>
      <c r="AZ212">
        <v>0</v>
      </c>
      <c r="BA212">
        <v>210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0</v>
      </c>
      <c r="BI212">
        <v>0</v>
      </c>
      <c r="BJ212">
        <v>0</v>
      </c>
      <c r="BK212">
        <v>0</v>
      </c>
      <c r="BL212">
        <v>0</v>
      </c>
      <c r="BM212">
        <v>0</v>
      </c>
      <c r="BN212">
        <v>0</v>
      </c>
      <c r="BO212">
        <v>0</v>
      </c>
      <c r="BP212">
        <v>0</v>
      </c>
      <c r="BQ212">
        <v>0</v>
      </c>
      <c r="BR212">
        <v>0</v>
      </c>
      <c r="BS212">
        <v>0</v>
      </c>
      <c r="BT212">
        <v>0</v>
      </c>
      <c r="BU212">
        <v>0</v>
      </c>
      <c r="BV212">
        <v>0</v>
      </c>
      <c r="BW212">
        <v>0</v>
      </c>
      <c r="CX212">
        <f>Y212*Source!I250</f>
        <v>2.82</v>
      </c>
      <c r="CY212">
        <f>AD212</f>
        <v>311.94</v>
      </c>
      <c r="CZ212">
        <f>AH212</f>
        <v>311.94</v>
      </c>
      <c r="DA212">
        <f>AL212</f>
        <v>1</v>
      </c>
      <c r="DB212">
        <f t="shared" si="33"/>
        <v>879.67</v>
      </c>
      <c r="DC212">
        <f t="shared" si="34"/>
        <v>0</v>
      </c>
    </row>
    <row r="213" spans="1:107">
      <c r="A213">
        <f>ROW(Source!A250)</f>
        <v>250</v>
      </c>
      <c r="B213">
        <v>35841400</v>
      </c>
      <c r="C213">
        <v>35847526</v>
      </c>
      <c r="D213">
        <v>121548</v>
      </c>
      <c r="E213">
        <v>1</v>
      </c>
      <c r="F213">
        <v>1</v>
      </c>
      <c r="G213">
        <v>1</v>
      </c>
      <c r="H213">
        <v>1</v>
      </c>
      <c r="I213" t="s">
        <v>213</v>
      </c>
      <c r="J213" t="s">
        <v>3</v>
      </c>
      <c r="K213" t="s">
        <v>362</v>
      </c>
      <c r="L213">
        <v>608254</v>
      </c>
      <c r="N213">
        <v>1013</v>
      </c>
      <c r="O213" t="s">
        <v>363</v>
      </c>
      <c r="P213" t="s">
        <v>363</v>
      </c>
      <c r="Q213">
        <v>1</v>
      </c>
      <c r="W213">
        <v>0</v>
      </c>
      <c r="X213">
        <v>-185737400</v>
      </c>
      <c r="Y213">
        <v>0.01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1</v>
      </c>
      <c r="AJ213">
        <v>1</v>
      </c>
      <c r="AK213">
        <v>1</v>
      </c>
      <c r="AL213">
        <v>1</v>
      </c>
      <c r="AN213">
        <v>0</v>
      </c>
      <c r="AO213">
        <v>1</v>
      </c>
      <c r="AP213">
        <v>0</v>
      </c>
      <c r="AQ213">
        <v>0</v>
      </c>
      <c r="AR213">
        <v>0</v>
      </c>
      <c r="AS213" t="s">
        <v>3</v>
      </c>
      <c r="AT213">
        <v>0.01</v>
      </c>
      <c r="AU213" t="s">
        <v>3</v>
      </c>
      <c r="AV213">
        <v>2</v>
      </c>
      <c r="AW213">
        <v>2</v>
      </c>
      <c r="AX213">
        <v>36517867</v>
      </c>
      <c r="AY213">
        <v>1</v>
      </c>
      <c r="AZ213">
        <v>0</v>
      </c>
      <c r="BA213">
        <v>211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0</v>
      </c>
      <c r="BI213">
        <v>0</v>
      </c>
      <c r="BJ213">
        <v>0</v>
      </c>
      <c r="BK213">
        <v>0</v>
      </c>
      <c r="BL213">
        <v>0</v>
      </c>
      <c r="BM213">
        <v>0</v>
      </c>
      <c r="BN213">
        <v>0</v>
      </c>
      <c r="BO213">
        <v>0</v>
      </c>
      <c r="BP213">
        <v>0</v>
      </c>
      <c r="BQ213">
        <v>0</v>
      </c>
      <c r="BR213">
        <v>0</v>
      </c>
      <c r="BS213">
        <v>0</v>
      </c>
      <c r="BT213">
        <v>0</v>
      </c>
      <c r="BU213">
        <v>0</v>
      </c>
      <c r="BV213">
        <v>0</v>
      </c>
      <c r="BW213">
        <v>0</v>
      </c>
      <c r="CX213">
        <f>Y213*Source!I250</f>
        <v>0.01</v>
      </c>
      <c r="CY213">
        <f>AD213</f>
        <v>0</v>
      </c>
      <c r="CZ213">
        <f>AH213</f>
        <v>0</v>
      </c>
      <c r="DA213">
        <f>AL213</f>
        <v>1</v>
      </c>
      <c r="DB213">
        <f t="shared" si="33"/>
        <v>0</v>
      </c>
      <c r="DC213">
        <f t="shared" si="34"/>
        <v>0</v>
      </c>
    </row>
    <row r="214" spans="1:107">
      <c r="A214">
        <f>ROW(Source!A250)</f>
        <v>250</v>
      </c>
      <c r="B214">
        <v>35841400</v>
      </c>
      <c r="C214">
        <v>35847526</v>
      </c>
      <c r="D214">
        <v>29172362</v>
      </c>
      <c r="E214">
        <v>1</v>
      </c>
      <c r="F214">
        <v>1</v>
      </c>
      <c r="G214">
        <v>1</v>
      </c>
      <c r="H214">
        <v>2</v>
      </c>
      <c r="I214" t="s">
        <v>549</v>
      </c>
      <c r="J214" t="s">
        <v>550</v>
      </c>
      <c r="K214" t="s">
        <v>551</v>
      </c>
      <c r="L214">
        <v>1368</v>
      </c>
      <c r="N214">
        <v>1011</v>
      </c>
      <c r="O214" t="s">
        <v>367</v>
      </c>
      <c r="P214" t="s">
        <v>367</v>
      </c>
      <c r="Q214">
        <v>1</v>
      </c>
      <c r="W214">
        <v>0</v>
      </c>
      <c r="X214">
        <v>783836208</v>
      </c>
      <c r="Y214">
        <v>0.01</v>
      </c>
      <c r="AA214">
        <v>0</v>
      </c>
      <c r="AB214">
        <v>1113.56</v>
      </c>
      <c r="AC214">
        <v>453.6</v>
      </c>
      <c r="AD214">
        <v>0</v>
      </c>
      <c r="AE214">
        <v>0</v>
      </c>
      <c r="AF214">
        <v>134.65</v>
      </c>
      <c r="AG214">
        <v>13.5</v>
      </c>
      <c r="AH214">
        <v>0</v>
      </c>
      <c r="AI214">
        <v>1</v>
      </c>
      <c r="AJ214">
        <v>8.27</v>
      </c>
      <c r="AK214">
        <v>33.6</v>
      </c>
      <c r="AL214">
        <v>1</v>
      </c>
      <c r="AN214">
        <v>0</v>
      </c>
      <c r="AO214">
        <v>1</v>
      </c>
      <c r="AP214">
        <v>0</v>
      </c>
      <c r="AQ214">
        <v>0</v>
      </c>
      <c r="AR214">
        <v>0</v>
      </c>
      <c r="AS214" t="s">
        <v>3</v>
      </c>
      <c r="AT214">
        <v>0.01</v>
      </c>
      <c r="AU214" t="s">
        <v>3</v>
      </c>
      <c r="AV214">
        <v>0</v>
      </c>
      <c r="AW214">
        <v>2</v>
      </c>
      <c r="AX214">
        <v>36517868</v>
      </c>
      <c r="AY214">
        <v>1</v>
      </c>
      <c r="AZ214">
        <v>0</v>
      </c>
      <c r="BA214">
        <v>212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0</v>
      </c>
      <c r="BI214">
        <v>0</v>
      </c>
      <c r="BJ214">
        <v>0</v>
      </c>
      <c r="BK214">
        <v>0</v>
      </c>
      <c r="BL214">
        <v>0</v>
      </c>
      <c r="BM214">
        <v>0</v>
      </c>
      <c r="BN214">
        <v>0</v>
      </c>
      <c r="BO214">
        <v>0</v>
      </c>
      <c r="BP214">
        <v>0</v>
      </c>
      <c r="BQ214">
        <v>0</v>
      </c>
      <c r="BR214">
        <v>0</v>
      </c>
      <c r="BS214">
        <v>0</v>
      </c>
      <c r="BT214">
        <v>0</v>
      </c>
      <c r="BU214">
        <v>0</v>
      </c>
      <c r="BV214">
        <v>0</v>
      </c>
      <c r="BW214">
        <v>0</v>
      </c>
      <c r="CX214">
        <f>Y214*Source!I250</f>
        <v>0.01</v>
      </c>
      <c r="CY214">
        <f>AB214</f>
        <v>1113.56</v>
      </c>
      <c r="CZ214">
        <f>AF214</f>
        <v>134.65</v>
      </c>
      <c r="DA214">
        <f>AJ214</f>
        <v>8.27</v>
      </c>
      <c r="DB214">
        <f t="shared" si="33"/>
        <v>1.35</v>
      </c>
      <c r="DC214">
        <f t="shared" si="34"/>
        <v>0.14000000000000001</v>
      </c>
    </row>
    <row r="215" spans="1:107">
      <c r="A215">
        <f>ROW(Source!A250)</f>
        <v>250</v>
      </c>
      <c r="B215">
        <v>35841400</v>
      </c>
      <c r="C215">
        <v>35847526</v>
      </c>
      <c r="D215">
        <v>29174913</v>
      </c>
      <c r="E215">
        <v>1</v>
      </c>
      <c r="F215">
        <v>1</v>
      </c>
      <c r="G215">
        <v>1</v>
      </c>
      <c r="H215">
        <v>2</v>
      </c>
      <c r="I215" t="s">
        <v>381</v>
      </c>
      <c r="J215" t="s">
        <v>382</v>
      </c>
      <c r="K215" t="s">
        <v>383</v>
      </c>
      <c r="L215">
        <v>1368</v>
      </c>
      <c r="N215">
        <v>1011</v>
      </c>
      <c r="O215" t="s">
        <v>367</v>
      </c>
      <c r="P215" t="s">
        <v>367</v>
      </c>
      <c r="Q215">
        <v>1</v>
      </c>
      <c r="W215">
        <v>0</v>
      </c>
      <c r="X215">
        <v>1230759911</v>
      </c>
      <c r="Y215">
        <v>0.01</v>
      </c>
      <c r="AA215">
        <v>0</v>
      </c>
      <c r="AB215">
        <v>932.72</v>
      </c>
      <c r="AC215">
        <v>389.76</v>
      </c>
      <c r="AD215">
        <v>0</v>
      </c>
      <c r="AE215">
        <v>0</v>
      </c>
      <c r="AF215">
        <v>87.17</v>
      </c>
      <c r="AG215">
        <v>11.6</v>
      </c>
      <c r="AH215">
        <v>0</v>
      </c>
      <c r="AI215">
        <v>1</v>
      </c>
      <c r="AJ215">
        <v>10.7</v>
      </c>
      <c r="AK215">
        <v>33.6</v>
      </c>
      <c r="AL215">
        <v>1</v>
      </c>
      <c r="AN215">
        <v>0</v>
      </c>
      <c r="AO215">
        <v>1</v>
      </c>
      <c r="AP215">
        <v>0</v>
      </c>
      <c r="AQ215">
        <v>0</v>
      </c>
      <c r="AR215">
        <v>0</v>
      </c>
      <c r="AS215" t="s">
        <v>3</v>
      </c>
      <c r="AT215">
        <v>0.01</v>
      </c>
      <c r="AU215" t="s">
        <v>3</v>
      </c>
      <c r="AV215">
        <v>0</v>
      </c>
      <c r="AW215">
        <v>2</v>
      </c>
      <c r="AX215">
        <v>36517869</v>
      </c>
      <c r="AY215">
        <v>1</v>
      </c>
      <c r="AZ215">
        <v>0</v>
      </c>
      <c r="BA215">
        <v>213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0</v>
      </c>
      <c r="BI215">
        <v>0</v>
      </c>
      <c r="BJ215">
        <v>0</v>
      </c>
      <c r="BK215">
        <v>0</v>
      </c>
      <c r="BL215">
        <v>0</v>
      </c>
      <c r="BM215">
        <v>0</v>
      </c>
      <c r="BN215">
        <v>0</v>
      </c>
      <c r="BO215">
        <v>0</v>
      </c>
      <c r="BP215">
        <v>0</v>
      </c>
      <c r="BQ215">
        <v>0</v>
      </c>
      <c r="BR215">
        <v>0</v>
      </c>
      <c r="BS215">
        <v>0</v>
      </c>
      <c r="BT215">
        <v>0</v>
      </c>
      <c r="BU215">
        <v>0</v>
      </c>
      <c r="BV215">
        <v>0</v>
      </c>
      <c r="BW215">
        <v>0</v>
      </c>
      <c r="CX215">
        <f>Y215*Source!I250</f>
        <v>0.01</v>
      </c>
      <c r="CY215">
        <f>AB215</f>
        <v>932.72</v>
      </c>
      <c r="CZ215">
        <f>AF215</f>
        <v>87.17</v>
      </c>
      <c r="DA215">
        <f>AJ215</f>
        <v>10.7</v>
      </c>
      <c r="DB215">
        <f t="shared" si="33"/>
        <v>0.87</v>
      </c>
      <c r="DC215">
        <f t="shared" si="34"/>
        <v>0.12</v>
      </c>
    </row>
    <row r="216" spans="1:107">
      <c r="A216">
        <f>ROW(Source!A250)</f>
        <v>250</v>
      </c>
      <c r="B216">
        <v>35841400</v>
      </c>
      <c r="C216">
        <v>35847526</v>
      </c>
      <c r="D216">
        <v>29110426</v>
      </c>
      <c r="E216">
        <v>1</v>
      </c>
      <c r="F216">
        <v>1</v>
      </c>
      <c r="G216">
        <v>1</v>
      </c>
      <c r="H216">
        <v>3</v>
      </c>
      <c r="I216" t="s">
        <v>584</v>
      </c>
      <c r="J216" t="s">
        <v>585</v>
      </c>
      <c r="K216" t="s">
        <v>586</v>
      </c>
      <c r="L216">
        <v>1346</v>
      </c>
      <c r="N216">
        <v>1009</v>
      </c>
      <c r="O216" t="s">
        <v>151</v>
      </c>
      <c r="P216" t="s">
        <v>151</v>
      </c>
      <c r="Q216">
        <v>1</v>
      </c>
      <c r="W216">
        <v>0</v>
      </c>
      <c r="X216">
        <v>-1768004575</v>
      </c>
      <c r="Y216">
        <v>0.05</v>
      </c>
      <c r="AA216">
        <v>63.36</v>
      </c>
      <c r="AB216">
        <v>0</v>
      </c>
      <c r="AC216">
        <v>0</v>
      </c>
      <c r="AD216">
        <v>0</v>
      </c>
      <c r="AE216">
        <v>28.67</v>
      </c>
      <c r="AF216">
        <v>0</v>
      </c>
      <c r="AG216">
        <v>0</v>
      </c>
      <c r="AH216">
        <v>0</v>
      </c>
      <c r="AI216">
        <v>2.21</v>
      </c>
      <c r="AJ216">
        <v>1</v>
      </c>
      <c r="AK216">
        <v>1</v>
      </c>
      <c r="AL216">
        <v>1</v>
      </c>
      <c r="AN216">
        <v>0</v>
      </c>
      <c r="AO216">
        <v>1</v>
      </c>
      <c r="AP216">
        <v>0</v>
      </c>
      <c r="AQ216">
        <v>0</v>
      </c>
      <c r="AR216">
        <v>0</v>
      </c>
      <c r="AS216" t="s">
        <v>3</v>
      </c>
      <c r="AT216">
        <v>0.05</v>
      </c>
      <c r="AU216" t="s">
        <v>3</v>
      </c>
      <c r="AV216">
        <v>0</v>
      </c>
      <c r="AW216">
        <v>2</v>
      </c>
      <c r="AX216">
        <v>36517870</v>
      </c>
      <c r="AY216">
        <v>1</v>
      </c>
      <c r="AZ216">
        <v>0</v>
      </c>
      <c r="BA216">
        <v>214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0</v>
      </c>
      <c r="BI216">
        <v>0</v>
      </c>
      <c r="BJ216">
        <v>0</v>
      </c>
      <c r="BK216">
        <v>0</v>
      </c>
      <c r="BL216">
        <v>0</v>
      </c>
      <c r="BM216">
        <v>0</v>
      </c>
      <c r="BN216">
        <v>0</v>
      </c>
      <c r="BO216">
        <v>0</v>
      </c>
      <c r="BP216">
        <v>0</v>
      </c>
      <c r="BQ216">
        <v>0</v>
      </c>
      <c r="BR216">
        <v>0</v>
      </c>
      <c r="BS216">
        <v>0</v>
      </c>
      <c r="BT216">
        <v>0</v>
      </c>
      <c r="BU216">
        <v>0</v>
      </c>
      <c r="BV216">
        <v>0</v>
      </c>
      <c r="BW216">
        <v>0</v>
      </c>
      <c r="CX216">
        <f>Y216*Source!I250</f>
        <v>0.05</v>
      </c>
      <c r="CY216">
        <f>AA216</f>
        <v>63.36</v>
      </c>
      <c r="CZ216">
        <f>AE216</f>
        <v>28.67</v>
      </c>
      <c r="DA216">
        <f>AI216</f>
        <v>2.21</v>
      </c>
      <c r="DB216">
        <f t="shared" si="33"/>
        <v>1.43</v>
      </c>
      <c r="DC216">
        <f t="shared" si="34"/>
        <v>0</v>
      </c>
    </row>
    <row r="217" spans="1:107">
      <c r="A217">
        <f>ROW(Source!A250)</f>
        <v>250</v>
      </c>
      <c r="B217">
        <v>35841400</v>
      </c>
      <c r="C217">
        <v>35847526</v>
      </c>
      <c r="D217">
        <v>29110793</v>
      </c>
      <c r="E217">
        <v>1</v>
      </c>
      <c r="F217">
        <v>1</v>
      </c>
      <c r="G217">
        <v>1</v>
      </c>
      <c r="H217">
        <v>3</v>
      </c>
      <c r="I217" t="s">
        <v>587</v>
      </c>
      <c r="J217" t="s">
        <v>588</v>
      </c>
      <c r="K217" t="s">
        <v>589</v>
      </c>
      <c r="L217">
        <v>1308</v>
      </c>
      <c r="N217">
        <v>1003</v>
      </c>
      <c r="O217" t="s">
        <v>242</v>
      </c>
      <c r="P217" t="s">
        <v>242</v>
      </c>
      <c r="Q217">
        <v>100</v>
      </c>
      <c r="W217">
        <v>0</v>
      </c>
      <c r="X217">
        <v>611857035</v>
      </c>
      <c r="Y217">
        <v>0.05</v>
      </c>
      <c r="AA217">
        <v>565.69000000000005</v>
      </c>
      <c r="AB217">
        <v>0</v>
      </c>
      <c r="AC217">
        <v>0</v>
      </c>
      <c r="AD217">
        <v>0</v>
      </c>
      <c r="AE217">
        <v>120.36</v>
      </c>
      <c r="AF217">
        <v>0</v>
      </c>
      <c r="AG217">
        <v>0</v>
      </c>
      <c r="AH217">
        <v>0</v>
      </c>
      <c r="AI217">
        <v>4.7</v>
      </c>
      <c r="AJ217">
        <v>1</v>
      </c>
      <c r="AK217">
        <v>1</v>
      </c>
      <c r="AL217">
        <v>1</v>
      </c>
      <c r="AN217">
        <v>0</v>
      </c>
      <c r="AO217">
        <v>1</v>
      </c>
      <c r="AP217">
        <v>0</v>
      </c>
      <c r="AQ217">
        <v>0</v>
      </c>
      <c r="AR217">
        <v>0</v>
      </c>
      <c r="AS217" t="s">
        <v>3</v>
      </c>
      <c r="AT217">
        <v>0.05</v>
      </c>
      <c r="AU217" t="s">
        <v>3</v>
      </c>
      <c r="AV217">
        <v>0</v>
      </c>
      <c r="AW217">
        <v>2</v>
      </c>
      <c r="AX217">
        <v>36517871</v>
      </c>
      <c r="AY217">
        <v>1</v>
      </c>
      <c r="AZ217">
        <v>0</v>
      </c>
      <c r="BA217">
        <v>215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0</v>
      </c>
      <c r="BI217">
        <v>0</v>
      </c>
      <c r="BJ217">
        <v>0</v>
      </c>
      <c r="BK217">
        <v>0</v>
      </c>
      <c r="BL217">
        <v>0</v>
      </c>
      <c r="BM217">
        <v>0</v>
      </c>
      <c r="BN217">
        <v>0</v>
      </c>
      <c r="BO217">
        <v>0</v>
      </c>
      <c r="BP217">
        <v>0</v>
      </c>
      <c r="BQ217">
        <v>0</v>
      </c>
      <c r="BR217">
        <v>0</v>
      </c>
      <c r="BS217">
        <v>0</v>
      </c>
      <c r="BT217">
        <v>0</v>
      </c>
      <c r="BU217">
        <v>0</v>
      </c>
      <c r="BV217">
        <v>0</v>
      </c>
      <c r="BW217">
        <v>0</v>
      </c>
      <c r="CX217">
        <f>Y217*Source!I250</f>
        <v>0.05</v>
      </c>
      <c r="CY217">
        <f>AA217</f>
        <v>565.69000000000005</v>
      </c>
      <c r="CZ217">
        <f>AE217</f>
        <v>120.36</v>
      </c>
      <c r="DA217">
        <f>AI217</f>
        <v>4.7</v>
      </c>
      <c r="DB217">
        <f t="shared" si="33"/>
        <v>6.02</v>
      </c>
      <c r="DC217">
        <f t="shared" si="34"/>
        <v>0</v>
      </c>
    </row>
    <row r="218" spans="1:107">
      <c r="A218">
        <f>ROW(Source!A250)</f>
        <v>250</v>
      </c>
      <c r="B218">
        <v>35841400</v>
      </c>
      <c r="C218">
        <v>35847526</v>
      </c>
      <c r="D218">
        <v>29110838</v>
      </c>
      <c r="E218">
        <v>1</v>
      </c>
      <c r="F218">
        <v>1</v>
      </c>
      <c r="G218">
        <v>1</v>
      </c>
      <c r="H218">
        <v>3</v>
      </c>
      <c r="I218" t="s">
        <v>572</v>
      </c>
      <c r="J218" t="s">
        <v>590</v>
      </c>
      <c r="K218" t="s">
        <v>574</v>
      </c>
      <c r="L218">
        <v>1346</v>
      </c>
      <c r="N218">
        <v>1009</v>
      </c>
      <c r="O218" t="s">
        <v>151</v>
      </c>
      <c r="P218" t="s">
        <v>151</v>
      </c>
      <c r="Q218">
        <v>1</v>
      </c>
      <c r="W218">
        <v>0</v>
      </c>
      <c r="X218">
        <v>-1294780295</v>
      </c>
      <c r="Y218">
        <v>0.16</v>
      </c>
      <c r="AA218">
        <v>100.04</v>
      </c>
      <c r="AB218">
        <v>0</v>
      </c>
      <c r="AC218">
        <v>0</v>
      </c>
      <c r="AD218">
        <v>0</v>
      </c>
      <c r="AE218">
        <v>30.5</v>
      </c>
      <c r="AF218">
        <v>0</v>
      </c>
      <c r="AG218">
        <v>0</v>
      </c>
      <c r="AH218">
        <v>0</v>
      </c>
      <c r="AI218">
        <v>3.28</v>
      </c>
      <c r="AJ218">
        <v>1</v>
      </c>
      <c r="AK218">
        <v>1</v>
      </c>
      <c r="AL218">
        <v>1</v>
      </c>
      <c r="AN218">
        <v>0</v>
      </c>
      <c r="AO218">
        <v>1</v>
      </c>
      <c r="AP218">
        <v>0</v>
      </c>
      <c r="AQ218">
        <v>0</v>
      </c>
      <c r="AR218">
        <v>0</v>
      </c>
      <c r="AS218" t="s">
        <v>3</v>
      </c>
      <c r="AT218">
        <v>0.16</v>
      </c>
      <c r="AU218" t="s">
        <v>3</v>
      </c>
      <c r="AV218">
        <v>0</v>
      </c>
      <c r="AW218">
        <v>2</v>
      </c>
      <c r="AX218">
        <v>36517872</v>
      </c>
      <c r="AY218">
        <v>1</v>
      </c>
      <c r="AZ218">
        <v>0</v>
      </c>
      <c r="BA218">
        <v>216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0</v>
      </c>
      <c r="BI218">
        <v>0</v>
      </c>
      <c r="BJ218">
        <v>0</v>
      </c>
      <c r="BK218">
        <v>0</v>
      </c>
      <c r="BL218">
        <v>0</v>
      </c>
      <c r="BM218">
        <v>0</v>
      </c>
      <c r="BN218">
        <v>0</v>
      </c>
      <c r="BO218">
        <v>0</v>
      </c>
      <c r="BP218">
        <v>0</v>
      </c>
      <c r="BQ218">
        <v>0</v>
      </c>
      <c r="BR218">
        <v>0</v>
      </c>
      <c r="BS218">
        <v>0</v>
      </c>
      <c r="BT218">
        <v>0</v>
      </c>
      <c r="BU218">
        <v>0</v>
      </c>
      <c r="BV218">
        <v>0</v>
      </c>
      <c r="BW218">
        <v>0</v>
      </c>
      <c r="CX218">
        <f>Y218*Source!I250</f>
        <v>0.16</v>
      </c>
      <c r="CY218">
        <f>AA218</f>
        <v>100.04</v>
      </c>
      <c r="CZ218">
        <f>AE218</f>
        <v>30.5</v>
      </c>
      <c r="DA218">
        <f>AI218</f>
        <v>3.28</v>
      </c>
      <c r="DB218">
        <f t="shared" si="33"/>
        <v>4.88</v>
      </c>
      <c r="DC218">
        <f t="shared" si="34"/>
        <v>0</v>
      </c>
    </row>
    <row r="219" spans="1:107">
      <c r="A219">
        <f>ROW(Source!A250)</f>
        <v>250</v>
      </c>
      <c r="B219">
        <v>35841400</v>
      </c>
      <c r="C219">
        <v>35847526</v>
      </c>
      <c r="D219">
        <v>29152083</v>
      </c>
      <c r="E219">
        <v>1</v>
      </c>
      <c r="F219">
        <v>1</v>
      </c>
      <c r="G219">
        <v>1</v>
      </c>
      <c r="H219">
        <v>3</v>
      </c>
      <c r="I219" t="s">
        <v>282</v>
      </c>
      <c r="J219" t="s">
        <v>285</v>
      </c>
      <c r="K219" t="s">
        <v>283</v>
      </c>
      <c r="L219">
        <v>1477</v>
      </c>
      <c r="N219">
        <v>1013</v>
      </c>
      <c r="O219" t="s">
        <v>284</v>
      </c>
      <c r="P219" t="s">
        <v>286</v>
      </c>
      <c r="Q219">
        <v>1</v>
      </c>
      <c r="W219">
        <v>0</v>
      </c>
      <c r="X219">
        <v>574699882</v>
      </c>
      <c r="Y219">
        <v>0.1</v>
      </c>
      <c r="AA219">
        <v>33203.43</v>
      </c>
      <c r="AB219">
        <v>0</v>
      </c>
      <c r="AC219">
        <v>0</v>
      </c>
      <c r="AD219">
        <v>0</v>
      </c>
      <c r="AE219">
        <v>4329</v>
      </c>
      <c r="AF219">
        <v>0</v>
      </c>
      <c r="AG219">
        <v>0</v>
      </c>
      <c r="AH219">
        <v>0</v>
      </c>
      <c r="AI219">
        <v>7.67</v>
      </c>
      <c r="AJ219">
        <v>1</v>
      </c>
      <c r="AK219">
        <v>1</v>
      </c>
      <c r="AL219">
        <v>1</v>
      </c>
      <c r="AN219">
        <v>0</v>
      </c>
      <c r="AO219">
        <v>0</v>
      </c>
      <c r="AP219">
        <v>0</v>
      </c>
      <c r="AQ219">
        <v>0</v>
      </c>
      <c r="AR219">
        <v>0</v>
      </c>
      <c r="AS219" t="s">
        <v>3</v>
      </c>
      <c r="AT219">
        <v>0.1</v>
      </c>
      <c r="AU219" t="s">
        <v>3</v>
      </c>
      <c r="AV219">
        <v>0</v>
      </c>
      <c r="AW219">
        <v>1</v>
      </c>
      <c r="AX219">
        <v>-1</v>
      </c>
      <c r="AY219">
        <v>0</v>
      </c>
      <c r="AZ219">
        <v>0</v>
      </c>
      <c r="BA219" t="s">
        <v>3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0</v>
      </c>
      <c r="BI219">
        <v>0</v>
      </c>
      <c r="BJ219">
        <v>0</v>
      </c>
      <c r="BK219">
        <v>0</v>
      </c>
      <c r="BL219">
        <v>0</v>
      </c>
      <c r="BM219">
        <v>0</v>
      </c>
      <c r="BN219">
        <v>0</v>
      </c>
      <c r="BO219">
        <v>0</v>
      </c>
      <c r="BP219">
        <v>0</v>
      </c>
      <c r="BQ219">
        <v>0</v>
      </c>
      <c r="BR219">
        <v>0</v>
      </c>
      <c r="BS219">
        <v>0</v>
      </c>
      <c r="BT219">
        <v>0</v>
      </c>
      <c r="BU219">
        <v>0</v>
      </c>
      <c r="BV219">
        <v>0</v>
      </c>
      <c r="BW219">
        <v>0</v>
      </c>
      <c r="CX219">
        <f>Y219*Source!I250</f>
        <v>0.1</v>
      </c>
      <c r="CY219">
        <f>AA219</f>
        <v>33203.43</v>
      </c>
      <c r="CZ219">
        <f>AE219</f>
        <v>4329</v>
      </c>
      <c r="DA219">
        <f>AI219</f>
        <v>7.67</v>
      </c>
      <c r="DB219">
        <f t="shared" si="33"/>
        <v>432.9</v>
      </c>
      <c r="DC219">
        <f t="shared" si="34"/>
        <v>0</v>
      </c>
    </row>
    <row r="220" spans="1:107">
      <c r="A220">
        <f>ROW(Source!A250)</f>
        <v>250</v>
      </c>
      <c r="B220">
        <v>35841400</v>
      </c>
      <c r="C220">
        <v>35847526</v>
      </c>
      <c r="D220">
        <v>29171808</v>
      </c>
      <c r="E220">
        <v>1</v>
      </c>
      <c r="F220">
        <v>1</v>
      </c>
      <c r="G220">
        <v>1</v>
      </c>
      <c r="H220">
        <v>3</v>
      </c>
      <c r="I220" t="s">
        <v>564</v>
      </c>
      <c r="J220" t="s">
        <v>565</v>
      </c>
      <c r="K220" t="s">
        <v>566</v>
      </c>
      <c r="L220">
        <v>1374</v>
      </c>
      <c r="N220">
        <v>1013</v>
      </c>
      <c r="O220" t="s">
        <v>567</v>
      </c>
      <c r="P220" t="s">
        <v>567</v>
      </c>
      <c r="Q220">
        <v>1</v>
      </c>
      <c r="W220">
        <v>0</v>
      </c>
      <c r="X220">
        <v>-915781824</v>
      </c>
      <c r="Y220">
        <v>0.53</v>
      </c>
      <c r="AA220">
        <v>1</v>
      </c>
      <c r="AB220">
        <v>0</v>
      </c>
      <c r="AC220">
        <v>0</v>
      </c>
      <c r="AD220">
        <v>0</v>
      </c>
      <c r="AE220">
        <v>1</v>
      </c>
      <c r="AF220">
        <v>0</v>
      </c>
      <c r="AG220">
        <v>0</v>
      </c>
      <c r="AH220">
        <v>0</v>
      </c>
      <c r="AI220">
        <v>1</v>
      </c>
      <c r="AJ220">
        <v>1</v>
      </c>
      <c r="AK220">
        <v>1</v>
      </c>
      <c r="AL220">
        <v>1</v>
      </c>
      <c r="AN220">
        <v>0</v>
      </c>
      <c r="AO220">
        <v>1</v>
      </c>
      <c r="AP220">
        <v>0</v>
      </c>
      <c r="AQ220">
        <v>0</v>
      </c>
      <c r="AR220">
        <v>0</v>
      </c>
      <c r="AS220" t="s">
        <v>3</v>
      </c>
      <c r="AT220">
        <v>0.53</v>
      </c>
      <c r="AU220" t="s">
        <v>3</v>
      </c>
      <c r="AV220">
        <v>0</v>
      </c>
      <c r="AW220">
        <v>2</v>
      </c>
      <c r="AX220">
        <v>36517873</v>
      </c>
      <c r="AY220">
        <v>1</v>
      </c>
      <c r="AZ220">
        <v>0</v>
      </c>
      <c r="BA220">
        <v>217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0</v>
      </c>
      <c r="BI220">
        <v>0</v>
      </c>
      <c r="BJ220">
        <v>0</v>
      </c>
      <c r="BK220">
        <v>0</v>
      </c>
      <c r="BL220">
        <v>0</v>
      </c>
      <c r="BM220">
        <v>0</v>
      </c>
      <c r="BN220">
        <v>0</v>
      </c>
      <c r="BO220">
        <v>0</v>
      </c>
      <c r="BP220">
        <v>0</v>
      </c>
      <c r="BQ220">
        <v>0</v>
      </c>
      <c r="BR220">
        <v>0</v>
      </c>
      <c r="BS220">
        <v>0</v>
      </c>
      <c r="BT220">
        <v>0</v>
      </c>
      <c r="BU220">
        <v>0</v>
      </c>
      <c r="BV220">
        <v>0</v>
      </c>
      <c r="BW220">
        <v>0</v>
      </c>
      <c r="CX220">
        <f>Y220*Source!I250</f>
        <v>0.53</v>
      </c>
      <c r="CY220">
        <f>AA220</f>
        <v>1</v>
      </c>
      <c r="CZ220">
        <f>AE220</f>
        <v>1</v>
      </c>
      <c r="DA220">
        <f>AI220</f>
        <v>1</v>
      </c>
      <c r="DB220">
        <f t="shared" si="33"/>
        <v>0.53</v>
      </c>
      <c r="DC220">
        <f t="shared" si="34"/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AR217"/>
  <sheetViews>
    <sheetView workbookViewId="0"/>
  </sheetViews>
  <sheetFormatPr defaultColWidth="9.140625" defaultRowHeight="12.75"/>
  <cols>
    <col min="1" max="256" width="9.140625" customWidth="1"/>
  </cols>
  <sheetData>
    <row r="1" spans="1:44">
      <c r="A1">
        <f>ROW(Source!A28)</f>
        <v>28</v>
      </c>
      <c r="B1">
        <v>37181297</v>
      </c>
      <c r="C1">
        <v>36516588</v>
      </c>
      <c r="D1">
        <v>18409661</v>
      </c>
      <c r="E1">
        <v>1</v>
      </c>
      <c r="F1">
        <v>1</v>
      </c>
      <c r="G1">
        <v>1</v>
      </c>
      <c r="H1">
        <v>1</v>
      </c>
      <c r="I1" t="s">
        <v>359</v>
      </c>
      <c r="J1" t="s">
        <v>3</v>
      </c>
      <c r="K1" t="s">
        <v>360</v>
      </c>
      <c r="L1">
        <v>1369</v>
      </c>
      <c r="N1">
        <v>1013</v>
      </c>
      <c r="O1" t="s">
        <v>361</v>
      </c>
      <c r="P1" t="s">
        <v>361</v>
      </c>
      <c r="Q1">
        <v>1</v>
      </c>
      <c r="X1">
        <v>7.31</v>
      </c>
      <c r="Y1">
        <v>0</v>
      </c>
      <c r="Z1">
        <v>0</v>
      </c>
      <c r="AA1">
        <v>0</v>
      </c>
      <c r="AB1">
        <v>286.72000000000003</v>
      </c>
      <c r="AC1">
        <v>0</v>
      </c>
      <c r="AD1">
        <v>1</v>
      </c>
      <c r="AE1">
        <v>1</v>
      </c>
      <c r="AF1" t="s">
        <v>3</v>
      </c>
      <c r="AG1">
        <v>7.31</v>
      </c>
      <c r="AH1">
        <v>2</v>
      </c>
      <c r="AI1">
        <v>37181297</v>
      </c>
      <c r="AJ1">
        <v>1</v>
      </c>
      <c r="AK1">
        <v>0</v>
      </c>
      <c r="AL1">
        <v>0</v>
      </c>
      <c r="AM1">
        <v>0</v>
      </c>
      <c r="AN1">
        <v>0</v>
      </c>
      <c r="AO1">
        <v>0</v>
      </c>
      <c r="AP1">
        <v>0</v>
      </c>
      <c r="AQ1">
        <v>0</v>
      </c>
      <c r="AR1">
        <v>0</v>
      </c>
    </row>
    <row r="2" spans="1:44">
      <c r="A2">
        <f>ROW(Source!A28)</f>
        <v>28</v>
      </c>
      <c r="B2">
        <v>37181298</v>
      </c>
      <c r="C2">
        <v>36516588</v>
      </c>
      <c r="D2">
        <v>121548</v>
      </c>
      <c r="E2">
        <v>1</v>
      </c>
      <c r="F2">
        <v>1</v>
      </c>
      <c r="G2">
        <v>1</v>
      </c>
      <c r="H2">
        <v>1</v>
      </c>
      <c r="I2" t="s">
        <v>213</v>
      </c>
      <c r="J2" t="s">
        <v>3</v>
      </c>
      <c r="K2" t="s">
        <v>362</v>
      </c>
      <c r="L2">
        <v>608254</v>
      </c>
      <c r="N2">
        <v>1013</v>
      </c>
      <c r="O2" t="s">
        <v>363</v>
      </c>
      <c r="P2" t="s">
        <v>363</v>
      </c>
      <c r="Q2">
        <v>1</v>
      </c>
      <c r="X2">
        <v>0.2</v>
      </c>
      <c r="Y2">
        <v>0</v>
      </c>
      <c r="Z2">
        <v>0</v>
      </c>
      <c r="AA2">
        <v>0</v>
      </c>
      <c r="AB2">
        <v>0</v>
      </c>
      <c r="AC2">
        <v>0</v>
      </c>
      <c r="AD2">
        <v>1</v>
      </c>
      <c r="AE2">
        <v>2</v>
      </c>
      <c r="AF2" t="s">
        <v>3</v>
      </c>
      <c r="AG2">
        <v>0.2</v>
      </c>
      <c r="AH2">
        <v>2</v>
      </c>
      <c r="AI2">
        <v>37181298</v>
      </c>
      <c r="AJ2">
        <v>2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</row>
    <row r="3" spans="1:44">
      <c r="A3">
        <f>ROW(Source!A28)</f>
        <v>28</v>
      </c>
      <c r="B3">
        <v>37181299</v>
      </c>
      <c r="C3">
        <v>36516588</v>
      </c>
      <c r="D3">
        <v>29172556</v>
      </c>
      <c r="E3">
        <v>1</v>
      </c>
      <c r="F3">
        <v>1</v>
      </c>
      <c r="G3">
        <v>1</v>
      </c>
      <c r="H3">
        <v>2</v>
      </c>
      <c r="I3" t="s">
        <v>364</v>
      </c>
      <c r="J3" t="s">
        <v>365</v>
      </c>
      <c r="K3" t="s">
        <v>366</v>
      </c>
      <c r="L3">
        <v>1368</v>
      </c>
      <c r="N3">
        <v>1011</v>
      </c>
      <c r="O3" t="s">
        <v>367</v>
      </c>
      <c r="P3" t="s">
        <v>367</v>
      </c>
      <c r="Q3">
        <v>1</v>
      </c>
      <c r="X3">
        <v>0.2</v>
      </c>
      <c r="Y3">
        <v>0</v>
      </c>
      <c r="Z3">
        <v>31.26</v>
      </c>
      <c r="AA3">
        <v>13.5</v>
      </c>
      <c r="AB3">
        <v>0</v>
      </c>
      <c r="AC3">
        <v>0</v>
      </c>
      <c r="AD3">
        <v>1</v>
      </c>
      <c r="AE3">
        <v>0</v>
      </c>
      <c r="AF3" t="s">
        <v>3</v>
      </c>
      <c r="AG3">
        <v>0.2</v>
      </c>
      <c r="AH3">
        <v>2</v>
      </c>
      <c r="AI3">
        <v>37181299</v>
      </c>
      <c r="AJ3">
        <v>3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</row>
    <row r="4" spans="1:44">
      <c r="A4">
        <f>ROW(Source!A29)</f>
        <v>29</v>
      </c>
      <c r="B4">
        <v>37208017</v>
      </c>
      <c r="C4">
        <v>35842188</v>
      </c>
      <c r="D4">
        <v>18406804</v>
      </c>
      <c r="E4">
        <v>1</v>
      </c>
      <c r="F4">
        <v>1</v>
      </c>
      <c r="G4">
        <v>1</v>
      </c>
      <c r="H4">
        <v>1</v>
      </c>
      <c r="I4" t="s">
        <v>368</v>
      </c>
      <c r="J4" t="s">
        <v>3</v>
      </c>
      <c r="K4" t="s">
        <v>369</v>
      </c>
      <c r="L4">
        <v>1369</v>
      </c>
      <c r="N4">
        <v>1013</v>
      </c>
      <c r="O4" t="s">
        <v>361</v>
      </c>
      <c r="P4" t="s">
        <v>361</v>
      </c>
      <c r="Q4">
        <v>1</v>
      </c>
      <c r="X4">
        <v>22.82</v>
      </c>
      <c r="Y4">
        <v>0</v>
      </c>
      <c r="Z4">
        <v>0</v>
      </c>
      <c r="AA4">
        <v>0</v>
      </c>
      <c r="AB4">
        <v>258.83999999999997</v>
      </c>
      <c r="AC4">
        <v>0</v>
      </c>
      <c r="AD4">
        <v>1</v>
      </c>
      <c r="AE4">
        <v>1</v>
      </c>
      <c r="AF4" t="s">
        <v>3</v>
      </c>
      <c r="AG4">
        <v>22.82</v>
      </c>
      <c r="AH4">
        <v>2</v>
      </c>
      <c r="AI4">
        <v>37208017</v>
      </c>
      <c r="AJ4">
        <v>4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</row>
    <row r="5" spans="1:44">
      <c r="A5">
        <f>ROW(Source!A30)</f>
        <v>30</v>
      </c>
      <c r="B5">
        <v>36150439</v>
      </c>
      <c r="C5">
        <v>35842104</v>
      </c>
      <c r="D5">
        <v>18406804</v>
      </c>
      <c r="E5">
        <v>1</v>
      </c>
      <c r="F5">
        <v>1</v>
      </c>
      <c r="G5">
        <v>1</v>
      </c>
      <c r="H5">
        <v>1</v>
      </c>
      <c r="I5" t="s">
        <v>368</v>
      </c>
      <c r="J5" t="s">
        <v>3</v>
      </c>
      <c r="K5" t="s">
        <v>369</v>
      </c>
      <c r="L5">
        <v>1369</v>
      </c>
      <c r="N5">
        <v>1013</v>
      </c>
      <c r="O5" t="s">
        <v>361</v>
      </c>
      <c r="P5" t="s">
        <v>361</v>
      </c>
      <c r="Q5">
        <v>1</v>
      </c>
      <c r="X5">
        <v>7.67</v>
      </c>
      <c r="Y5">
        <v>0</v>
      </c>
      <c r="Z5">
        <v>0</v>
      </c>
      <c r="AA5">
        <v>0</v>
      </c>
      <c r="AB5">
        <v>254.67</v>
      </c>
      <c r="AC5">
        <v>0</v>
      </c>
      <c r="AD5">
        <v>1</v>
      </c>
      <c r="AE5">
        <v>1</v>
      </c>
      <c r="AF5" t="s">
        <v>3</v>
      </c>
      <c r="AG5">
        <v>7.67</v>
      </c>
      <c r="AH5">
        <v>2</v>
      </c>
      <c r="AI5">
        <v>36150439</v>
      </c>
      <c r="AJ5">
        <v>5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</row>
    <row r="6" spans="1:44">
      <c r="A6">
        <f>ROW(Source!A30)</f>
        <v>30</v>
      </c>
      <c r="B6">
        <v>36150440</v>
      </c>
      <c r="C6">
        <v>35842104</v>
      </c>
      <c r="D6">
        <v>29164349</v>
      </c>
      <c r="E6">
        <v>1</v>
      </c>
      <c r="F6">
        <v>1</v>
      </c>
      <c r="G6">
        <v>1</v>
      </c>
      <c r="H6">
        <v>3</v>
      </c>
      <c r="I6" t="s">
        <v>39</v>
      </c>
      <c r="J6" t="s">
        <v>42</v>
      </c>
      <c r="K6" t="s">
        <v>40</v>
      </c>
      <c r="L6">
        <v>1348</v>
      </c>
      <c r="N6">
        <v>1009</v>
      </c>
      <c r="O6" t="s">
        <v>41</v>
      </c>
      <c r="P6" t="s">
        <v>41</v>
      </c>
      <c r="Q6">
        <v>1000</v>
      </c>
      <c r="X6">
        <v>0.7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 t="s">
        <v>3</v>
      </c>
      <c r="AG6">
        <v>0.7</v>
      </c>
      <c r="AH6">
        <v>2</v>
      </c>
      <c r="AI6">
        <v>36150440</v>
      </c>
      <c r="AJ6">
        <v>6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</row>
    <row r="7" spans="1:44">
      <c r="A7">
        <f>ROW(Source!A32)</f>
        <v>32</v>
      </c>
      <c r="B7">
        <v>35842113</v>
      </c>
      <c r="C7">
        <v>35842112</v>
      </c>
      <c r="D7">
        <v>18406804</v>
      </c>
      <c r="E7">
        <v>1</v>
      </c>
      <c r="F7">
        <v>1</v>
      </c>
      <c r="G7">
        <v>1</v>
      </c>
      <c r="H7">
        <v>1</v>
      </c>
      <c r="I7" t="s">
        <v>368</v>
      </c>
      <c r="J7" t="s">
        <v>3</v>
      </c>
      <c r="K7" t="s">
        <v>369</v>
      </c>
      <c r="L7">
        <v>1369</v>
      </c>
      <c r="N7">
        <v>1013</v>
      </c>
      <c r="O7" t="s">
        <v>361</v>
      </c>
      <c r="P7" t="s">
        <v>361</v>
      </c>
      <c r="Q7">
        <v>1</v>
      </c>
      <c r="X7">
        <v>5.84</v>
      </c>
      <c r="Y7">
        <v>0</v>
      </c>
      <c r="Z7">
        <v>0</v>
      </c>
      <c r="AA7">
        <v>0</v>
      </c>
      <c r="AB7">
        <v>254.67</v>
      </c>
      <c r="AC7">
        <v>0</v>
      </c>
      <c r="AD7">
        <v>1</v>
      </c>
      <c r="AE7">
        <v>1</v>
      </c>
      <c r="AF7" t="s">
        <v>3</v>
      </c>
      <c r="AG7">
        <v>5.84</v>
      </c>
      <c r="AH7">
        <v>2</v>
      </c>
      <c r="AI7">
        <v>35842113</v>
      </c>
      <c r="AJ7">
        <v>7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</row>
    <row r="8" spans="1:44">
      <c r="A8">
        <f>ROW(Source!A33)</f>
        <v>33</v>
      </c>
      <c r="B8">
        <v>35842119</v>
      </c>
      <c r="C8">
        <v>35842118</v>
      </c>
      <c r="D8">
        <v>18408066</v>
      </c>
      <c r="E8">
        <v>1</v>
      </c>
      <c r="F8">
        <v>1</v>
      </c>
      <c r="G8">
        <v>1</v>
      </c>
      <c r="H8">
        <v>1</v>
      </c>
      <c r="I8" t="s">
        <v>370</v>
      </c>
      <c r="J8" t="s">
        <v>3</v>
      </c>
      <c r="K8" t="s">
        <v>371</v>
      </c>
      <c r="L8">
        <v>1369</v>
      </c>
      <c r="N8">
        <v>1013</v>
      </c>
      <c r="O8" t="s">
        <v>361</v>
      </c>
      <c r="P8" t="s">
        <v>361</v>
      </c>
      <c r="Q8">
        <v>1</v>
      </c>
      <c r="X8">
        <v>17.89</v>
      </c>
      <c r="Y8">
        <v>0</v>
      </c>
      <c r="Z8">
        <v>0</v>
      </c>
      <c r="AA8">
        <v>0</v>
      </c>
      <c r="AB8">
        <v>261.85000000000002</v>
      </c>
      <c r="AC8">
        <v>0</v>
      </c>
      <c r="AD8">
        <v>1</v>
      </c>
      <c r="AE8">
        <v>1</v>
      </c>
      <c r="AF8" t="s">
        <v>3</v>
      </c>
      <c r="AG8">
        <v>17.89</v>
      </c>
      <c r="AH8">
        <v>2</v>
      </c>
      <c r="AI8">
        <v>35842119</v>
      </c>
      <c r="AJ8">
        <v>8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</row>
    <row r="9" spans="1:44">
      <c r="A9">
        <f>ROW(Source!A33)</f>
        <v>33</v>
      </c>
      <c r="B9">
        <v>35842120</v>
      </c>
      <c r="C9">
        <v>35842118</v>
      </c>
      <c r="D9">
        <v>121548</v>
      </c>
      <c r="E9">
        <v>1</v>
      </c>
      <c r="F9">
        <v>1</v>
      </c>
      <c r="G9">
        <v>1</v>
      </c>
      <c r="H9">
        <v>1</v>
      </c>
      <c r="I9" t="s">
        <v>213</v>
      </c>
      <c r="J9" t="s">
        <v>3</v>
      </c>
      <c r="K9" t="s">
        <v>362</v>
      </c>
      <c r="L9">
        <v>608254</v>
      </c>
      <c r="N9">
        <v>1013</v>
      </c>
      <c r="O9" t="s">
        <v>363</v>
      </c>
      <c r="P9" t="s">
        <v>363</v>
      </c>
      <c r="Q9">
        <v>1</v>
      </c>
      <c r="X9">
        <v>0.08</v>
      </c>
      <c r="Y9">
        <v>0</v>
      </c>
      <c r="Z9">
        <v>0</v>
      </c>
      <c r="AA9">
        <v>0</v>
      </c>
      <c r="AB9">
        <v>0</v>
      </c>
      <c r="AC9">
        <v>0</v>
      </c>
      <c r="AD9">
        <v>1</v>
      </c>
      <c r="AE9">
        <v>2</v>
      </c>
      <c r="AF9" t="s">
        <v>3</v>
      </c>
      <c r="AG9">
        <v>0.08</v>
      </c>
      <c r="AH9">
        <v>2</v>
      </c>
      <c r="AI9">
        <v>35842120</v>
      </c>
      <c r="AJ9">
        <v>9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</row>
    <row r="10" spans="1:44">
      <c r="A10">
        <f>ROW(Source!A33)</f>
        <v>33</v>
      </c>
      <c r="B10">
        <v>35842121</v>
      </c>
      <c r="C10">
        <v>35842118</v>
      </c>
      <c r="D10">
        <v>29172556</v>
      </c>
      <c r="E10">
        <v>1</v>
      </c>
      <c r="F10">
        <v>1</v>
      </c>
      <c r="G10">
        <v>1</v>
      </c>
      <c r="H10">
        <v>2</v>
      </c>
      <c r="I10" t="s">
        <v>364</v>
      </c>
      <c r="J10" t="s">
        <v>372</v>
      </c>
      <c r="K10" t="s">
        <v>366</v>
      </c>
      <c r="L10">
        <v>1368</v>
      </c>
      <c r="N10">
        <v>1011</v>
      </c>
      <c r="O10" t="s">
        <v>367</v>
      </c>
      <c r="P10" t="s">
        <v>367</v>
      </c>
      <c r="Q10">
        <v>1</v>
      </c>
      <c r="X10">
        <v>0.08</v>
      </c>
      <c r="Y10">
        <v>0</v>
      </c>
      <c r="Z10">
        <v>31.26</v>
      </c>
      <c r="AA10">
        <v>13.5</v>
      </c>
      <c r="AB10">
        <v>0</v>
      </c>
      <c r="AC10">
        <v>0</v>
      </c>
      <c r="AD10">
        <v>1</v>
      </c>
      <c r="AE10">
        <v>0</v>
      </c>
      <c r="AF10" t="s">
        <v>3</v>
      </c>
      <c r="AG10">
        <v>0.08</v>
      </c>
      <c r="AH10">
        <v>2</v>
      </c>
      <c r="AI10">
        <v>35842121</v>
      </c>
      <c r="AJ10">
        <v>10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</row>
    <row r="11" spans="1:44">
      <c r="A11">
        <f>ROW(Source!A73)</f>
        <v>73</v>
      </c>
      <c r="B11">
        <v>37181264</v>
      </c>
      <c r="C11">
        <v>36513372</v>
      </c>
      <c r="D11">
        <v>18410631</v>
      </c>
      <c r="E11">
        <v>1</v>
      </c>
      <c r="F11">
        <v>1</v>
      </c>
      <c r="G11">
        <v>1</v>
      </c>
      <c r="H11">
        <v>1</v>
      </c>
      <c r="I11" t="s">
        <v>373</v>
      </c>
      <c r="J11" t="s">
        <v>3</v>
      </c>
      <c r="K11" t="s">
        <v>374</v>
      </c>
      <c r="L11">
        <v>1369</v>
      </c>
      <c r="N11">
        <v>1013</v>
      </c>
      <c r="O11" t="s">
        <v>361</v>
      </c>
      <c r="P11" t="s">
        <v>361</v>
      </c>
      <c r="Q11">
        <v>1</v>
      </c>
      <c r="X11">
        <v>5.94</v>
      </c>
      <c r="Y11">
        <v>0</v>
      </c>
      <c r="Z11">
        <v>0</v>
      </c>
      <c r="AA11">
        <v>0</v>
      </c>
      <c r="AB11">
        <v>280.75</v>
      </c>
      <c r="AC11">
        <v>0</v>
      </c>
      <c r="AD11">
        <v>1</v>
      </c>
      <c r="AE11">
        <v>1</v>
      </c>
      <c r="AF11" t="s">
        <v>114</v>
      </c>
      <c r="AG11">
        <v>6.8309999999999995</v>
      </c>
      <c r="AH11">
        <v>2</v>
      </c>
      <c r="AI11">
        <v>37181264</v>
      </c>
      <c r="AJ11">
        <v>11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</row>
    <row r="12" spans="1:44">
      <c r="A12">
        <f>ROW(Source!A73)</f>
        <v>73</v>
      </c>
      <c r="B12">
        <v>37181265</v>
      </c>
      <c r="C12">
        <v>36513372</v>
      </c>
      <c r="D12">
        <v>121548</v>
      </c>
      <c r="E12">
        <v>1</v>
      </c>
      <c r="F12">
        <v>1</v>
      </c>
      <c r="G12">
        <v>1</v>
      </c>
      <c r="H12">
        <v>1</v>
      </c>
      <c r="I12" t="s">
        <v>213</v>
      </c>
      <c r="J12" t="s">
        <v>3</v>
      </c>
      <c r="K12" t="s">
        <v>362</v>
      </c>
      <c r="L12">
        <v>608254</v>
      </c>
      <c r="N12">
        <v>1013</v>
      </c>
      <c r="O12" t="s">
        <v>363</v>
      </c>
      <c r="P12" t="s">
        <v>363</v>
      </c>
      <c r="Q12">
        <v>1</v>
      </c>
      <c r="X12">
        <v>0.04</v>
      </c>
      <c r="Y12">
        <v>0</v>
      </c>
      <c r="Z12">
        <v>0</v>
      </c>
      <c r="AA12">
        <v>0</v>
      </c>
      <c r="AB12">
        <v>0</v>
      </c>
      <c r="AC12">
        <v>0</v>
      </c>
      <c r="AD12">
        <v>1</v>
      </c>
      <c r="AE12">
        <v>2</v>
      </c>
      <c r="AF12" t="s">
        <v>3</v>
      </c>
      <c r="AG12">
        <v>0.04</v>
      </c>
      <c r="AH12">
        <v>2</v>
      </c>
      <c r="AI12">
        <v>37181265</v>
      </c>
      <c r="AJ12">
        <v>12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</row>
    <row r="13" spans="1:44">
      <c r="A13">
        <f>ROW(Source!A73)</f>
        <v>73</v>
      </c>
      <c r="B13">
        <v>37181266</v>
      </c>
      <c r="C13">
        <v>36513372</v>
      </c>
      <c r="D13">
        <v>29172554</v>
      </c>
      <c r="E13">
        <v>1</v>
      </c>
      <c r="F13">
        <v>1</v>
      </c>
      <c r="G13">
        <v>1</v>
      </c>
      <c r="H13">
        <v>2</v>
      </c>
      <c r="I13" t="s">
        <v>375</v>
      </c>
      <c r="J13" t="s">
        <v>376</v>
      </c>
      <c r="K13" t="s">
        <v>377</v>
      </c>
      <c r="L13">
        <v>1368</v>
      </c>
      <c r="N13">
        <v>1011</v>
      </c>
      <c r="O13" t="s">
        <v>367</v>
      </c>
      <c r="P13" t="s">
        <v>367</v>
      </c>
      <c r="Q13">
        <v>1</v>
      </c>
      <c r="X13">
        <v>0.04</v>
      </c>
      <c r="Y13">
        <v>0</v>
      </c>
      <c r="Z13">
        <v>27.66</v>
      </c>
      <c r="AA13">
        <v>11.6</v>
      </c>
      <c r="AB13">
        <v>0</v>
      </c>
      <c r="AC13">
        <v>0</v>
      </c>
      <c r="AD13">
        <v>1</v>
      </c>
      <c r="AE13">
        <v>0</v>
      </c>
      <c r="AF13" t="s">
        <v>3</v>
      </c>
      <c r="AG13">
        <v>0.04</v>
      </c>
      <c r="AH13">
        <v>2</v>
      </c>
      <c r="AI13">
        <v>37181266</v>
      </c>
      <c r="AJ13">
        <v>13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</row>
    <row r="14" spans="1:44">
      <c r="A14">
        <f>ROW(Source!A73)</f>
        <v>73</v>
      </c>
      <c r="B14">
        <v>37181267</v>
      </c>
      <c r="C14">
        <v>36513372</v>
      </c>
      <c r="D14">
        <v>29174653</v>
      </c>
      <c r="E14">
        <v>1</v>
      </c>
      <c r="F14">
        <v>1</v>
      </c>
      <c r="G14">
        <v>1</v>
      </c>
      <c r="H14">
        <v>2</v>
      </c>
      <c r="I14" t="s">
        <v>378</v>
      </c>
      <c r="J14" t="s">
        <v>379</v>
      </c>
      <c r="K14" t="s">
        <v>380</v>
      </c>
      <c r="L14">
        <v>1368</v>
      </c>
      <c r="N14">
        <v>1011</v>
      </c>
      <c r="O14" t="s">
        <v>367</v>
      </c>
      <c r="P14" t="s">
        <v>367</v>
      </c>
      <c r="Q14">
        <v>1</v>
      </c>
      <c r="X14">
        <v>5.12</v>
      </c>
      <c r="Y14">
        <v>0</v>
      </c>
      <c r="Z14">
        <v>6.82</v>
      </c>
      <c r="AA14">
        <v>0</v>
      </c>
      <c r="AB14">
        <v>0</v>
      </c>
      <c r="AC14">
        <v>0</v>
      </c>
      <c r="AD14">
        <v>1</v>
      </c>
      <c r="AE14">
        <v>0</v>
      </c>
      <c r="AF14" t="s">
        <v>3</v>
      </c>
      <c r="AG14">
        <v>5.12</v>
      </c>
      <c r="AH14">
        <v>2</v>
      </c>
      <c r="AI14">
        <v>37181267</v>
      </c>
      <c r="AJ14">
        <v>14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</row>
    <row r="15" spans="1:44">
      <c r="A15">
        <f>ROW(Source!A73)</f>
        <v>73</v>
      </c>
      <c r="B15">
        <v>37181268</v>
      </c>
      <c r="C15">
        <v>36513372</v>
      </c>
      <c r="D15">
        <v>29174913</v>
      </c>
      <c r="E15">
        <v>1</v>
      </c>
      <c r="F15">
        <v>1</v>
      </c>
      <c r="G15">
        <v>1</v>
      </c>
      <c r="H15">
        <v>2</v>
      </c>
      <c r="I15" t="s">
        <v>381</v>
      </c>
      <c r="J15" t="s">
        <v>382</v>
      </c>
      <c r="K15" t="s">
        <v>383</v>
      </c>
      <c r="L15">
        <v>1368</v>
      </c>
      <c r="N15">
        <v>1011</v>
      </c>
      <c r="O15" t="s">
        <v>367</v>
      </c>
      <c r="P15" t="s">
        <v>367</v>
      </c>
      <c r="Q15">
        <v>1</v>
      </c>
      <c r="X15">
        <v>0.1</v>
      </c>
      <c r="Y15">
        <v>0</v>
      </c>
      <c r="Z15">
        <v>87.17</v>
      </c>
      <c r="AA15">
        <v>11.6</v>
      </c>
      <c r="AB15">
        <v>0</v>
      </c>
      <c r="AC15">
        <v>0</v>
      </c>
      <c r="AD15">
        <v>1</v>
      </c>
      <c r="AE15">
        <v>0</v>
      </c>
      <c r="AF15" t="s">
        <v>3</v>
      </c>
      <c r="AG15">
        <v>0.1</v>
      </c>
      <c r="AH15">
        <v>2</v>
      </c>
      <c r="AI15">
        <v>37181268</v>
      </c>
      <c r="AJ15">
        <v>15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</row>
    <row r="16" spans="1:44">
      <c r="A16">
        <f>ROW(Source!A73)</f>
        <v>73</v>
      </c>
      <c r="B16">
        <v>37181269</v>
      </c>
      <c r="C16">
        <v>36513372</v>
      </c>
      <c r="D16">
        <v>29107800</v>
      </c>
      <c r="E16">
        <v>1</v>
      </c>
      <c r="F16">
        <v>1</v>
      </c>
      <c r="G16">
        <v>1</v>
      </c>
      <c r="H16">
        <v>3</v>
      </c>
      <c r="I16" t="s">
        <v>384</v>
      </c>
      <c r="J16" t="s">
        <v>385</v>
      </c>
      <c r="K16" t="s">
        <v>386</v>
      </c>
      <c r="L16">
        <v>1346</v>
      </c>
      <c r="N16">
        <v>1009</v>
      </c>
      <c r="O16" t="s">
        <v>151</v>
      </c>
      <c r="P16" t="s">
        <v>151</v>
      </c>
      <c r="Q16">
        <v>1</v>
      </c>
      <c r="X16">
        <v>1</v>
      </c>
      <c r="Y16">
        <v>1.81</v>
      </c>
      <c r="Z16">
        <v>0</v>
      </c>
      <c r="AA16">
        <v>0</v>
      </c>
      <c r="AB16">
        <v>0</v>
      </c>
      <c r="AC16">
        <v>0</v>
      </c>
      <c r="AD16">
        <v>1</v>
      </c>
      <c r="AE16">
        <v>0</v>
      </c>
      <c r="AF16" t="s">
        <v>3</v>
      </c>
      <c r="AG16">
        <v>1</v>
      </c>
      <c r="AH16">
        <v>2</v>
      </c>
      <c r="AI16">
        <v>37181269</v>
      </c>
      <c r="AJ16">
        <v>16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</row>
    <row r="17" spans="1:44">
      <c r="A17">
        <f>ROW(Source!A73)</f>
        <v>73</v>
      </c>
      <c r="B17">
        <v>37181270</v>
      </c>
      <c r="C17">
        <v>36513372</v>
      </c>
      <c r="D17">
        <v>29122063</v>
      </c>
      <c r="E17">
        <v>1</v>
      </c>
      <c r="F17">
        <v>1</v>
      </c>
      <c r="G17">
        <v>1</v>
      </c>
      <c r="H17">
        <v>3</v>
      </c>
      <c r="I17" t="s">
        <v>387</v>
      </c>
      <c r="J17" t="s">
        <v>388</v>
      </c>
      <c r="K17" t="s">
        <v>389</v>
      </c>
      <c r="L17">
        <v>1346</v>
      </c>
      <c r="N17">
        <v>1009</v>
      </c>
      <c r="O17" t="s">
        <v>151</v>
      </c>
      <c r="P17" t="s">
        <v>151</v>
      </c>
      <c r="Q17">
        <v>1</v>
      </c>
      <c r="X17">
        <v>9.1999999999999993</v>
      </c>
      <c r="Y17">
        <v>16.59</v>
      </c>
      <c r="Z17">
        <v>0</v>
      </c>
      <c r="AA17">
        <v>0</v>
      </c>
      <c r="AB17">
        <v>0</v>
      </c>
      <c r="AC17">
        <v>0</v>
      </c>
      <c r="AD17">
        <v>1</v>
      </c>
      <c r="AE17">
        <v>0</v>
      </c>
      <c r="AF17" t="s">
        <v>3</v>
      </c>
      <c r="AG17">
        <v>9.1999999999999993</v>
      </c>
      <c r="AH17">
        <v>2</v>
      </c>
      <c r="AI17">
        <v>37181270</v>
      </c>
      <c r="AJ17">
        <v>17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</row>
    <row r="18" spans="1:44">
      <c r="A18">
        <f>ROW(Source!A73)</f>
        <v>73</v>
      </c>
      <c r="B18">
        <v>37181271</v>
      </c>
      <c r="C18">
        <v>36513372</v>
      </c>
      <c r="D18">
        <v>29150040</v>
      </c>
      <c r="E18">
        <v>1</v>
      </c>
      <c r="F18">
        <v>1</v>
      </c>
      <c r="G18">
        <v>1</v>
      </c>
      <c r="H18">
        <v>3</v>
      </c>
      <c r="I18" t="s">
        <v>390</v>
      </c>
      <c r="J18" t="s">
        <v>391</v>
      </c>
      <c r="K18" t="s">
        <v>392</v>
      </c>
      <c r="L18">
        <v>1339</v>
      </c>
      <c r="N18">
        <v>1007</v>
      </c>
      <c r="O18" t="s">
        <v>393</v>
      </c>
      <c r="P18" t="s">
        <v>393</v>
      </c>
      <c r="Q18">
        <v>1</v>
      </c>
      <c r="X18">
        <v>0.01</v>
      </c>
      <c r="Y18">
        <v>2.44</v>
      </c>
      <c r="Z18">
        <v>0</v>
      </c>
      <c r="AA18">
        <v>0</v>
      </c>
      <c r="AB18">
        <v>0</v>
      </c>
      <c r="AC18">
        <v>0</v>
      </c>
      <c r="AD18">
        <v>1</v>
      </c>
      <c r="AE18">
        <v>0</v>
      </c>
      <c r="AF18" t="s">
        <v>3</v>
      </c>
      <c r="AG18">
        <v>0.01</v>
      </c>
      <c r="AH18">
        <v>2</v>
      </c>
      <c r="AI18">
        <v>37181271</v>
      </c>
      <c r="AJ18">
        <v>18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</row>
    <row r="19" spans="1:44">
      <c r="A19">
        <f>ROW(Source!A74)</f>
        <v>74</v>
      </c>
      <c r="B19">
        <v>37181272</v>
      </c>
      <c r="C19">
        <v>36513381</v>
      </c>
      <c r="D19">
        <v>18409850</v>
      </c>
      <c r="E19">
        <v>1</v>
      </c>
      <c r="F19">
        <v>1</v>
      </c>
      <c r="G19">
        <v>1</v>
      </c>
      <c r="H19">
        <v>1</v>
      </c>
      <c r="I19" t="s">
        <v>394</v>
      </c>
      <c r="J19" t="s">
        <v>3</v>
      </c>
      <c r="K19" t="s">
        <v>395</v>
      </c>
      <c r="L19">
        <v>1369</v>
      </c>
      <c r="N19">
        <v>1013</v>
      </c>
      <c r="O19" t="s">
        <v>361</v>
      </c>
      <c r="P19" t="s">
        <v>361</v>
      </c>
      <c r="Q19">
        <v>1</v>
      </c>
      <c r="X19">
        <v>71</v>
      </c>
      <c r="Y19">
        <v>0</v>
      </c>
      <c r="Z19">
        <v>0</v>
      </c>
      <c r="AA19">
        <v>0</v>
      </c>
      <c r="AB19">
        <v>300.99</v>
      </c>
      <c r="AC19">
        <v>0</v>
      </c>
      <c r="AD19">
        <v>1</v>
      </c>
      <c r="AE19">
        <v>1</v>
      </c>
      <c r="AF19" t="s">
        <v>114</v>
      </c>
      <c r="AG19">
        <v>81.649999999999991</v>
      </c>
      <c r="AH19">
        <v>2</v>
      </c>
      <c r="AI19">
        <v>37181272</v>
      </c>
      <c r="AJ19">
        <v>19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</row>
    <row r="20" spans="1:44">
      <c r="A20">
        <f>ROW(Source!A74)</f>
        <v>74</v>
      </c>
      <c r="B20">
        <v>37181273</v>
      </c>
      <c r="C20">
        <v>36513381</v>
      </c>
      <c r="D20">
        <v>29173472</v>
      </c>
      <c r="E20">
        <v>1</v>
      </c>
      <c r="F20">
        <v>1</v>
      </c>
      <c r="G20">
        <v>1</v>
      </c>
      <c r="H20">
        <v>2</v>
      </c>
      <c r="I20" t="s">
        <v>396</v>
      </c>
      <c r="J20" t="s">
        <v>397</v>
      </c>
      <c r="K20" t="s">
        <v>398</v>
      </c>
      <c r="L20">
        <v>1368</v>
      </c>
      <c r="N20">
        <v>1011</v>
      </c>
      <c r="O20" t="s">
        <v>367</v>
      </c>
      <c r="P20" t="s">
        <v>367</v>
      </c>
      <c r="Q20">
        <v>1</v>
      </c>
      <c r="X20">
        <v>1.55</v>
      </c>
      <c r="Y20">
        <v>0</v>
      </c>
      <c r="Z20">
        <v>3</v>
      </c>
      <c r="AA20">
        <v>0</v>
      </c>
      <c r="AB20">
        <v>0</v>
      </c>
      <c r="AC20">
        <v>0</v>
      </c>
      <c r="AD20">
        <v>1</v>
      </c>
      <c r="AE20">
        <v>0</v>
      </c>
      <c r="AF20" t="s">
        <v>3</v>
      </c>
      <c r="AG20">
        <v>1.55</v>
      </c>
      <c r="AH20">
        <v>2</v>
      </c>
      <c r="AI20">
        <v>37181273</v>
      </c>
      <c r="AJ20">
        <v>20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</row>
    <row r="21" spans="1:44">
      <c r="A21">
        <f>ROW(Source!A74)</f>
        <v>74</v>
      </c>
      <c r="B21">
        <v>37181274</v>
      </c>
      <c r="C21">
        <v>36513381</v>
      </c>
      <c r="D21">
        <v>29174538</v>
      </c>
      <c r="E21">
        <v>1</v>
      </c>
      <c r="F21">
        <v>1</v>
      </c>
      <c r="G21">
        <v>1</v>
      </c>
      <c r="H21">
        <v>2</v>
      </c>
      <c r="I21" t="s">
        <v>399</v>
      </c>
      <c r="J21" t="s">
        <v>400</v>
      </c>
      <c r="K21" t="s">
        <v>401</v>
      </c>
      <c r="L21">
        <v>1368</v>
      </c>
      <c r="N21">
        <v>1011</v>
      </c>
      <c r="O21" t="s">
        <v>367</v>
      </c>
      <c r="P21" t="s">
        <v>367</v>
      </c>
      <c r="Q21">
        <v>1</v>
      </c>
      <c r="X21">
        <v>0.38</v>
      </c>
      <c r="Y21">
        <v>0</v>
      </c>
      <c r="Z21">
        <v>33.590000000000003</v>
      </c>
      <c r="AA21">
        <v>0</v>
      </c>
      <c r="AB21">
        <v>0</v>
      </c>
      <c r="AC21">
        <v>0</v>
      </c>
      <c r="AD21">
        <v>1</v>
      </c>
      <c r="AE21">
        <v>0</v>
      </c>
      <c r="AF21" t="s">
        <v>3</v>
      </c>
      <c r="AG21">
        <v>0.38</v>
      </c>
      <c r="AH21">
        <v>2</v>
      </c>
      <c r="AI21">
        <v>37181274</v>
      </c>
      <c r="AJ21">
        <v>21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</row>
    <row r="22" spans="1:44">
      <c r="A22">
        <f>ROW(Source!A74)</f>
        <v>74</v>
      </c>
      <c r="B22">
        <v>37181275</v>
      </c>
      <c r="C22">
        <v>36513381</v>
      </c>
      <c r="D22">
        <v>29174580</v>
      </c>
      <c r="E22">
        <v>1</v>
      </c>
      <c r="F22">
        <v>1</v>
      </c>
      <c r="G22">
        <v>1</v>
      </c>
      <c r="H22">
        <v>2</v>
      </c>
      <c r="I22" t="s">
        <v>402</v>
      </c>
      <c r="J22" t="s">
        <v>403</v>
      </c>
      <c r="K22" t="s">
        <v>404</v>
      </c>
      <c r="L22">
        <v>1368</v>
      </c>
      <c r="N22">
        <v>1011</v>
      </c>
      <c r="O22" t="s">
        <v>367</v>
      </c>
      <c r="P22" t="s">
        <v>367</v>
      </c>
      <c r="Q22">
        <v>1</v>
      </c>
      <c r="X22">
        <v>0.51</v>
      </c>
      <c r="Y22">
        <v>0</v>
      </c>
      <c r="Z22">
        <v>2.08</v>
      </c>
      <c r="AA22">
        <v>0</v>
      </c>
      <c r="AB22">
        <v>0</v>
      </c>
      <c r="AC22">
        <v>0</v>
      </c>
      <c r="AD22">
        <v>1</v>
      </c>
      <c r="AE22">
        <v>0</v>
      </c>
      <c r="AF22" t="s">
        <v>3</v>
      </c>
      <c r="AG22">
        <v>0.51</v>
      </c>
      <c r="AH22">
        <v>2</v>
      </c>
      <c r="AI22">
        <v>37181275</v>
      </c>
      <c r="AJ22">
        <v>22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</row>
    <row r="23" spans="1:44">
      <c r="A23">
        <f>ROW(Source!A74)</f>
        <v>74</v>
      </c>
      <c r="B23">
        <v>37181276</v>
      </c>
      <c r="C23">
        <v>36513381</v>
      </c>
      <c r="D23">
        <v>29108656</v>
      </c>
      <c r="E23">
        <v>1</v>
      </c>
      <c r="F23">
        <v>1</v>
      </c>
      <c r="G23">
        <v>1</v>
      </c>
      <c r="H23">
        <v>3</v>
      </c>
      <c r="I23" t="s">
        <v>405</v>
      </c>
      <c r="J23" t="s">
        <v>406</v>
      </c>
      <c r="K23" t="s">
        <v>407</v>
      </c>
      <c r="L23">
        <v>1354</v>
      </c>
      <c r="N23">
        <v>1010</v>
      </c>
      <c r="O23" t="s">
        <v>195</v>
      </c>
      <c r="P23" t="s">
        <v>195</v>
      </c>
      <c r="Q23">
        <v>1</v>
      </c>
      <c r="X23">
        <v>7</v>
      </c>
      <c r="Y23">
        <v>13.87</v>
      </c>
      <c r="Z23">
        <v>0</v>
      </c>
      <c r="AA23">
        <v>0</v>
      </c>
      <c r="AB23">
        <v>0</v>
      </c>
      <c r="AC23">
        <v>0</v>
      </c>
      <c r="AD23">
        <v>1</v>
      </c>
      <c r="AE23">
        <v>0</v>
      </c>
      <c r="AF23" t="s">
        <v>3</v>
      </c>
      <c r="AG23">
        <v>7</v>
      </c>
      <c r="AH23">
        <v>2</v>
      </c>
      <c r="AI23">
        <v>37181276</v>
      </c>
      <c r="AJ23">
        <v>23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</row>
    <row r="24" spans="1:44">
      <c r="A24">
        <f>ROW(Source!A74)</f>
        <v>74</v>
      </c>
      <c r="B24">
        <v>37181277</v>
      </c>
      <c r="C24">
        <v>36513381</v>
      </c>
      <c r="D24">
        <v>29109354</v>
      </c>
      <c r="E24">
        <v>1</v>
      </c>
      <c r="F24">
        <v>1</v>
      </c>
      <c r="G24">
        <v>1</v>
      </c>
      <c r="H24">
        <v>3</v>
      </c>
      <c r="I24" t="s">
        <v>408</v>
      </c>
      <c r="J24" t="s">
        <v>409</v>
      </c>
      <c r="K24" t="s">
        <v>410</v>
      </c>
      <c r="L24">
        <v>1346</v>
      </c>
      <c r="N24">
        <v>1009</v>
      </c>
      <c r="O24" t="s">
        <v>151</v>
      </c>
      <c r="P24" t="s">
        <v>151</v>
      </c>
      <c r="Q24">
        <v>1</v>
      </c>
      <c r="X24">
        <v>10</v>
      </c>
      <c r="Y24">
        <v>46.72</v>
      </c>
      <c r="Z24">
        <v>0</v>
      </c>
      <c r="AA24">
        <v>0</v>
      </c>
      <c r="AB24">
        <v>0</v>
      </c>
      <c r="AC24">
        <v>0</v>
      </c>
      <c r="AD24">
        <v>1</v>
      </c>
      <c r="AE24">
        <v>0</v>
      </c>
      <c r="AF24" t="s">
        <v>3</v>
      </c>
      <c r="AG24">
        <v>10</v>
      </c>
      <c r="AH24">
        <v>2</v>
      </c>
      <c r="AI24">
        <v>37181277</v>
      </c>
      <c r="AJ24">
        <v>24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</row>
    <row r="25" spans="1:44">
      <c r="A25">
        <f>ROW(Source!A74)</f>
        <v>74</v>
      </c>
      <c r="B25">
        <v>37181278</v>
      </c>
      <c r="C25">
        <v>36513381</v>
      </c>
      <c r="D25">
        <v>29109414</v>
      </c>
      <c r="E25">
        <v>1</v>
      </c>
      <c r="F25">
        <v>1</v>
      </c>
      <c r="G25">
        <v>1</v>
      </c>
      <c r="H25">
        <v>3</v>
      </c>
      <c r="I25" t="s">
        <v>411</v>
      </c>
      <c r="J25" t="s">
        <v>412</v>
      </c>
      <c r="K25" t="s">
        <v>413</v>
      </c>
      <c r="L25">
        <v>1346</v>
      </c>
      <c r="N25">
        <v>1009</v>
      </c>
      <c r="O25" t="s">
        <v>151</v>
      </c>
      <c r="P25" t="s">
        <v>151</v>
      </c>
      <c r="Q25">
        <v>1</v>
      </c>
      <c r="X25">
        <v>60</v>
      </c>
      <c r="Y25">
        <v>1.58</v>
      </c>
      <c r="Z25">
        <v>0</v>
      </c>
      <c r="AA25">
        <v>0</v>
      </c>
      <c r="AB25">
        <v>0</v>
      </c>
      <c r="AC25">
        <v>0</v>
      </c>
      <c r="AD25">
        <v>1</v>
      </c>
      <c r="AE25">
        <v>0</v>
      </c>
      <c r="AF25" t="s">
        <v>3</v>
      </c>
      <c r="AG25">
        <v>60</v>
      </c>
      <c r="AH25">
        <v>2</v>
      </c>
      <c r="AI25">
        <v>37181278</v>
      </c>
      <c r="AJ25">
        <v>25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</row>
    <row r="26" spans="1:44">
      <c r="A26">
        <f>ROW(Source!A74)</f>
        <v>74</v>
      </c>
      <c r="B26">
        <v>37181279</v>
      </c>
      <c r="C26">
        <v>36513381</v>
      </c>
      <c r="D26">
        <v>29109781</v>
      </c>
      <c r="E26">
        <v>1</v>
      </c>
      <c r="F26">
        <v>1</v>
      </c>
      <c r="G26">
        <v>1</v>
      </c>
      <c r="H26">
        <v>3</v>
      </c>
      <c r="I26" t="s">
        <v>414</v>
      </c>
      <c r="J26" t="s">
        <v>415</v>
      </c>
      <c r="K26" t="s">
        <v>416</v>
      </c>
      <c r="L26">
        <v>1346</v>
      </c>
      <c r="N26">
        <v>1009</v>
      </c>
      <c r="O26" t="s">
        <v>151</v>
      </c>
      <c r="P26" t="s">
        <v>151</v>
      </c>
      <c r="Q26">
        <v>1</v>
      </c>
      <c r="X26">
        <v>4</v>
      </c>
      <c r="Y26">
        <v>11.12</v>
      </c>
      <c r="Z26">
        <v>0</v>
      </c>
      <c r="AA26">
        <v>0</v>
      </c>
      <c r="AB26">
        <v>0</v>
      </c>
      <c r="AC26">
        <v>0</v>
      </c>
      <c r="AD26">
        <v>1</v>
      </c>
      <c r="AE26">
        <v>0</v>
      </c>
      <c r="AF26" t="s">
        <v>3</v>
      </c>
      <c r="AG26">
        <v>4</v>
      </c>
      <c r="AH26">
        <v>2</v>
      </c>
      <c r="AI26">
        <v>37181279</v>
      </c>
      <c r="AJ26">
        <v>26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</row>
    <row r="27" spans="1:44">
      <c r="A27">
        <f>ROW(Source!A74)</f>
        <v>74</v>
      </c>
      <c r="B27">
        <v>37181280</v>
      </c>
      <c r="C27">
        <v>36513381</v>
      </c>
      <c r="D27">
        <v>29109782</v>
      </c>
      <c r="E27">
        <v>1</v>
      </c>
      <c r="F27">
        <v>1</v>
      </c>
      <c r="G27">
        <v>1</v>
      </c>
      <c r="H27">
        <v>3</v>
      </c>
      <c r="I27" t="s">
        <v>417</v>
      </c>
      <c r="J27" t="s">
        <v>418</v>
      </c>
      <c r="K27" t="s">
        <v>419</v>
      </c>
      <c r="L27">
        <v>1346</v>
      </c>
      <c r="N27">
        <v>1009</v>
      </c>
      <c r="O27" t="s">
        <v>151</v>
      </c>
      <c r="P27" t="s">
        <v>151</v>
      </c>
      <c r="Q27">
        <v>1</v>
      </c>
      <c r="X27">
        <v>37</v>
      </c>
      <c r="Y27">
        <v>4.3600000000000003</v>
      </c>
      <c r="Z27">
        <v>0</v>
      </c>
      <c r="AA27">
        <v>0</v>
      </c>
      <c r="AB27">
        <v>0</v>
      </c>
      <c r="AC27">
        <v>0</v>
      </c>
      <c r="AD27">
        <v>1</v>
      </c>
      <c r="AE27">
        <v>0</v>
      </c>
      <c r="AF27" t="s">
        <v>3</v>
      </c>
      <c r="AG27">
        <v>37</v>
      </c>
      <c r="AH27">
        <v>2</v>
      </c>
      <c r="AI27">
        <v>37181280</v>
      </c>
      <c r="AJ27">
        <v>27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</row>
    <row r="28" spans="1:44">
      <c r="A28">
        <f>ROW(Source!A74)</f>
        <v>74</v>
      </c>
      <c r="B28">
        <v>37181281</v>
      </c>
      <c r="C28">
        <v>36513381</v>
      </c>
      <c r="D28">
        <v>29110699</v>
      </c>
      <c r="E28">
        <v>1</v>
      </c>
      <c r="F28">
        <v>1</v>
      </c>
      <c r="G28">
        <v>1</v>
      </c>
      <c r="H28">
        <v>3</v>
      </c>
      <c r="I28" t="s">
        <v>420</v>
      </c>
      <c r="J28" t="s">
        <v>421</v>
      </c>
      <c r="K28" t="s">
        <v>422</v>
      </c>
      <c r="L28">
        <v>1301</v>
      </c>
      <c r="N28">
        <v>1003</v>
      </c>
      <c r="O28" t="s">
        <v>238</v>
      </c>
      <c r="P28" t="s">
        <v>238</v>
      </c>
      <c r="Q28">
        <v>1</v>
      </c>
      <c r="X28">
        <v>83</v>
      </c>
      <c r="Y28">
        <v>0.17</v>
      </c>
      <c r="Z28">
        <v>0</v>
      </c>
      <c r="AA28">
        <v>0</v>
      </c>
      <c r="AB28">
        <v>0</v>
      </c>
      <c r="AC28">
        <v>0</v>
      </c>
      <c r="AD28">
        <v>1</v>
      </c>
      <c r="AE28">
        <v>0</v>
      </c>
      <c r="AF28" t="s">
        <v>3</v>
      </c>
      <c r="AG28">
        <v>83</v>
      </c>
      <c r="AH28">
        <v>2</v>
      </c>
      <c r="AI28">
        <v>37181281</v>
      </c>
      <c r="AJ28">
        <v>28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</row>
    <row r="29" spans="1:44">
      <c r="A29">
        <f>ROW(Source!A74)</f>
        <v>74</v>
      </c>
      <c r="B29">
        <v>37181282</v>
      </c>
      <c r="C29">
        <v>36513381</v>
      </c>
      <c r="D29">
        <v>29110797</v>
      </c>
      <c r="E29">
        <v>1</v>
      </c>
      <c r="F29">
        <v>1</v>
      </c>
      <c r="G29">
        <v>1</v>
      </c>
      <c r="H29">
        <v>3</v>
      </c>
      <c r="I29" t="s">
        <v>423</v>
      </c>
      <c r="J29" t="s">
        <v>424</v>
      </c>
      <c r="K29" t="s">
        <v>425</v>
      </c>
      <c r="L29">
        <v>1308</v>
      </c>
      <c r="N29">
        <v>1003</v>
      </c>
      <c r="O29" t="s">
        <v>242</v>
      </c>
      <c r="P29" t="s">
        <v>242</v>
      </c>
      <c r="Q29">
        <v>100</v>
      </c>
      <c r="X29">
        <v>0.82</v>
      </c>
      <c r="Y29">
        <v>174</v>
      </c>
      <c r="Z29">
        <v>0</v>
      </c>
      <c r="AA29">
        <v>0</v>
      </c>
      <c r="AB29">
        <v>0</v>
      </c>
      <c r="AC29">
        <v>0</v>
      </c>
      <c r="AD29">
        <v>1</v>
      </c>
      <c r="AE29">
        <v>0</v>
      </c>
      <c r="AF29" t="s">
        <v>3</v>
      </c>
      <c r="AG29">
        <v>0.82</v>
      </c>
      <c r="AH29">
        <v>2</v>
      </c>
      <c r="AI29">
        <v>37181282</v>
      </c>
      <c r="AJ29">
        <v>29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</row>
    <row r="30" spans="1:44">
      <c r="A30">
        <f>ROW(Source!A74)</f>
        <v>74</v>
      </c>
      <c r="B30">
        <v>37181283</v>
      </c>
      <c r="C30">
        <v>36513381</v>
      </c>
      <c r="D30">
        <v>29110815</v>
      </c>
      <c r="E30">
        <v>1</v>
      </c>
      <c r="F30">
        <v>1</v>
      </c>
      <c r="G30">
        <v>1</v>
      </c>
      <c r="H30">
        <v>3</v>
      </c>
      <c r="I30" t="s">
        <v>426</v>
      </c>
      <c r="J30" t="s">
        <v>427</v>
      </c>
      <c r="K30" t="s">
        <v>428</v>
      </c>
      <c r="L30">
        <v>1301</v>
      </c>
      <c r="N30">
        <v>1003</v>
      </c>
      <c r="O30" t="s">
        <v>238</v>
      </c>
      <c r="P30" t="s">
        <v>238</v>
      </c>
      <c r="Q30">
        <v>1</v>
      </c>
      <c r="X30">
        <v>116</v>
      </c>
      <c r="Y30">
        <v>0.85</v>
      </c>
      <c r="Z30">
        <v>0</v>
      </c>
      <c r="AA30">
        <v>0</v>
      </c>
      <c r="AB30">
        <v>0</v>
      </c>
      <c r="AC30">
        <v>0</v>
      </c>
      <c r="AD30">
        <v>1</v>
      </c>
      <c r="AE30">
        <v>0</v>
      </c>
      <c r="AF30" t="s">
        <v>3</v>
      </c>
      <c r="AG30">
        <v>116</v>
      </c>
      <c r="AH30">
        <v>2</v>
      </c>
      <c r="AI30">
        <v>37181283</v>
      </c>
      <c r="AJ30">
        <v>30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</row>
    <row r="31" spans="1:44">
      <c r="A31">
        <f>ROW(Source!A74)</f>
        <v>74</v>
      </c>
      <c r="B31">
        <v>37181284</v>
      </c>
      <c r="C31">
        <v>36513381</v>
      </c>
      <c r="D31">
        <v>29111455</v>
      </c>
      <c r="E31">
        <v>1</v>
      </c>
      <c r="F31">
        <v>1</v>
      </c>
      <c r="G31">
        <v>1</v>
      </c>
      <c r="H31">
        <v>3</v>
      </c>
      <c r="I31" t="s">
        <v>429</v>
      </c>
      <c r="J31" t="s">
        <v>430</v>
      </c>
      <c r="K31" t="s">
        <v>431</v>
      </c>
      <c r="L31">
        <v>1327</v>
      </c>
      <c r="N31">
        <v>1005</v>
      </c>
      <c r="O31" t="s">
        <v>129</v>
      </c>
      <c r="P31" t="s">
        <v>129</v>
      </c>
      <c r="Q31">
        <v>1</v>
      </c>
      <c r="X31">
        <v>107</v>
      </c>
      <c r="Y31">
        <v>15.06</v>
      </c>
      <c r="Z31">
        <v>0</v>
      </c>
      <c r="AA31">
        <v>0</v>
      </c>
      <c r="AB31">
        <v>0</v>
      </c>
      <c r="AC31">
        <v>0</v>
      </c>
      <c r="AD31">
        <v>1</v>
      </c>
      <c r="AE31">
        <v>0</v>
      </c>
      <c r="AF31" t="s">
        <v>3</v>
      </c>
      <c r="AG31">
        <v>107</v>
      </c>
      <c r="AH31">
        <v>2</v>
      </c>
      <c r="AI31">
        <v>37181284</v>
      </c>
      <c r="AJ31">
        <v>31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</row>
    <row r="32" spans="1:44">
      <c r="A32">
        <f>ROW(Source!A74)</f>
        <v>74</v>
      </c>
      <c r="B32">
        <v>37181285</v>
      </c>
      <c r="C32">
        <v>36513381</v>
      </c>
      <c r="D32">
        <v>29114733</v>
      </c>
      <c r="E32">
        <v>1</v>
      </c>
      <c r="F32">
        <v>1</v>
      </c>
      <c r="G32">
        <v>1</v>
      </c>
      <c r="H32">
        <v>3</v>
      </c>
      <c r="I32" t="s">
        <v>432</v>
      </c>
      <c r="J32" t="s">
        <v>433</v>
      </c>
      <c r="K32" t="s">
        <v>434</v>
      </c>
      <c r="L32">
        <v>1355</v>
      </c>
      <c r="N32">
        <v>1010</v>
      </c>
      <c r="O32" t="s">
        <v>46</v>
      </c>
      <c r="P32" t="s">
        <v>46</v>
      </c>
      <c r="Q32">
        <v>100</v>
      </c>
      <c r="X32">
        <v>18.55</v>
      </c>
      <c r="Y32">
        <v>2</v>
      </c>
      <c r="Z32">
        <v>0</v>
      </c>
      <c r="AA32">
        <v>0</v>
      </c>
      <c r="AB32">
        <v>0</v>
      </c>
      <c r="AC32">
        <v>0</v>
      </c>
      <c r="AD32">
        <v>1</v>
      </c>
      <c r="AE32">
        <v>0</v>
      </c>
      <c r="AF32" t="s">
        <v>3</v>
      </c>
      <c r="AG32">
        <v>18.55</v>
      </c>
      <c r="AH32">
        <v>2</v>
      </c>
      <c r="AI32">
        <v>37181285</v>
      </c>
      <c r="AJ32">
        <v>32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</row>
    <row r="33" spans="1:44">
      <c r="A33">
        <f>ROW(Source!A74)</f>
        <v>74</v>
      </c>
      <c r="B33">
        <v>37181286</v>
      </c>
      <c r="C33">
        <v>36513381</v>
      </c>
      <c r="D33">
        <v>29114482</v>
      </c>
      <c r="E33">
        <v>1</v>
      </c>
      <c r="F33">
        <v>1</v>
      </c>
      <c r="G33">
        <v>1</v>
      </c>
      <c r="H33">
        <v>3</v>
      </c>
      <c r="I33" t="s">
        <v>435</v>
      </c>
      <c r="J33" t="s">
        <v>436</v>
      </c>
      <c r="K33" t="s">
        <v>437</v>
      </c>
      <c r="L33">
        <v>1355</v>
      </c>
      <c r="N33">
        <v>1010</v>
      </c>
      <c r="O33" t="s">
        <v>46</v>
      </c>
      <c r="P33" t="s">
        <v>46</v>
      </c>
      <c r="Q33">
        <v>100</v>
      </c>
      <c r="X33">
        <v>1.53</v>
      </c>
      <c r="Y33">
        <v>7</v>
      </c>
      <c r="Z33">
        <v>0</v>
      </c>
      <c r="AA33">
        <v>0</v>
      </c>
      <c r="AB33">
        <v>0</v>
      </c>
      <c r="AC33">
        <v>0</v>
      </c>
      <c r="AD33">
        <v>1</v>
      </c>
      <c r="AE33">
        <v>0</v>
      </c>
      <c r="AF33" t="s">
        <v>3</v>
      </c>
      <c r="AG33">
        <v>1.53</v>
      </c>
      <c r="AH33">
        <v>2</v>
      </c>
      <c r="AI33">
        <v>37181286</v>
      </c>
      <c r="AJ33">
        <v>33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</row>
    <row r="34" spans="1:44">
      <c r="A34">
        <f>ROW(Source!A74)</f>
        <v>74</v>
      </c>
      <c r="B34">
        <v>37181287</v>
      </c>
      <c r="C34">
        <v>36513381</v>
      </c>
      <c r="D34">
        <v>29129584</v>
      </c>
      <c r="E34">
        <v>1</v>
      </c>
      <c r="F34">
        <v>1</v>
      </c>
      <c r="G34">
        <v>1</v>
      </c>
      <c r="H34">
        <v>3</v>
      </c>
      <c r="I34" t="s">
        <v>438</v>
      </c>
      <c r="J34" t="s">
        <v>439</v>
      </c>
      <c r="K34" t="s">
        <v>440</v>
      </c>
      <c r="L34">
        <v>1301</v>
      </c>
      <c r="N34">
        <v>1003</v>
      </c>
      <c r="O34" t="s">
        <v>238</v>
      </c>
      <c r="P34" t="s">
        <v>238</v>
      </c>
      <c r="Q34">
        <v>1</v>
      </c>
      <c r="X34">
        <v>121</v>
      </c>
      <c r="Y34">
        <v>7.22</v>
      </c>
      <c r="Z34">
        <v>0</v>
      </c>
      <c r="AA34">
        <v>0</v>
      </c>
      <c r="AB34">
        <v>0</v>
      </c>
      <c r="AC34">
        <v>0</v>
      </c>
      <c r="AD34">
        <v>1</v>
      </c>
      <c r="AE34">
        <v>0</v>
      </c>
      <c r="AF34" t="s">
        <v>3</v>
      </c>
      <c r="AG34">
        <v>121</v>
      </c>
      <c r="AH34">
        <v>2</v>
      </c>
      <c r="AI34">
        <v>37181287</v>
      </c>
      <c r="AJ34">
        <v>34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</row>
    <row r="35" spans="1:44">
      <c r="A35">
        <f>ROW(Source!A74)</f>
        <v>74</v>
      </c>
      <c r="B35">
        <v>37181288</v>
      </c>
      <c r="C35">
        <v>36513381</v>
      </c>
      <c r="D35">
        <v>29129619</v>
      </c>
      <c r="E35">
        <v>1</v>
      </c>
      <c r="F35">
        <v>1</v>
      </c>
      <c r="G35">
        <v>1</v>
      </c>
      <c r="H35">
        <v>3</v>
      </c>
      <c r="I35" t="s">
        <v>441</v>
      </c>
      <c r="J35" t="s">
        <v>442</v>
      </c>
      <c r="K35" t="s">
        <v>443</v>
      </c>
      <c r="L35">
        <v>1301</v>
      </c>
      <c r="N35">
        <v>1003</v>
      </c>
      <c r="O35" t="s">
        <v>238</v>
      </c>
      <c r="P35" t="s">
        <v>238</v>
      </c>
      <c r="Q35">
        <v>1</v>
      </c>
      <c r="X35">
        <v>225</v>
      </c>
      <c r="Y35">
        <v>8.44</v>
      </c>
      <c r="Z35">
        <v>0</v>
      </c>
      <c r="AA35">
        <v>0</v>
      </c>
      <c r="AB35">
        <v>0</v>
      </c>
      <c r="AC35">
        <v>0</v>
      </c>
      <c r="AD35">
        <v>1</v>
      </c>
      <c r="AE35">
        <v>0</v>
      </c>
      <c r="AF35" t="s">
        <v>3</v>
      </c>
      <c r="AG35">
        <v>225</v>
      </c>
      <c r="AH35">
        <v>2</v>
      </c>
      <c r="AI35">
        <v>37181288</v>
      </c>
      <c r="AJ35">
        <v>35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</row>
    <row r="36" spans="1:44">
      <c r="A36">
        <f>ROW(Source!A74)</f>
        <v>74</v>
      </c>
      <c r="B36">
        <v>37181289</v>
      </c>
      <c r="C36">
        <v>36513381</v>
      </c>
      <c r="D36">
        <v>29129634</v>
      </c>
      <c r="E36">
        <v>1</v>
      </c>
      <c r="F36">
        <v>1</v>
      </c>
      <c r="G36">
        <v>1</v>
      </c>
      <c r="H36">
        <v>3</v>
      </c>
      <c r="I36" t="s">
        <v>444</v>
      </c>
      <c r="J36" t="s">
        <v>445</v>
      </c>
      <c r="K36" t="s">
        <v>446</v>
      </c>
      <c r="L36">
        <v>1301</v>
      </c>
      <c r="N36">
        <v>1003</v>
      </c>
      <c r="O36" t="s">
        <v>238</v>
      </c>
      <c r="P36" t="s">
        <v>238</v>
      </c>
      <c r="Q36">
        <v>1</v>
      </c>
      <c r="X36">
        <v>46</v>
      </c>
      <c r="Y36">
        <v>3.32</v>
      </c>
      <c r="Z36">
        <v>0</v>
      </c>
      <c r="AA36">
        <v>0</v>
      </c>
      <c r="AB36">
        <v>0</v>
      </c>
      <c r="AC36">
        <v>0</v>
      </c>
      <c r="AD36">
        <v>1</v>
      </c>
      <c r="AE36">
        <v>0</v>
      </c>
      <c r="AF36" t="s">
        <v>3</v>
      </c>
      <c r="AG36">
        <v>46</v>
      </c>
      <c r="AH36">
        <v>2</v>
      </c>
      <c r="AI36">
        <v>37181289</v>
      </c>
      <c r="AJ36">
        <v>36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</row>
    <row r="37" spans="1:44">
      <c r="A37">
        <f>ROW(Source!A74)</f>
        <v>74</v>
      </c>
      <c r="B37">
        <v>37181290</v>
      </c>
      <c r="C37">
        <v>36513381</v>
      </c>
      <c r="D37">
        <v>29150040</v>
      </c>
      <c r="E37">
        <v>1</v>
      </c>
      <c r="F37">
        <v>1</v>
      </c>
      <c r="G37">
        <v>1</v>
      </c>
      <c r="H37">
        <v>3</v>
      </c>
      <c r="I37" t="s">
        <v>390</v>
      </c>
      <c r="J37" t="s">
        <v>391</v>
      </c>
      <c r="K37" t="s">
        <v>392</v>
      </c>
      <c r="L37">
        <v>1339</v>
      </c>
      <c r="N37">
        <v>1007</v>
      </c>
      <c r="O37" t="s">
        <v>393</v>
      </c>
      <c r="P37" t="s">
        <v>393</v>
      </c>
      <c r="Q37">
        <v>1</v>
      </c>
      <c r="X37">
        <v>3.2000000000000001E-2</v>
      </c>
      <c r="Y37">
        <v>2.44</v>
      </c>
      <c r="Z37">
        <v>0</v>
      </c>
      <c r="AA37">
        <v>0</v>
      </c>
      <c r="AB37">
        <v>0</v>
      </c>
      <c r="AC37">
        <v>0</v>
      </c>
      <c r="AD37">
        <v>1</v>
      </c>
      <c r="AE37">
        <v>0</v>
      </c>
      <c r="AF37" t="s">
        <v>3</v>
      </c>
      <c r="AG37">
        <v>3.2000000000000001E-2</v>
      </c>
      <c r="AH37">
        <v>2</v>
      </c>
      <c r="AI37">
        <v>37181290</v>
      </c>
      <c r="AJ37">
        <v>37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</row>
    <row r="38" spans="1:44">
      <c r="A38">
        <f>ROW(Source!A75)</f>
        <v>75</v>
      </c>
      <c r="B38">
        <v>36513402</v>
      </c>
      <c r="C38">
        <v>36513401</v>
      </c>
      <c r="D38">
        <v>31427434</v>
      </c>
      <c r="E38">
        <v>1</v>
      </c>
      <c r="F38">
        <v>1</v>
      </c>
      <c r="G38">
        <v>1</v>
      </c>
      <c r="H38">
        <v>1</v>
      </c>
      <c r="I38" t="s">
        <v>447</v>
      </c>
      <c r="J38" t="s">
        <v>3</v>
      </c>
      <c r="K38" t="s">
        <v>448</v>
      </c>
      <c r="L38">
        <v>1369</v>
      </c>
      <c r="N38">
        <v>1013</v>
      </c>
      <c r="O38" t="s">
        <v>361</v>
      </c>
      <c r="P38" t="s">
        <v>361</v>
      </c>
      <c r="Q38">
        <v>1</v>
      </c>
      <c r="X38">
        <v>22.89</v>
      </c>
      <c r="Y38">
        <v>0</v>
      </c>
      <c r="Z38">
        <v>0</v>
      </c>
      <c r="AA38">
        <v>0</v>
      </c>
      <c r="AB38">
        <v>289.27999999999997</v>
      </c>
      <c r="AC38">
        <v>0</v>
      </c>
      <c r="AD38">
        <v>1</v>
      </c>
      <c r="AE38">
        <v>1</v>
      </c>
      <c r="AF38" t="s">
        <v>114</v>
      </c>
      <c r="AG38">
        <v>26.323499999999999</v>
      </c>
      <c r="AH38">
        <v>2</v>
      </c>
      <c r="AI38">
        <v>36513402</v>
      </c>
      <c r="AJ38">
        <v>38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</row>
    <row r="39" spans="1:44">
      <c r="A39">
        <f>ROW(Source!A75)</f>
        <v>75</v>
      </c>
      <c r="B39">
        <v>36513403</v>
      </c>
      <c r="C39">
        <v>36513401</v>
      </c>
      <c r="D39">
        <v>121548</v>
      </c>
      <c r="E39">
        <v>1</v>
      </c>
      <c r="F39">
        <v>1</v>
      </c>
      <c r="G39">
        <v>1</v>
      </c>
      <c r="H39">
        <v>1</v>
      </c>
      <c r="I39" t="s">
        <v>213</v>
      </c>
      <c r="J39" t="s">
        <v>3</v>
      </c>
      <c r="K39" t="s">
        <v>362</v>
      </c>
      <c r="L39">
        <v>608254</v>
      </c>
      <c r="N39">
        <v>1013</v>
      </c>
      <c r="O39" t="s">
        <v>363</v>
      </c>
      <c r="P39" t="s">
        <v>363</v>
      </c>
      <c r="Q39">
        <v>1</v>
      </c>
      <c r="X39">
        <v>0.12</v>
      </c>
      <c r="Y39">
        <v>0</v>
      </c>
      <c r="Z39">
        <v>0</v>
      </c>
      <c r="AA39">
        <v>0</v>
      </c>
      <c r="AB39">
        <v>0</v>
      </c>
      <c r="AC39">
        <v>0</v>
      </c>
      <c r="AD39">
        <v>1</v>
      </c>
      <c r="AE39">
        <v>2</v>
      </c>
      <c r="AF39" t="s">
        <v>3</v>
      </c>
      <c r="AG39">
        <v>0.12</v>
      </c>
      <c r="AH39">
        <v>2</v>
      </c>
      <c r="AI39">
        <v>36513403</v>
      </c>
      <c r="AJ39">
        <v>39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</row>
    <row r="40" spans="1:44">
      <c r="A40">
        <f>ROW(Source!A75)</f>
        <v>75</v>
      </c>
      <c r="B40">
        <v>36513404</v>
      </c>
      <c r="C40">
        <v>36513401</v>
      </c>
      <c r="D40">
        <v>35554695</v>
      </c>
      <c r="E40">
        <v>1</v>
      </c>
      <c r="F40">
        <v>1</v>
      </c>
      <c r="G40">
        <v>1</v>
      </c>
      <c r="H40">
        <v>2</v>
      </c>
      <c r="I40" t="s">
        <v>449</v>
      </c>
      <c r="J40" t="s">
        <v>450</v>
      </c>
      <c r="K40" t="s">
        <v>451</v>
      </c>
      <c r="L40">
        <v>1368</v>
      </c>
      <c r="N40">
        <v>1011</v>
      </c>
      <c r="O40" t="s">
        <v>367</v>
      </c>
      <c r="P40" t="s">
        <v>367</v>
      </c>
      <c r="Q40">
        <v>1</v>
      </c>
      <c r="X40">
        <v>0.12</v>
      </c>
      <c r="Y40">
        <v>0</v>
      </c>
      <c r="Z40">
        <v>112</v>
      </c>
      <c r="AA40">
        <v>13.5</v>
      </c>
      <c r="AB40">
        <v>0</v>
      </c>
      <c r="AC40">
        <v>0</v>
      </c>
      <c r="AD40">
        <v>1</v>
      </c>
      <c r="AE40">
        <v>0</v>
      </c>
      <c r="AF40" t="s">
        <v>3</v>
      </c>
      <c r="AG40">
        <v>0.12</v>
      </c>
      <c r="AH40">
        <v>2</v>
      </c>
      <c r="AI40">
        <v>36513404</v>
      </c>
      <c r="AJ40">
        <v>40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</row>
    <row r="41" spans="1:44">
      <c r="A41">
        <f>ROW(Source!A75)</f>
        <v>75</v>
      </c>
      <c r="B41">
        <v>36513405</v>
      </c>
      <c r="C41">
        <v>36513401</v>
      </c>
      <c r="D41">
        <v>35555088</v>
      </c>
      <c r="E41">
        <v>1</v>
      </c>
      <c r="F41">
        <v>1</v>
      </c>
      <c r="G41">
        <v>1</v>
      </c>
      <c r="H41">
        <v>2</v>
      </c>
      <c r="I41" t="s">
        <v>381</v>
      </c>
      <c r="J41" t="s">
        <v>452</v>
      </c>
      <c r="K41" t="s">
        <v>383</v>
      </c>
      <c r="L41">
        <v>1368</v>
      </c>
      <c r="N41">
        <v>1011</v>
      </c>
      <c r="O41" t="s">
        <v>367</v>
      </c>
      <c r="P41" t="s">
        <v>367</v>
      </c>
      <c r="Q41">
        <v>1</v>
      </c>
      <c r="X41">
        <v>0.19</v>
      </c>
      <c r="Y41">
        <v>0</v>
      </c>
      <c r="Z41">
        <v>87.17</v>
      </c>
      <c r="AA41">
        <v>11.6</v>
      </c>
      <c r="AB41">
        <v>0</v>
      </c>
      <c r="AC41">
        <v>0</v>
      </c>
      <c r="AD41">
        <v>1</v>
      </c>
      <c r="AE41">
        <v>0</v>
      </c>
      <c r="AF41" t="s">
        <v>3</v>
      </c>
      <c r="AG41">
        <v>0.19</v>
      </c>
      <c r="AH41">
        <v>2</v>
      </c>
      <c r="AI41">
        <v>36513405</v>
      </c>
      <c r="AJ41">
        <v>41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</row>
    <row r="42" spans="1:44">
      <c r="A42">
        <f>ROW(Source!A75)</f>
        <v>75</v>
      </c>
      <c r="B42">
        <v>36513406</v>
      </c>
      <c r="C42">
        <v>36513401</v>
      </c>
      <c r="D42">
        <v>35552878</v>
      </c>
      <c r="E42">
        <v>1</v>
      </c>
      <c r="F42">
        <v>1</v>
      </c>
      <c r="G42">
        <v>1</v>
      </c>
      <c r="H42">
        <v>3</v>
      </c>
      <c r="I42" t="s">
        <v>453</v>
      </c>
      <c r="J42" t="s">
        <v>454</v>
      </c>
      <c r="K42" t="s">
        <v>455</v>
      </c>
      <c r="L42">
        <v>1348</v>
      </c>
      <c r="N42">
        <v>1009</v>
      </c>
      <c r="O42" t="s">
        <v>41</v>
      </c>
      <c r="P42" t="s">
        <v>41</v>
      </c>
      <c r="Q42">
        <v>1000</v>
      </c>
      <c r="X42">
        <v>5.1999999999999998E-2</v>
      </c>
      <c r="Y42">
        <v>24552.99</v>
      </c>
      <c r="Z42">
        <v>0</v>
      </c>
      <c r="AA42">
        <v>0</v>
      </c>
      <c r="AB42">
        <v>0</v>
      </c>
      <c r="AC42">
        <v>0</v>
      </c>
      <c r="AD42">
        <v>1</v>
      </c>
      <c r="AE42">
        <v>0</v>
      </c>
      <c r="AF42" t="s">
        <v>3</v>
      </c>
      <c r="AG42">
        <v>5.1999999999999998E-2</v>
      </c>
      <c r="AH42">
        <v>2</v>
      </c>
      <c r="AI42">
        <v>36513406</v>
      </c>
      <c r="AJ42">
        <v>42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</row>
    <row r="43" spans="1:44">
      <c r="A43">
        <f>ROW(Source!A75)</f>
        <v>75</v>
      </c>
      <c r="B43">
        <v>36513407</v>
      </c>
      <c r="C43">
        <v>36513401</v>
      </c>
      <c r="D43">
        <v>35554076</v>
      </c>
      <c r="E43">
        <v>1</v>
      </c>
      <c r="F43">
        <v>1</v>
      </c>
      <c r="G43">
        <v>1</v>
      </c>
      <c r="H43">
        <v>3</v>
      </c>
      <c r="I43" t="s">
        <v>591</v>
      </c>
      <c r="J43" t="s">
        <v>592</v>
      </c>
      <c r="K43" t="s">
        <v>593</v>
      </c>
      <c r="L43">
        <v>1339</v>
      </c>
      <c r="N43">
        <v>1007</v>
      </c>
      <c r="O43" t="s">
        <v>393</v>
      </c>
      <c r="P43" t="s">
        <v>393</v>
      </c>
      <c r="Q43">
        <v>1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0</v>
      </c>
      <c r="AE43">
        <v>0</v>
      </c>
      <c r="AF43" t="s">
        <v>3</v>
      </c>
      <c r="AG43">
        <v>0</v>
      </c>
      <c r="AH43">
        <v>3</v>
      </c>
      <c r="AI43">
        <v>-1</v>
      </c>
      <c r="AJ43" t="s">
        <v>3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</row>
    <row r="44" spans="1:44">
      <c r="A44">
        <f>ROW(Source!A77)</f>
        <v>77</v>
      </c>
      <c r="B44">
        <v>37378932</v>
      </c>
      <c r="C44">
        <v>37378931</v>
      </c>
      <c r="D44">
        <v>18410171</v>
      </c>
      <c r="E44">
        <v>1</v>
      </c>
      <c r="F44">
        <v>1</v>
      </c>
      <c r="G44">
        <v>1</v>
      </c>
      <c r="H44">
        <v>1</v>
      </c>
      <c r="I44" t="s">
        <v>456</v>
      </c>
      <c r="J44" t="s">
        <v>3</v>
      </c>
      <c r="K44" t="s">
        <v>457</v>
      </c>
      <c r="L44">
        <v>1369</v>
      </c>
      <c r="N44">
        <v>1013</v>
      </c>
      <c r="O44" t="s">
        <v>361</v>
      </c>
      <c r="P44" t="s">
        <v>361</v>
      </c>
      <c r="Q44">
        <v>1</v>
      </c>
      <c r="X44">
        <v>25.41</v>
      </c>
      <c r="Y44">
        <v>0</v>
      </c>
      <c r="Z44">
        <v>0</v>
      </c>
      <c r="AA44">
        <v>0</v>
      </c>
      <c r="AB44">
        <v>297.67</v>
      </c>
      <c r="AC44">
        <v>0</v>
      </c>
      <c r="AD44">
        <v>1</v>
      </c>
      <c r="AE44">
        <v>1</v>
      </c>
      <c r="AF44" t="s">
        <v>114</v>
      </c>
      <c r="AG44">
        <v>29.221499999999999</v>
      </c>
      <c r="AH44">
        <v>2</v>
      </c>
      <c r="AI44">
        <v>37378932</v>
      </c>
      <c r="AJ44">
        <v>43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</row>
    <row r="45" spans="1:44">
      <c r="A45">
        <f>ROW(Source!A77)</f>
        <v>77</v>
      </c>
      <c r="B45">
        <v>37378933</v>
      </c>
      <c r="C45">
        <v>37378931</v>
      </c>
      <c r="D45">
        <v>121548</v>
      </c>
      <c r="E45">
        <v>1</v>
      </c>
      <c r="F45">
        <v>1</v>
      </c>
      <c r="G45">
        <v>1</v>
      </c>
      <c r="H45">
        <v>1</v>
      </c>
      <c r="I45" t="s">
        <v>213</v>
      </c>
      <c r="J45" t="s">
        <v>3</v>
      </c>
      <c r="K45" t="s">
        <v>362</v>
      </c>
      <c r="L45">
        <v>608254</v>
      </c>
      <c r="N45">
        <v>1013</v>
      </c>
      <c r="O45" t="s">
        <v>363</v>
      </c>
      <c r="P45" t="s">
        <v>363</v>
      </c>
      <c r="Q45">
        <v>1</v>
      </c>
      <c r="X45">
        <v>0.01</v>
      </c>
      <c r="Y45">
        <v>0</v>
      </c>
      <c r="Z45">
        <v>0</v>
      </c>
      <c r="AA45">
        <v>0</v>
      </c>
      <c r="AB45">
        <v>0</v>
      </c>
      <c r="AC45">
        <v>0</v>
      </c>
      <c r="AD45">
        <v>1</v>
      </c>
      <c r="AE45">
        <v>2</v>
      </c>
      <c r="AF45" t="s">
        <v>139</v>
      </c>
      <c r="AG45">
        <v>1.2500000000000001E-2</v>
      </c>
      <c r="AH45">
        <v>2</v>
      </c>
      <c r="AI45">
        <v>37378933</v>
      </c>
      <c r="AJ45">
        <v>44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</row>
    <row r="46" spans="1:44">
      <c r="A46">
        <f>ROW(Source!A77)</f>
        <v>77</v>
      </c>
      <c r="B46">
        <v>37378934</v>
      </c>
      <c r="C46">
        <v>37378931</v>
      </c>
      <c r="D46">
        <v>29172556</v>
      </c>
      <c r="E46">
        <v>1</v>
      </c>
      <c r="F46">
        <v>1</v>
      </c>
      <c r="G46">
        <v>1</v>
      </c>
      <c r="H46">
        <v>2</v>
      </c>
      <c r="I46" t="s">
        <v>364</v>
      </c>
      <c r="J46" t="s">
        <v>365</v>
      </c>
      <c r="K46" t="s">
        <v>366</v>
      </c>
      <c r="L46">
        <v>1368</v>
      </c>
      <c r="N46">
        <v>1011</v>
      </c>
      <c r="O46" t="s">
        <v>367</v>
      </c>
      <c r="P46" t="s">
        <v>367</v>
      </c>
      <c r="Q46">
        <v>1</v>
      </c>
      <c r="X46">
        <v>0.01</v>
      </c>
      <c r="Y46">
        <v>0</v>
      </c>
      <c r="Z46">
        <v>31.26</v>
      </c>
      <c r="AA46">
        <v>13.5</v>
      </c>
      <c r="AB46">
        <v>0</v>
      </c>
      <c r="AC46">
        <v>0</v>
      </c>
      <c r="AD46">
        <v>1</v>
      </c>
      <c r="AE46">
        <v>0</v>
      </c>
      <c r="AF46" t="s">
        <v>139</v>
      </c>
      <c r="AG46">
        <v>1.2500000000000001E-2</v>
      </c>
      <c r="AH46">
        <v>2</v>
      </c>
      <c r="AI46">
        <v>37378934</v>
      </c>
      <c r="AJ46">
        <v>45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</row>
    <row r="47" spans="1:44">
      <c r="A47">
        <f>ROW(Source!A77)</f>
        <v>77</v>
      </c>
      <c r="B47">
        <v>37378935</v>
      </c>
      <c r="C47">
        <v>37378931</v>
      </c>
      <c r="D47">
        <v>29174913</v>
      </c>
      <c r="E47">
        <v>1</v>
      </c>
      <c r="F47">
        <v>1</v>
      </c>
      <c r="G47">
        <v>1</v>
      </c>
      <c r="H47">
        <v>2</v>
      </c>
      <c r="I47" t="s">
        <v>381</v>
      </c>
      <c r="J47" t="s">
        <v>382</v>
      </c>
      <c r="K47" t="s">
        <v>383</v>
      </c>
      <c r="L47">
        <v>1368</v>
      </c>
      <c r="N47">
        <v>1011</v>
      </c>
      <c r="O47" t="s">
        <v>367</v>
      </c>
      <c r="P47" t="s">
        <v>367</v>
      </c>
      <c r="Q47">
        <v>1</v>
      </c>
      <c r="X47">
        <v>0.1</v>
      </c>
      <c r="Y47">
        <v>0</v>
      </c>
      <c r="Z47">
        <v>87.17</v>
      </c>
      <c r="AA47">
        <v>11.6</v>
      </c>
      <c r="AB47">
        <v>0</v>
      </c>
      <c r="AC47">
        <v>0</v>
      </c>
      <c r="AD47">
        <v>1</v>
      </c>
      <c r="AE47">
        <v>0</v>
      </c>
      <c r="AF47" t="s">
        <v>139</v>
      </c>
      <c r="AG47">
        <v>0.125</v>
      </c>
      <c r="AH47">
        <v>2</v>
      </c>
      <c r="AI47">
        <v>37378935</v>
      </c>
      <c r="AJ47">
        <v>46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</row>
    <row r="48" spans="1:44">
      <c r="A48">
        <f>ROW(Source!A77)</f>
        <v>77</v>
      </c>
      <c r="B48">
        <v>37378936</v>
      </c>
      <c r="C48">
        <v>37378931</v>
      </c>
      <c r="D48">
        <v>29107779</v>
      </c>
      <c r="E48">
        <v>1</v>
      </c>
      <c r="F48">
        <v>1</v>
      </c>
      <c r="G48">
        <v>1</v>
      </c>
      <c r="H48">
        <v>3</v>
      </c>
      <c r="I48" t="s">
        <v>458</v>
      </c>
      <c r="J48" t="s">
        <v>459</v>
      </c>
      <c r="K48" t="s">
        <v>460</v>
      </c>
      <c r="L48">
        <v>1327</v>
      </c>
      <c r="N48">
        <v>1005</v>
      </c>
      <c r="O48" t="s">
        <v>129</v>
      </c>
      <c r="P48" t="s">
        <v>129</v>
      </c>
      <c r="Q48">
        <v>1</v>
      </c>
      <c r="X48">
        <v>0.84</v>
      </c>
      <c r="Y48">
        <v>72.31</v>
      </c>
      <c r="Z48">
        <v>0</v>
      </c>
      <c r="AA48">
        <v>0</v>
      </c>
      <c r="AB48">
        <v>0</v>
      </c>
      <c r="AC48">
        <v>0</v>
      </c>
      <c r="AD48">
        <v>1</v>
      </c>
      <c r="AE48">
        <v>0</v>
      </c>
      <c r="AF48" t="s">
        <v>3</v>
      </c>
      <c r="AG48">
        <v>0.84</v>
      </c>
      <c r="AH48">
        <v>2</v>
      </c>
      <c r="AI48">
        <v>37378936</v>
      </c>
      <c r="AJ48">
        <v>47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</row>
    <row r="49" spans="1:44">
      <c r="A49">
        <f>ROW(Source!A77)</f>
        <v>77</v>
      </c>
      <c r="B49">
        <v>37378937</v>
      </c>
      <c r="C49">
        <v>37378931</v>
      </c>
      <c r="D49">
        <v>29109797</v>
      </c>
      <c r="E49">
        <v>1</v>
      </c>
      <c r="F49">
        <v>1</v>
      </c>
      <c r="G49">
        <v>1</v>
      </c>
      <c r="H49">
        <v>3</v>
      </c>
      <c r="I49" t="s">
        <v>461</v>
      </c>
      <c r="J49" t="s">
        <v>462</v>
      </c>
      <c r="K49" t="s">
        <v>463</v>
      </c>
      <c r="L49">
        <v>1348</v>
      </c>
      <c r="N49">
        <v>1009</v>
      </c>
      <c r="O49" t="s">
        <v>41</v>
      </c>
      <c r="P49" t="s">
        <v>41</v>
      </c>
      <c r="Q49">
        <v>1000</v>
      </c>
      <c r="X49">
        <v>5.0000000000000001E-3</v>
      </c>
      <c r="Y49">
        <v>4294.0200000000004</v>
      </c>
      <c r="Z49">
        <v>0</v>
      </c>
      <c r="AA49">
        <v>0</v>
      </c>
      <c r="AB49">
        <v>0</v>
      </c>
      <c r="AC49">
        <v>0</v>
      </c>
      <c r="AD49">
        <v>1</v>
      </c>
      <c r="AE49">
        <v>0</v>
      </c>
      <c r="AF49" t="s">
        <v>3</v>
      </c>
      <c r="AG49">
        <v>5.0000000000000001E-3</v>
      </c>
      <c r="AH49">
        <v>2</v>
      </c>
      <c r="AI49">
        <v>37378937</v>
      </c>
      <c r="AJ49">
        <v>48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</row>
    <row r="50" spans="1:44">
      <c r="A50">
        <f>ROW(Source!A77)</f>
        <v>77</v>
      </c>
      <c r="B50">
        <v>37378938</v>
      </c>
      <c r="C50">
        <v>37378931</v>
      </c>
      <c r="D50">
        <v>29107800</v>
      </c>
      <c r="E50">
        <v>1</v>
      </c>
      <c r="F50">
        <v>1</v>
      </c>
      <c r="G50">
        <v>1</v>
      </c>
      <c r="H50">
        <v>3</v>
      </c>
      <c r="I50" t="s">
        <v>384</v>
      </c>
      <c r="J50" t="s">
        <v>385</v>
      </c>
      <c r="K50" t="s">
        <v>386</v>
      </c>
      <c r="L50">
        <v>1346</v>
      </c>
      <c r="N50">
        <v>1009</v>
      </c>
      <c r="O50" t="s">
        <v>151</v>
      </c>
      <c r="P50" t="s">
        <v>151</v>
      </c>
      <c r="Q50">
        <v>1</v>
      </c>
      <c r="X50">
        <v>0.31</v>
      </c>
      <c r="Y50">
        <v>1.81</v>
      </c>
      <c r="Z50">
        <v>0</v>
      </c>
      <c r="AA50">
        <v>0</v>
      </c>
      <c r="AB50">
        <v>0</v>
      </c>
      <c r="AC50">
        <v>0</v>
      </c>
      <c r="AD50">
        <v>1</v>
      </c>
      <c r="AE50">
        <v>0</v>
      </c>
      <c r="AF50" t="s">
        <v>3</v>
      </c>
      <c r="AG50">
        <v>0.31</v>
      </c>
      <c r="AH50">
        <v>2</v>
      </c>
      <c r="AI50">
        <v>37378938</v>
      </c>
      <c r="AJ50">
        <v>49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</row>
    <row r="51" spans="1:44">
      <c r="A51">
        <f>ROW(Source!A77)</f>
        <v>77</v>
      </c>
      <c r="B51">
        <v>37378939</v>
      </c>
      <c r="C51">
        <v>37378931</v>
      </c>
      <c r="D51">
        <v>29110439</v>
      </c>
      <c r="E51">
        <v>1</v>
      </c>
      <c r="F51">
        <v>1</v>
      </c>
      <c r="G51">
        <v>1</v>
      </c>
      <c r="H51">
        <v>3</v>
      </c>
      <c r="I51" t="s">
        <v>464</v>
      </c>
      <c r="J51" t="s">
        <v>465</v>
      </c>
      <c r="K51" t="s">
        <v>466</v>
      </c>
      <c r="L51">
        <v>1348</v>
      </c>
      <c r="N51">
        <v>1009</v>
      </c>
      <c r="O51" t="s">
        <v>41</v>
      </c>
      <c r="P51" t="s">
        <v>41</v>
      </c>
      <c r="Q51">
        <v>1000</v>
      </c>
      <c r="X51">
        <v>6.3E-2</v>
      </c>
      <c r="Y51">
        <v>15481.01</v>
      </c>
      <c r="Z51">
        <v>0</v>
      </c>
      <c r="AA51">
        <v>0</v>
      </c>
      <c r="AB51">
        <v>0</v>
      </c>
      <c r="AC51">
        <v>0</v>
      </c>
      <c r="AD51">
        <v>1</v>
      </c>
      <c r="AE51">
        <v>0</v>
      </c>
      <c r="AF51" t="s">
        <v>3</v>
      </c>
      <c r="AG51">
        <v>6.3E-2</v>
      </c>
      <c r="AH51">
        <v>2</v>
      </c>
      <c r="AI51">
        <v>37378939</v>
      </c>
      <c r="AJ51">
        <v>50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</row>
    <row r="52" spans="1:44">
      <c r="A52">
        <f>ROW(Source!A78)</f>
        <v>78</v>
      </c>
      <c r="B52">
        <v>36517045</v>
      </c>
      <c r="C52">
        <v>36517044</v>
      </c>
      <c r="D52">
        <v>18413230</v>
      </c>
      <c r="E52">
        <v>1</v>
      </c>
      <c r="F52">
        <v>1</v>
      </c>
      <c r="G52">
        <v>1</v>
      </c>
      <c r="H52">
        <v>1</v>
      </c>
      <c r="I52" t="s">
        <v>467</v>
      </c>
      <c r="J52" t="s">
        <v>3</v>
      </c>
      <c r="K52" t="s">
        <v>468</v>
      </c>
      <c r="L52">
        <v>1369</v>
      </c>
      <c r="N52">
        <v>1013</v>
      </c>
      <c r="O52" t="s">
        <v>361</v>
      </c>
      <c r="P52" t="s">
        <v>361</v>
      </c>
      <c r="Q52">
        <v>1</v>
      </c>
      <c r="X52">
        <v>51.89</v>
      </c>
      <c r="Y52">
        <v>0</v>
      </c>
      <c r="Z52">
        <v>0</v>
      </c>
      <c r="AA52">
        <v>0</v>
      </c>
      <c r="AB52">
        <v>304.64</v>
      </c>
      <c r="AC52">
        <v>0</v>
      </c>
      <c r="AD52">
        <v>1</v>
      </c>
      <c r="AE52">
        <v>1</v>
      </c>
      <c r="AF52" t="s">
        <v>114</v>
      </c>
      <c r="AG52">
        <v>59.673499999999997</v>
      </c>
      <c r="AH52">
        <v>2</v>
      </c>
      <c r="AI52">
        <v>36517045</v>
      </c>
      <c r="AJ52">
        <v>51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</row>
    <row r="53" spans="1:44">
      <c r="A53">
        <f>ROW(Source!A78)</f>
        <v>78</v>
      </c>
      <c r="B53">
        <v>36517046</v>
      </c>
      <c r="C53">
        <v>36517044</v>
      </c>
      <c r="D53">
        <v>121548</v>
      </c>
      <c r="E53">
        <v>1</v>
      </c>
      <c r="F53">
        <v>1</v>
      </c>
      <c r="G53">
        <v>1</v>
      </c>
      <c r="H53">
        <v>1</v>
      </c>
      <c r="I53" t="s">
        <v>213</v>
      </c>
      <c r="J53" t="s">
        <v>3</v>
      </c>
      <c r="K53" t="s">
        <v>362</v>
      </c>
      <c r="L53">
        <v>608254</v>
      </c>
      <c r="N53">
        <v>1013</v>
      </c>
      <c r="O53" t="s">
        <v>363</v>
      </c>
      <c r="P53" t="s">
        <v>363</v>
      </c>
      <c r="Q53">
        <v>1</v>
      </c>
      <c r="X53">
        <v>1.87</v>
      </c>
      <c r="Y53">
        <v>0</v>
      </c>
      <c r="Z53">
        <v>0</v>
      </c>
      <c r="AA53">
        <v>0</v>
      </c>
      <c r="AB53">
        <v>0</v>
      </c>
      <c r="AC53">
        <v>0</v>
      </c>
      <c r="AD53">
        <v>1</v>
      </c>
      <c r="AE53">
        <v>2</v>
      </c>
      <c r="AF53" t="s">
        <v>3</v>
      </c>
      <c r="AG53">
        <v>1.87</v>
      </c>
      <c r="AH53">
        <v>2</v>
      </c>
      <c r="AI53">
        <v>36517046</v>
      </c>
      <c r="AJ53">
        <v>52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</row>
    <row r="54" spans="1:44">
      <c r="A54">
        <f>ROW(Source!A78)</f>
        <v>78</v>
      </c>
      <c r="B54">
        <v>36517047</v>
      </c>
      <c r="C54">
        <v>36517044</v>
      </c>
      <c r="D54">
        <v>29172479</v>
      </c>
      <c r="E54">
        <v>1</v>
      </c>
      <c r="F54">
        <v>1</v>
      </c>
      <c r="G54">
        <v>1</v>
      </c>
      <c r="H54">
        <v>2</v>
      </c>
      <c r="I54" t="s">
        <v>469</v>
      </c>
      <c r="J54" t="s">
        <v>470</v>
      </c>
      <c r="K54" t="s">
        <v>471</v>
      </c>
      <c r="L54">
        <v>1368</v>
      </c>
      <c r="N54">
        <v>1011</v>
      </c>
      <c r="O54" t="s">
        <v>367</v>
      </c>
      <c r="P54" t="s">
        <v>367</v>
      </c>
      <c r="Q54">
        <v>1</v>
      </c>
      <c r="X54">
        <v>0.04</v>
      </c>
      <c r="Y54">
        <v>0</v>
      </c>
      <c r="Z54">
        <v>99.89</v>
      </c>
      <c r="AA54">
        <v>10.06</v>
      </c>
      <c r="AB54">
        <v>0</v>
      </c>
      <c r="AC54">
        <v>0</v>
      </c>
      <c r="AD54">
        <v>1</v>
      </c>
      <c r="AE54">
        <v>0</v>
      </c>
      <c r="AF54" t="s">
        <v>3</v>
      </c>
      <c r="AG54">
        <v>0.04</v>
      </c>
      <c r="AH54">
        <v>2</v>
      </c>
      <c r="AI54">
        <v>36517047</v>
      </c>
      <c r="AJ54">
        <v>53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</row>
    <row r="55" spans="1:44">
      <c r="A55">
        <f>ROW(Source!A78)</f>
        <v>78</v>
      </c>
      <c r="B55">
        <v>36517048</v>
      </c>
      <c r="C55">
        <v>36517044</v>
      </c>
      <c r="D55">
        <v>29172556</v>
      </c>
      <c r="E55">
        <v>1</v>
      </c>
      <c r="F55">
        <v>1</v>
      </c>
      <c r="G55">
        <v>1</v>
      </c>
      <c r="H55">
        <v>2</v>
      </c>
      <c r="I55" t="s">
        <v>364</v>
      </c>
      <c r="J55" t="s">
        <v>365</v>
      </c>
      <c r="K55" t="s">
        <v>366</v>
      </c>
      <c r="L55">
        <v>1368</v>
      </c>
      <c r="N55">
        <v>1011</v>
      </c>
      <c r="O55" t="s">
        <v>367</v>
      </c>
      <c r="P55" t="s">
        <v>367</v>
      </c>
      <c r="Q55">
        <v>1</v>
      </c>
      <c r="X55">
        <v>0.16</v>
      </c>
      <c r="Y55">
        <v>0</v>
      </c>
      <c r="Z55">
        <v>31.26</v>
      </c>
      <c r="AA55">
        <v>13.5</v>
      </c>
      <c r="AB55">
        <v>0</v>
      </c>
      <c r="AC55">
        <v>0</v>
      </c>
      <c r="AD55">
        <v>1</v>
      </c>
      <c r="AE55">
        <v>0</v>
      </c>
      <c r="AF55" t="s">
        <v>3</v>
      </c>
      <c r="AG55">
        <v>0.16</v>
      </c>
      <c r="AH55">
        <v>2</v>
      </c>
      <c r="AI55">
        <v>36517048</v>
      </c>
      <c r="AJ55">
        <v>54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</row>
    <row r="56" spans="1:44">
      <c r="A56">
        <f>ROW(Source!A78)</f>
        <v>78</v>
      </c>
      <c r="B56">
        <v>36517049</v>
      </c>
      <c r="C56">
        <v>36517044</v>
      </c>
      <c r="D56">
        <v>29173141</v>
      </c>
      <c r="E56">
        <v>1</v>
      </c>
      <c r="F56">
        <v>1</v>
      </c>
      <c r="G56">
        <v>1</v>
      </c>
      <c r="H56">
        <v>2</v>
      </c>
      <c r="I56" t="s">
        <v>472</v>
      </c>
      <c r="J56" t="s">
        <v>473</v>
      </c>
      <c r="K56" t="s">
        <v>474</v>
      </c>
      <c r="L56">
        <v>1368</v>
      </c>
      <c r="N56">
        <v>1011</v>
      </c>
      <c r="O56" t="s">
        <v>367</v>
      </c>
      <c r="P56" t="s">
        <v>367</v>
      </c>
      <c r="Q56">
        <v>1</v>
      </c>
      <c r="X56">
        <v>1.67</v>
      </c>
      <c r="Y56">
        <v>0</v>
      </c>
      <c r="Z56">
        <v>12.4</v>
      </c>
      <c r="AA56">
        <v>10.06</v>
      </c>
      <c r="AB56">
        <v>0</v>
      </c>
      <c r="AC56">
        <v>0</v>
      </c>
      <c r="AD56">
        <v>1</v>
      </c>
      <c r="AE56">
        <v>0</v>
      </c>
      <c r="AF56" t="s">
        <v>3</v>
      </c>
      <c r="AG56">
        <v>1.67</v>
      </c>
      <c r="AH56">
        <v>2</v>
      </c>
      <c r="AI56">
        <v>36517049</v>
      </c>
      <c r="AJ56">
        <v>55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</row>
    <row r="57" spans="1:44">
      <c r="A57">
        <f>ROW(Source!A78)</f>
        <v>78</v>
      </c>
      <c r="B57">
        <v>36517050</v>
      </c>
      <c r="C57">
        <v>36517044</v>
      </c>
      <c r="D57">
        <v>29109265</v>
      </c>
      <c r="E57">
        <v>1</v>
      </c>
      <c r="F57">
        <v>1</v>
      </c>
      <c r="G57">
        <v>1</v>
      </c>
      <c r="H57">
        <v>3</v>
      </c>
      <c r="I57" t="s">
        <v>594</v>
      </c>
      <c r="J57" t="s">
        <v>595</v>
      </c>
      <c r="K57" t="s">
        <v>596</v>
      </c>
      <c r="L57">
        <v>1348</v>
      </c>
      <c r="N57">
        <v>1009</v>
      </c>
      <c r="O57" t="s">
        <v>41</v>
      </c>
      <c r="P57" t="s">
        <v>41</v>
      </c>
      <c r="Q57">
        <v>1000</v>
      </c>
      <c r="X57">
        <v>0</v>
      </c>
      <c r="Y57">
        <v>0</v>
      </c>
      <c r="Z57">
        <v>0</v>
      </c>
      <c r="AA57">
        <v>0</v>
      </c>
      <c r="AB57">
        <v>0</v>
      </c>
      <c r="AC57">
        <v>1</v>
      </c>
      <c r="AD57">
        <v>0</v>
      </c>
      <c r="AE57">
        <v>0</v>
      </c>
      <c r="AF57" t="s">
        <v>3</v>
      </c>
      <c r="AG57">
        <v>0</v>
      </c>
      <c r="AH57">
        <v>3</v>
      </c>
      <c r="AI57">
        <v>-1</v>
      </c>
      <c r="AJ57" t="s">
        <v>3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</row>
    <row r="58" spans="1:44">
      <c r="A58">
        <f>ROW(Source!A78)</f>
        <v>78</v>
      </c>
      <c r="B58">
        <v>36517051</v>
      </c>
      <c r="C58">
        <v>36517044</v>
      </c>
      <c r="D58">
        <v>29145350</v>
      </c>
      <c r="E58">
        <v>1</v>
      </c>
      <c r="F58">
        <v>1</v>
      </c>
      <c r="G58">
        <v>1</v>
      </c>
      <c r="H58">
        <v>3</v>
      </c>
      <c r="I58" t="s">
        <v>597</v>
      </c>
      <c r="J58" t="s">
        <v>598</v>
      </c>
      <c r="K58" t="s">
        <v>599</v>
      </c>
      <c r="L58">
        <v>1348</v>
      </c>
      <c r="N58">
        <v>1009</v>
      </c>
      <c r="O58" t="s">
        <v>41</v>
      </c>
      <c r="P58" t="s">
        <v>41</v>
      </c>
      <c r="Q58">
        <v>1000</v>
      </c>
      <c r="X58">
        <v>0.97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 t="s">
        <v>3</v>
      </c>
      <c r="AG58">
        <v>0.97</v>
      </c>
      <c r="AH58">
        <v>3</v>
      </c>
      <c r="AI58">
        <v>-1</v>
      </c>
      <c r="AJ58" t="s">
        <v>3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</row>
    <row r="59" spans="1:44">
      <c r="A59">
        <f>ROW(Source!A78)</f>
        <v>78</v>
      </c>
      <c r="B59">
        <v>36517052</v>
      </c>
      <c r="C59">
        <v>36517044</v>
      </c>
      <c r="D59">
        <v>29150040</v>
      </c>
      <c r="E59">
        <v>1</v>
      </c>
      <c r="F59">
        <v>1</v>
      </c>
      <c r="G59">
        <v>1</v>
      </c>
      <c r="H59">
        <v>3</v>
      </c>
      <c r="I59" t="s">
        <v>390</v>
      </c>
      <c r="J59" t="s">
        <v>391</v>
      </c>
      <c r="K59" t="s">
        <v>392</v>
      </c>
      <c r="L59">
        <v>1339</v>
      </c>
      <c r="N59">
        <v>1007</v>
      </c>
      <c r="O59" t="s">
        <v>393</v>
      </c>
      <c r="P59" t="s">
        <v>393</v>
      </c>
      <c r="Q59">
        <v>1</v>
      </c>
      <c r="X59">
        <v>0.63</v>
      </c>
      <c r="Y59">
        <v>2.44</v>
      </c>
      <c r="Z59">
        <v>0</v>
      </c>
      <c r="AA59">
        <v>0</v>
      </c>
      <c r="AB59">
        <v>0</v>
      </c>
      <c r="AC59">
        <v>0</v>
      </c>
      <c r="AD59">
        <v>1</v>
      </c>
      <c r="AE59">
        <v>0</v>
      </c>
      <c r="AF59" t="s">
        <v>3</v>
      </c>
      <c r="AG59">
        <v>0.63</v>
      </c>
      <c r="AH59">
        <v>2</v>
      </c>
      <c r="AI59">
        <v>36517052</v>
      </c>
      <c r="AJ59">
        <v>57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</row>
    <row r="60" spans="1:44">
      <c r="A60">
        <f>ROW(Source!A80)</f>
        <v>80</v>
      </c>
      <c r="B60">
        <v>37377887</v>
      </c>
      <c r="C60">
        <v>37377886</v>
      </c>
      <c r="D60">
        <v>18410171</v>
      </c>
      <c r="E60">
        <v>1</v>
      </c>
      <c r="F60">
        <v>1</v>
      </c>
      <c r="G60">
        <v>1</v>
      </c>
      <c r="H60">
        <v>1</v>
      </c>
      <c r="I60" t="s">
        <v>456</v>
      </c>
      <c r="J60" t="s">
        <v>3</v>
      </c>
      <c r="K60" t="s">
        <v>457</v>
      </c>
      <c r="L60">
        <v>1369</v>
      </c>
      <c r="N60">
        <v>1013</v>
      </c>
      <c r="O60" t="s">
        <v>361</v>
      </c>
      <c r="P60" t="s">
        <v>361</v>
      </c>
      <c r="Q60">
        <v>1</v>
      </c>
      <c r="X60">
        <v>42.9</v>
      </c>
      <c r="Y60">
        <v>0</v>
      </c>
      <c r="Z60">
        <v>0</v>
      </c>
      <c r="AA60">
        <v>0</v>
      </c>
      <c r="AB60">
        <v>297.67</v>
      </c>
      <c r="AC60">
        <v>0</v>
      </c>
      <c r="AD60">
        <v>1</v>
      </c>
      <c r="AE60">
        <v>1</v>
      </c>
      <c r="AF60" t="s">
        <v>114</v>
      </c>
      <c r="AG60">
        <v>49.334999999999994</v>
      </c>
      <c r="AH60">
        <v>2</v>
      </c>
      <c r="AI60">
        <v>37377887</v>
      </c>
      <c r="AJ60">
        <v>58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</row>
    <row r="61" spans="1:44">
      <c r="A61">
        <f>ROW(Source!A80)</f>
        <v>80</v>
      </c>
      <c r="B61">
        <v>37377888</v>
      </c>
      <c r="C61">
        <v>37377886</v>
      </c>
      <c r="D61">
        <v>121548</v>
      </c>
      <c r="E61">
        <v>1</v>
      </c>
      <c r="F61">
        <v>1</v>
      </c>
      <c r="G61">
        <v>1</v>
      </c>
      <c r="H61">
        <v>1</v>
      </c>
      <c r="I61" t="s">
        <v>213</v>
      </c>
      <c r="J61" t="s">
        <v>3</v>
      </c>
      <c r="K61" t="s">
        <v>362</v>
      </c>
      <c r="L61">
        <v>608254</v>
      </c>
      <c r="N61">
        <v>1013</v>
      </c>
      <c r="O61" t="s">
        <v>363</v>
      </c>
      <c r="P61" t="s">
        <v>363</v>
      </c>
      <c r="Q61">
        <v>1</v>
      </c>
      <c r="X61">
        <v>0.02</v>
      </c>
      <c r="Y61">
        <v>0</v>
      </c>
      <c r="Z61">
        <v>0</v>
      </c>
      <c r="AA61">
        <v>0</v>
      </c>
      <c r="AB61">
        <v>0</v>
      </c>
      <c r="AC61">
        <v>0</v>
      </c>
      <c r="AD61">
        <v>1</v>
      </c>
      <c r="AE61">
        <v>2</v>
      </c>
      <c r="AF61" t="s">
        <v>139</v>
      </c>
      <c r="AG61">
        <v>2.5000000000000001E-2</v>
      </c>
      <c r="AH61">
        <v>2</v>
      </c>
      <c r="AI61">
        <v>37377888</v>
      </c>
      <c r="AJ61">
        <v>59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</row>
    <row r="62" spans="1:44">
      <c r="A62">
        <f>ROW(Source!A80)</f>
        <v>80</v>
      </c>
      <c r="B62">
        <v>37377889</v>
      </c>
      <c r="C62">
        <v>37377886</v>
      </c>
      <c r="D62">
        <v>29172556</v>
      </c>
      <c r="E62">
        <v>1</v>
      </c>
      <c r="F62">
        <v>1</v>
      </c>
      <c r="G62">
        <v>1</v>
      </c>
      <c r="H62">
        <v>2</v>
      </c>
      <c r="I62" t="s">
        <v>364</v>
      </c>
      <c r="J62" t="s">
        <v>365</v>
      </c>
      <c r="K62" t="s">
        <v>366</v>
      </c>
      <c r="L62">
        <v>1368</v>
      </c>
      <c r="N62">
        <v>1011</v>
      </c>
      <c r="O62" t="s">
        <v>367</v>
      </c>
      <c r="P62" t="s">
        <v>367</v>
      </c>
      <c r="Q62">
        <v>1</v>
      </c>
      <c r="X62">
        <v>0.02</v>
      </c>
      <c r="Y62">
        <v>0</v>
      </c>
      <c r="Z62">
        <v>31.26</v>
      </c>
      <c r="AA62">
        <v>13.5</v>
      </c>
      <c r="AB62">
        <v>0</v>
      </c>
      <c r="AC62">
        <v>0</v>
      </c>
      <c r="AD62">
        <v>1</v>
      </c>
      <c r="AE62">
        <v>0</v>
      </c>
      <c r="AF62" t="s">
        <v>139</v>
      </c>
      <c r="AG62">
        <v>2.5000000000000001E-2</v>
      </c>
      <c r="AH62">
        <v>2</v>
      </c>
      <c r="AI62">
        <v>37377889</v>
      </c>
      <c r="AJ62">
        <v>60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</row>
    <row r="63" spans="1:44">
      <c r="A63">
        <f>ROW(Source!A80)</f>
        <v>80</v>
      </c>
      <c r="B63">
        <v>37377890</v>
      </c>
      <c r="C63">
        <v>37377886</v>
      </c>
      <c r="D63">
        <v>29174913</v>
      </c>
      <c r="E63">
        <v>1</v>
      </c>
      <c r="F63">
        <v>1</v>
      </c>
      <c r="G63">
        <v>1</v>
      </c>
      <c r="H63">
        <v>2</v>
      </c>
      <c r="I63" t="s">
        <v>381</v>
      </c>
      <c r="J63" t="s">
        <v>382</v>
      </c>
      <c r="K63" t="s">
        <v>383</v>
      </c>
      <c r="L63">
        <v>1368</v>
      </c>
      <c r="N63">
        <v>1011</v>
      </c>
      <c r="O63" t="s">
        <v>367</v>
      </c>
      <c r="P63" t="s">
        <v>367</v>
      </c>
      <c r="Q63">
        <v>1</v>
      </c>
      <c r="X63">
        <v>0.15</v>
      </c>
      <c r="Y63">
        <v>0</v>
      </c>
      <c r="Z63">
        <v>87.17</v>
      </c>
      <c r="AA63">
        <v>11.6</v>
      </c>
      <c r="AB63">
        <v>0</v>
      </c>
      <c r="AC63">
        <v>0</v>
      </c>
      <c r="AD63">
        <v>1</v>
      </c>
      <c r="AE63">
        <v>0</v>
      </c>
      <c r="AF63" t="s">
        <v>139</v>
      </c>
      <c r="AG63">
        <v>0.1875</v>
      </c>
      <c r="AH63">
        <v>2</v>
      </c>
      <c r="AI63">
        <v>37377890</v>
      </c>
      <c r="AJ63">
        <v>61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</row>
    <row r="64" spans="1:44">
      <c r="A64">
        <f>ROW(Source!A80)</f>
        <v>80</v>
      </c>
      <c r="B64">
        <v>37377891</v>
      </c>
      <c r="C64">
        <v>37377886</v>
      </c>
      <c r="D64">
        <v>29107779</v>
      </c>
      <c r="E64">
        <v>1</v>
      </c>
      <c r="F64">
        <v>1</v>
      </c>
      <c r="G64">
        <v>1</v>
      </c>
      <c r="H64">
        <v>3</v>
      </c>
      <c r="I64" t="s">
        <v>458</v>
      </c>
      <c r="J64" t="s">
        <v>459</v>
      </c>
      <c r="K64" t="s">
        <v>460</v>
      </c>
      <c r="L64">
        <v>1327</v>
      </c>
      <c r="N64">
        <v>1005</v>
      </c>
      <c r="O64" t="s">
        <v>129</v>
      </c>
      <c r="P64" t="s">
        <v>129</v>
      </c>
      <c r="Q64">
        <v>1</v>
      </c>
      <c r="X64">
        <v>0.84</v>
      </c>
      <c r="Y64">
        <v>72.31</v>
      </c>
      <c r="Z64">
        <v>0</v>
      </c>
      <c r="AA64">
        <v>0</v>
      </c>
      <c r="AB64">
        <v>0</v>
      </c>
      <c r="AC64">
        <v>0</v>
      </c>
      <c r="AD64">
        <v>1</v>
      </c>
      <c r="AE64">
        <v>0</v>
      </c>
      <c r="AF64" t="s">
        <v>3</v>
      </c>
      <c r="AG64">
        <v>0.84</v>
      </c>
      <c r="AH64">
        <v>2</v>
      </c>
      <c r="AI64">
        <v>37377891</v>
      </c>
      <c r="AJ64">
        <v>62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</row>
    <row r="65" spans="1:44">
      <c r="A65">
        <f>ROW(Source!A80)</f>
        <v>80</v>
      </c>
      <c r="B65">
        <v>37377892</v>
      </c>
      <c r="C65">
        <v>37377886</v>
      </c>
      <c r="D65">
        <v>29109797</v>
      </c>
      <c r="E65">
        <v>1</v>
      </c>
      <c r="F65">
        <v>1</v>
      </c>
      <c r="G65">
        <v>1</v>
      </c>
      <c r="H65">
        <v>3</v>
      </c>
      <c r="I65" t="s">
        <v>461</v>
      </c>
      <c r="J65" t="s">
        <v>462</v>
      </c>
      <c r="K65" t="s">
        <v>463</v>
      </c>
      <c r="L65">
        <v>1348</v>
      </c>
      <c r="N65">
        <v>1009</v>
      </c>
      <c r="O65" t="s">
        <v>41</v>
      </c>
      <c r="P65" t="s">
        <v>41</v>
      </c>
      <c r="Q65">
        <v>1000</v>
      </c>
      <c r="X65">
        <v>5.0999999999999997E-2</v>
      </c>
      <c r="Y65">
        <v>4294.0200000000004</v>
      </c>
      <c r="Z65">
        <v>0</v>
      </c>
      <c r="AA65">
        <v>0</v>
      </c>
      <c r="AB65">
        <v>0</v>
      </c>
      <c r="AC65">
        <v>0</v>
      </c>
      <c r="AD65">
        <v>1</v>
      </c>
      <c r="AE65">
        <v>0</v>
      </c>
      <c r="AF65" t="s">
        <v>3</v>
      </c>
      <c r="AG65">
        <v>5.0999999999999997E-2</v>
      </c>
      <c r="AH65">
        <v>2</v>
      </c>
      <c r="AI65">
        <v>37377892</v>
      </c>
      <c r="AJ65">
        <v>63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</row>
    <row r="66" spans="1:44">
      <c r="A66">
        <f>ROW(Source!A80)</f>
        <v>80</v>
      </c>
      <c r="B66">
        <v>37377893</v>
      </c>
      <c r="C66">
        <v>37377886</v>
      </c>
      <c r="D66">
        <v>29107800</v>
      </c>
      <c r="E66">
        <v>1</v>
      </c>
      <c r="F66">
        <v>1</v>
      </c>
      <c r="G66">
        <v>1</v>
      </c>
      <c r="H66">
        <v>3</v>
      </c>
      <c r="I66" t="s">
        <v>384</v>
      </c>
      <c r="J66" t="s">
        <v>385</v>
      </c>
      <c r="K66" t="s">
        <v>386</v>
      </c>
      <c r="L66">
        <v>1346</v>
      </c>
      <c r="N66">
        <v>1009</v>
      </c>
      <c r="O66" t="s">
        <v>151</v>
      </c>
      <c r="P66" t="s">
        <v>151</v>
      </c>
      <c r="Q66">
        <v>1</v>
      </c>
      <c r="X66">
        <v>0.31</v>
      </c>
      <c r="Y66">
        <v>1.81</v>
      </c>
      <c r="Z66">
        <v>0</v>
      </c>
      <c r="AA66">
        <v>0</v>
      </c>
      <c r="AB66">
        <v>0</v>
      </c>
      <c r="AC66">
        <v>0</v>
      </c>
      <c r="AD66">
        <v>1</v>
      </c>
      <c r="AE66">
        <v>0</v>
      </c>
      <c r="AF66" t="s">
        <v>3</v>
      </c>
      <c r="AG66">
        <v>0.31</v>
      </c>
      <c r="AH66">
        <v>2</v>
      </c>
      <c r="AI66">
        <v>37377893</v>
      </c>
      <c r="AJ66">
        <v>64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</row>
    <row r="67" spans="1:44">
      <c r="A67">
        <f>ROW(Source!A80)</f>
        <v>80</v>
      </c>
      <c r="B67">
        <v>37377894</v>
      </c>
      <c r="C67">
        <v>37377886</v>
      </c>
      <c r="D67">
        <v>29110439</v>
      </c>
      <c r="E67">
        <v>1</v>
      </c>
      <c r="F67">
        <v>1</v>
      </c>
      <c r="G67">
        <v>1</v>
      </c>
      <c r="H67">
        <v>3</v>
      </c>
      <c r="I67" t="s">
        <v>464</v>
      </c>
      <c r="J67" t="s">
        <v>465</v>
      </c>
      <c r="K67" t="s">
        <v>466</v>
      </c>
      <c r="L67">
        <v>1348</v>
      </c>
      <c r="N67">
        <v>1009</v>
      </c>
      <c r="O67" t="s">
        <v>41</v>
      </c>
      <c r="P67" t="s">
        <v>41</v>
      </c>
      <c r="Q67">
        <v>1000</v>
      </c>
      <c r="X67">
        <v>6.3E-2</v>
      </c>
      <c r="Y67">
        <v>15481.01</v>
      </c>
      <c r="Z67">
        <v>0</v>
      </c>
      <c r="AA67">
        <v>0</v>
      </c>
      <c r="AB67">
        <v>0</v>
      </c>
      <c r="AC67">
        <v>0</v>
      </c>
      <c r="AD67">
        <v>1</v>
      </c>
      <c r="AE67">
        <v>0</v>
      </c>
      <c r="AF67" t="s">
        <v>3</v>
      </c>
      <c r="AG67">
        <v>6.3E-2</v>
      </c>
      <c r="AH67">
        <v>2</v>
      </c>
      <c r="AI67">
        <v>37377894</v>
      </c>
      <c r="AJ67">
        <v>65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</row>
    <row r="68" spans="1:44">
      <c r="A68">
        <f>ROW(Source!A81)</f>
        <v>81</v>
      </c>
      <c r="B68">
        <v>36150943</v>
      </c>
      <c r="C68">
        <v>35844448</v>
      </c>
      <c r="D68">
        <v>18407150</v>
      </c>
      <c r="E68">
        <v>1</v>
      </c>
      <c r="F68">
        <v>1</v>
      </c>
      <c r="G68">
        <v>1</v>
      </c>
      <c r="H68">
        <v>1</v>
      </c>
      <c r="I68" t="s">
        <v>475</v>
      </c>
      <c r="J68" t="s">
        <v>3</v>
      </c>
      <c r="K68" t="s">
        <v>476</v>
      </c>
      <c r="L68">
        <v>1369</v>
      </c>
      <c r="N68">
        <v>1013</v>
      </c>
      <c r="O68" t="s">
        <v>361</v>
      </c>
      <c r="P68" t="s">
        <v>361</v>
      </c>
      <c r="Q68">
        <v>1</v>
      </c>
      <c r="X68">
        <v>35.74</v>
      </c>
      <c r="Y68">
        <v>0</v>
      </c>
      <c r="Z68">
        <v>0</v>
      </c>
      <c r="AA68">
        <v>0</v>
      </c>
      <c r="AB68">
        <v>278.5</v>
      </c>
      <c r="AC68">
        <v>0</v>
      </c>
      <c r="AD68">
        <v>1</v>
      </c>
      <c r="AE68">
        <v>1</v>
      </c>
      <c r="AF68" t="s">
        <v>114</v>
      </c>
      <c r="AG68">
        <v>41.100999999999999</v>
      </c>
      <c r="AH68">
        <v>2</v>
      </c>
      <c r="AI68">
        <v>36150943</v>
      </c>
      <c r="AJ68">
        <v>66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</row>
    <row r="69" spans="1:44">
      <c r="A69">
        <f>ROW(Source!A81)</f>
        <v>81</v>
      </c>
      <c r="B69">
        <v>36150944</v>
      </c>
      <c r="C69">
        <v>35844448</v>
      </c>
      <c r="D69">
        <v>121548</v>
      </c>
      <c r="E69">
        <v>1</v>
      </c>
      <c r="F69">
        <v>1</v>
      </c>
      <c r="G69">
        <v>1</v>
      </c>
      <c r="H69">
        <v>1</v>
      </c>
      <c r="I69" t="s">
        <v>213</v>
      </c>
      <c r="J69" t="s">
        <v>3</v>
      </c>
      <c r="K69" t="s">
        <v>362</v>
      </c>
      <c r="L69">
        <v>608254</v>
      </c>
      <c r="N69">
        <v>1013</v>
      </c>
      <c r="O69" t="s">
        <v>363</v>
      </c>
      <c r="P69" t="s">
        <v>363</v>
      </c>
      <c r="Q69">
        <v>1</v>
      </c>
      <c r="X69">
        <v>0.18</v>
      </c>
      <c r="Y69">
        <v>0</v>
      </c>
      <c r="Z69">
        <v>0</v>
      </c>
      <c r="AA69">
        <v>0</v>
      </c>
      <c r="AB69">
        <v>0</v>
      </c>
      <c r="AC69">
        <v>0</v>
      </c>
      <c r="AD69">
        <v>1</v>
      </c>
      <c r="AE69">
        <v>2</v>
      </c>
      <c r="AF69" t="s">
        <v>3</v>
      </c>
      <c r="AG69">
        <v>0.18</v>
      </c>
      <c r="AH69">
        <v>2</v>
      </c>
      <c r="AI69">
        <v>36150944</v>
      </c>
      <c r="AJ69">
        <v>67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</row>
    <row r="70" spans="1:44">
      <c r="A70">
        <f>ROW(Source!A81)</f>
        <v>81</v>
      </c>
      <c r="B70">
        <v>36150945</v>
      </c>
      <c r="C70">
        <v>35844448</v>
      </c>
      <c r="D70">
        <v>29172556</v>
      </c>
      <c r="E70">
        <v>1</v>
      </c>
      <c r="F70">
        <v>1</v>
      </c>
      <c r="G70">
        <v>1</v>
      </c>
      <c r="H70">
        <v>2</v>
      </c>
      <c r="I70" t="s">
        <v>364</v>
      </c>
      <c r="J70" t="s">
        <v>372</v>
      </c>
      <c r="K70" t="s">
        <v>366</v>
      </c>
      <c r="L70">
        <v>1368</v>
      </c>
      <c r="N70">
        <v>1011</v>
      </c>
      <c r="O70" t="s">
        <v>367</v>
      </c>
      <c r="P70" t="s">
        <v>367</v>
      </c>
      <c r="Q70">
        <v>1</v>
      </c>
      <c r="X70">
        <v>0.18</v>
      </c>
      <c r="Y70">
        <v>0</v>
      </c>
      <c r="Z70">
        <v>31.26</v>
      </c>
      <c r="AA70">
        <v>13.5</v>
      </c>
      <c r="AB70">
        <v>0</v>
      </c>
      <c r="AC70">
        <v>0</v>
      </c>
      <c r="AD70">
        <v>1</v>
      </c>
      <c r="AE70">
        <v>0</v>
      </c>
      <c r="AF70" t="s">
        <v>3</v>
      </c>
      <c r="AG70">
        <v>0.18</v>
      </c>
      <c r="AH70">
        <v>2</v>
      </c>
      <c r="AI70">
        <v>36150945</v>
      </c>
      <c r="AJ70">
        <v>68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</row>
    <row r="71" spans="1:44">
      <c r="A71">
        <f>ROW(Source!A81)</f>
        <v>81</v>
      </c>
      <c r="B71">
        <v>36150946</v>
      </c>
      <c r="C71">
        <v>35844448</v>
      </c>
      <c r="D71">
        <v>29174591</v>
      </c>
      <c r="E71">
        <v>1</v>
      </c>
      <c r="F71">
        <v>1</v>
      </c>
      <c r="G71">
        <v>1</v>
      </c>
      <c r="H71">
        <v>2</v>
      </c>
      <c r="I71" t="s">
        <v>477</v>
      </c>
      <c r="J71" t="s">
        <v>478</v>
      </c>
      <c r="K71" t="s">
        <v>479</v>
      </c>
      <c r="L71">
        <v>1368</v>
      </c>
      <c r="N71">
        <v>1011</v>
      </c>
      <c r="O71" t="s">
        <v>367</v>
      </c>
      <c r="P71" t="s">
        <v>367</v>
      </c>
      <c r="Q71">
        <v>1</v>
      </c>
      <c r="X71">
        <v>0.32</v>
      </c>
      <c r="Y71">
        <v>0</v>
      </c>
      <c r="Z71">
        <v>0.95</v>
      </c>
      <c r="AA71">
        <v>0</v>
      </c>
      <c r="AB71">
        <v>0</v>
      </c>
      <c r="AC71">
        <v>0</v>
      </c>
      <c r="AD71">
        <v>1</v>
      </c>
      <c r="AE71">
        <v>0</v>
      </c>
      <c r="AF71" t="s">
        <v>3</v>
      </c>
      <c r="AG71">
        <v>0.32</v>
      </c>
      <c r="AH71">
        <v>2</v>
      </c>
      <c r="AI71">
        <v>36150946</v>
      </c>
      <c r="AJ71">
        <v>69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</row>
    <row r="72" spans="1:44">
      <c r="A72">
        <f>ROW(Source!A81)</f>
        <v>81</v>
      </c>
      <c r="B72">
        <v>36150947</v>
      </c>
      <c r="C72">
        <v>35844448</v>
      </c>
      <c r="D72">
        <v>29174913</v>
      </c>
      <c r="E72">
        <v>1</v>
      </c>
      <c r="F72">
        <v>1</v>
      </c>
      <c r="G72">
        <v>1</v>
      </c>
      <c r="H72">
        <v>2</v>
      </c>
      <c r="I72" t="s">
        <v>381</v>
      </c>
      <c r="J72" t="s">
        <v>480</v>
      </c>
      <c r="K72" t="s">
        <v>383</v>
      </c>
      <c r="L72">
        <v>1368</v>
      </c>
      <c r="N72">
        <v>1011</v>
      </c>
      <c r="O72" t="s">
        <v>367</v>
      </c>
      <c r="P72" t="s">
        <v>367</v>
      </c>
      <c r="Q72">
        <v>1</v>
      </c>
      <c r="X72">
        <v>0.26</v>
      </c>
      <c r="Y72">
        <v>0</v>
      </c>
      <c r="Z72">
        <v>87.17</v>
      </c>
      <c r="AA72">
        <v>11.6</v>
      </c>
      <c r="AB72">
        <v>0</v>
      </c>
      <c r="AC72">
        <v>0</v>
      </c>
      <c r="AD72">
        <v>1</v>
      </c>
      <c r="AE72">
        <v>0</v>
      </c>
      <c r="AF72" t="s">
        <v>3</v>
      </c>
      <c r="AG72">
        <v>0.26</v>
      </c>
      <c r="AH72">
        <v>2</v>
      </c>
      <c r="AI72">
        <v>36150947</v>
      </c>
      <c r="AJ72">
        <v>70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</row>
    <row r="73" spans="1:44">
      <c r="A73">
        <f>ROW(Source!A81)</f>
        <v>81</v>
      </c>
      <c r="B73">
        <v>36150948</v>
      </c>
      <c r="C73">
        <v>35844448</v>
      </c>
      <c r="D73">
        <v>29109162</v>
      </c>
      <c r="E73">
        <v>1</v>
      </c>
      <c r="F73">
        <v>1</v>
      </c>
      <c r="G73">
        <v>1</v>
      </c>
      <c r="H73">
        <v>3</v>
      </c>
      <c r="I73" t="s">
        <v>481</v>
      </c>
      <c r="J73" t="s">
        <v>482</v>
      </c>
      <c r="K73" t="s">
        <v>483</v>
      </c>
      <c r="L73">
        <v>1327</v>
      </c>
      <c r="N73">
        <v>1005</v>
      </c>
      <c r="O73" t="s">
        <v>129</v>
      </c>
      <c r="P73" t="s">
        <v>129</v>
      </c>
      <c r="Q73">
        <v>1</v>
      </c>
      <c r="X73">
        <v>21</v>
      </c>
      <c r="Y73">
        <v>5.71</v>
      </c>
      <c r="Z73">
        <v>0</v>
      </c>
      <c r="AA73">
        <v>0</v>
      </c>
      <c r="AB73">
        <v>0</v>
      </c>
      <c r="AC73">
        <v>0</v>
      </c>
      <c r="AD73">
        <v>1</v>
      </c>
      <c r="AE73">
        <v>0</v>
      </c>
      <c r="AF73" t="s">
        <v>3</v>
      </c>
      <c r="AG73">
        <v>21</v>
      </c>
      <c r="AH73">
        <v>2</v>
      </c>
      <c r="AI73">
        <v>36150948</v>
      </c>
      <c r="AJ73">
        <v>71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</row>
    <row r="74" spans="1:44">
      <c r="A74">
        <f>ROW(Source!A81)</f>
        <v>81</v>
      </c>
      <c r="B74">
        <v>36150949</v>
      </c>
      <c r="C74">
        <v>35844448</v>
      </c>
      <c r="D74">
        <v>29131086</v>
      </c>
      <c r="E74">
        <v>1</v>
      </c>
      <c r="F74">
        <v>1</v>
      </c>
      <c r="G74">
        <v>1</v>
      </c>
      <c r="H74">
        <v>3</v>
      </c>
      <c r="I74" t="s">
        <v>484</v>
      </c>
      <c r="J74" t="s">
        <v>485</v>
      </c>
      <c r="K74" t="s">
        <v>486</v>
      </c>
      <c r="L74">
        <v>1339</v>
      </c>
      <c r="N74">
        <v>1007</v>
      </c>
      <c r="O74" t="s">
        <v>393</v>
      </c>
      <c r="P74" t="s">
        <v>393</v>
      </c>
      <c r="Q74">
        <v>1</v>
      </c>
      <c r="X74">
        <v>0.82</v>
      </c>
      <c r="Y74">
        <v>1970.01</v>
      </c>
      <c r="Z74">
        <v>0</v>
      </c>
      <c r="AA74">
        <v>0</v>
      </c>
      <c r="AB74">
        <v>0</v>
      </c>
      <c r="AC74">
        <v>0</v>
      </c>
      <c r="AD74">
        <v>1</v>
      </c>
      <c r="AE74">
        <v>0</v>
      </c>
      <c r="AF74" t="s">
        <v>3</v>
      </c>
      <c r="AG74">
        <v>0.82</v>
      </c>
      <c r="AH74">
        <v>2</v>
      </c>
      <c r="AI74">
        <v>36150949</v>
      </c>
      <c r="AJ74">
        <v>72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</row>
    <row r="75" spans="1:44">
      <c r="A75">
        <f>ROW(Source!A82)</f>
        <v>82</v>
      </c>
      <c r="B75">
        <v>36517076</v>
      </c>
      <c r="C75">
        <v>36517075</v>
      </c>
      <c r="D75">
        <v>18409992</v>
      </c>
      <c r="E75">
        <v>1</v>
      </c>
      <c r="F75">
        <v>1</v>
      </c>
      <c r="G75">
        <v>1</v>
      </c>
      <c r="H75">
        <v>1</v>
      </c>
      <c r="I75" t="s">
        <v>487</v>
      </c>
      <c r="J75" t="s">
        <v>3</v>
      </c>
      <c r="K75" t="s">
        <v>488</v>
      </c>
      <c r="L75">
        <v>1369</v>
      </c>
      <c r="N75">
        <v>1013</v>
      </c>
      <c r="O75" t="s">
        <v>361</v>
      </c>
      <c r="P75" t="s">
        <v>361</v>
      </c>
      <c r="Q75">
        <v>1</v>
      </c>
      <c r="X75">
        <v>62.07</v>
      </c>
      <c r="Y75">
        <v>0</v>
      </c>
      <c r="Z75">
        <v>0</v>
      </c>
      <c r="AA75">
        <v>0</v>
      </c>
      <c r="AB75">
        <v>268.47000000000003</v>
      </c>
      <c r="AC75">
        <v>0</v>
      </c>
      <c r="AD75">
        <v>1</v>
      </c>
      <c r="AE75">
        <v>1</v>
      </c>
      <c r="AF75" t="s">
        <v>3</v>
      </c>
      <c r="AG75">
        <v>62.07</v>
      </c>
      <c r="AH75">
        <v>2</v>
      </c>
      <c r="AI75">
        <v>36517076</v>
      </c>
      <c r="AJ75">
        <v>73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</row>
    <row r="76" spans="1:44">
      <c r="A76">
        <f>ROW(Source!A82)</f>
        <v>82</v>
      </c>
      <c r="B76">
        <v>36517077</v>
      </c>
      <c r="C76">
        <v>36517075</v>
      </c>
      <c r="D76">
        <v>121548</v>
      </c>
      <c r="E76">
        <v>1</v>
      </c>
      <c r="F76">
        <v>1</v>
      </c>
      <c r="G76">
        <v>1</v>
      </c>
      <c r="H76">
        <v>1</v>
      </c>
      <c r="I76" t="s">
        <v>213</v>
      </c>
      <c r="J76" t="s">
        <v>3</v>
      </c>
      <c r="K76" t="s">
        <v>362</v>
      </c>
      <c r="L76">
        <v>608254</v>
      </c>
      <c r="N76">
        <v>1013</v>
      </c>
      <c r="O76" t="s">
        <v>363</v>
      </c>
      <c r="P76" t="s">
        <v>363</v>
      </c>
      <c r="Q76">
        <v>1</v>
      </c>
      <c r="X76">
        <v>0.47</v>
      </c>
      <c r="Y76">
        <v>0</v>
      </c>
      <c r="Z76">
        <v>0</v>
      </c>
      <c r="AA76">
        <v>0</v>
      </c>
      <c r="AB76">
        <v>0</v>
      </c>
      <c r="AC76">
        <v>0</v>
      </c>
      <c r="AD76">
        <v>1</v>
      </c>
      <c r="AE76">
        <v>2</v>
      </c>
      <c r="AF76" t="s">
        <v>3</v>
      </c>
      <c r="AG76">
        <v>0.47</v>
      </c>
      <c r="AH76">
        <v>2</v>
      </c>
      <c r="AI76">
        <v>36517077</v>
      </c>
      <c r="AJ76">
        <v>74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</row>
    <row r="77" spans="1:44">
      <c r="A77">
        <f>ROW(Source!A82)</f>
        <v>82</v>
      </c>
      <c r="B77">
        <v>36517078</v>
      </c>
      <c r="C77">
        <v>36517075</v>
      </c>
      <c r="D77">
        <v>29172556</v>
      </c>
      <c r="E77">
        <v>1</v>
      </c>
      <c r="F77">
        <v>1</v>
      </c>
      <c r="G77">
        <v>1</v>
      </c>
      <c r="H77">
        <v>2</v>
      </c>
      <c r="I77" t="s">
        <v>364</v>
      </c>
      <c r="J77" t="s">
        <v>365</v>
      </c>
      <c r="K77" t="s">
        <v>366</v>
      </c>
      <c r="L77">
        <v>1368</v>
      </c>
      <c r="N77">
        <v>1011</v>
      </c>
      <c r="O77" t="s">
        <v>367</v>
      </c>
      <c r="P77" t="s">
        <v>367</v>
      </c>
      <c r="Q77">
        <v>1</v>
      </c>
      <c r="X77">
        <v>0.47</v>
      </c>
      <c r="Y77">
        <v>0</v>
      </c>
      <c r="Z77">
        <v>31.26</v>
      </c>
      <c r="AA77">
        <v>13.5</v>
      </c>
      <c r="AB77">
        <v>0</v>
      </c>
      <c r="AC77">
        <v>0</v>
      </c>
      <c r="AD77">
        <v>1</v>
      </c>
      <c r="AE77">
        <v>0</v>
      </c>
      <c r="AF77" t="s">
        <v>3</v>
      </c>
      <c r="AG77">
        <v>0.47</v>
      </c>
      <c r="AH77">
        <v>2</v>
      </c>
      <c r="AI77">
        <v>36517078</v>
      </c>
      <c r="AJ77">
        <v>75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</row>
    <row r="78" spans="1:44">
      <c r="A78">
        <f>ROW(Source!A82)</f>
        <v>82</v>
      </c>
      <c r="B78">
        <v>36517079</v>
      </c>
      <c r="C78">
        <v>36517075</v>
      </c>
      <c r="D78">
        <v>29174913</v>
      </c>
      <c r="E78">
        <v>1</v>
      </c>
      <c r="F78">
        <v>1</v>
      </c>
      <c r="G78">
        <v>1</v>
      </c>
      <c r="H78">
        <v>2</v>
      </c>
      <c r="I78" t="s">
        <v>381</v>
      </c>
      <c r="J78" t="s">
        <v>382</v>
      </c>
      <c r="K78" t="s">
        <v>383</v>
      </c>
      <c r="L78">
        <v>1368</v>
      </c>
      <c r="N78">
        <v>1011</v>
      </c>
      <c r="O78" t="s">
        <v>367</v>
      </c>
      <c r="P78" t="s">
        <v>367</v>
      </c>
      <c r="Q78">
        <v>1</v>
      </c>
      <c r="X78">
        <v>0.7</v>
      </c>
      <c r="Y78">
        <v>0</v>
      </c>
      <c r="Z78">
        <v>87.17</v>
      </c>
      <c r="AA78">
        <v>11.6</v>
      </c>
      <c r="AB78">
        <v>0</v>
      </c>
      <c r="AC78">
        <v>0</v>
      </c>
      <c r="AD78">
        <v>1</v>
      </c>
      <c r="AE78">
        <v>0</v>
      </c>
      <c r="AF78" t="s">
        <v>3</v>
      </c>
      <c r="AG78">
        <v>0.7</v>
      </c>
      <c r="AH78">
        <v>2</v>
      </c>
      <c r="AI78">
        <v>36517079</v>
      </c>
      <c r="AJ78">
        <v>76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</row>
    <row r="79" spans="1:44">
      <c r="A79">
        <f>ROW(Source!A82)</f>
        <v>82</v>
      </c>
      <c r="B79">
        <v>36517080</v>
      </c>
      <c r="C79">
        <v>36517075</v>
      </c>
      <c r="D79">
        <v>29114332</v>
      </c>
      <c r="E79">
        <v>1</v>
      </c>
      <c r="F79">
        <v>1</v>
      </c>
      <c r="G79">
        <v>1</v>
      </c>
      <c r="H79">
        <v>3</v>
      </c>
      <c r="I79" t="s">
        <v>489</v>
      </c>
      <c r="J79" t="s">
        <v>490</v>
      </c>
      <c r="K79" t="s">
        <v>491</v>
      </c>
      <c r="L79">
        <v>1348</v>
      </c>
      <c r="N79">
        <v>1009</v>
      </c>
      <c r="O79" t="s">
        <v>41</v>
      </c>
      <c r="P79" t="s">
        <v>41</v>
      </c>
      <c r="Q79">
        <v>1000</v>
      </c>
      <c r="X79">
        <v>1.2999999999999999E-2</v>
      </c>
      <c r="Y79">
        <v>11978</v>
      </c>
      <c r="Z79">
        <v>0</v>
      </c>
      <c r="AA79">
        <v>0</v>
      </c>
      <c r="AB79">
        <v>0</v>
      </c>
      <c r="AC79">
        <v>0</v>
      </c>
      <c r="AD79">
        <v>1</v>
      </c>
      <c r="AE79">
        <v>0</v>
      </c>
      <c r="AF79" t="s">
        <v>3</v>
      </c>
      <c r="AG79">
        <v>1.2999999999999999E-2</v>
      </c>
      <c r="AH79">
        <v>2</v>
      </c>
      <c r="AI79">
        <v>36517080</v>
      </c>
      <c r="AJ79">
        <v>77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</row>
    <row r="80" spans="1:44">
      <c r="A80">
        <f>ROW(Source!A82)</f>
        <v>82</v>
      </c>
      <c r="B80">
        <v>36517081</v>
      </c>
      <c r="C80">
        <v>36517075</v>
      </c>
      <c r="D80">
        <v>29115646</v>
      </c>
      <c r="E80">
        <v>1</v>
      </c>
      <c r="F80">
        <v>1</v>
      </c>
      <c r="G80">
        <v>1</v>
      </c>
      <c r="H80">
        <v>3</v>
      </c>
      <c r="I80" t="s">
        <v>492</v>
      </c>
      <c r="J80" t="s">
        <v>493</v>
      </c>
      <c r="K80" t="s">
        <v>494</v>
      </c>
      <c r="L80">
        <v>1339</v>
      </c>
      <c r="N80">
        <v>1007</v>
      </c>
      <c r="O80" t="s">
        <v>393</v>
      </c>
      <c r="P80" t="s">
        <v>393</v>
      </c>
      <c r="Q80">
        <v>1</v>
      </c>
      <c r="X80">
        <v>4.2</v>
      </c>
      <c r="Y80">
        <v>1155</v>
      </c>
      <c r="Z80">
        <v>0</v>
      </c>
      <c r="AA80">
        <v>0</v>
      </c>
      <c r="AB80">
        <v>0</v>
      </c>
      <c r="AC80">
        <v>0</v>
      </c>
      <c r="AD80">
        <v>1</v>
      </c>
      <c r="AE80">
        <v>0</v>
      </c>
      <c r="AF80" t="s">
        <v>3</v>
      </c>
      <c r="AG80">
        <v>4.2</v>
      </c>
      <c r="AH80">
        <v>2</v>
      </c>
      <c r="AI80">
        <v>36517081</v>
      </c>
      <c r="AJ80">
        <v>78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</row>
    <row r="81" spans="1:44">
      <c r="A81">
        <f>ROW(Source!A82)</f>
        <v>82</v>
      </c>
      <c r="B81">
        <v>36517082</v>
      </c>
      <c r="C81">
        <v>36517075</v>
      </c>
      <c r="D81">
        <v>29164349</v>
      </c>
      <c r="E81">
        <v>1</v>
      </c>
      <c r="F81">
        <v>1</v>
      </c>
      <c r="G81">
        <v>1</v>
      </c>
      <c r="H81">
        <v>3</v>
      </c>
      <c r="I81" t="s">
        <v>39</v>
      </c>
      <c r="J81" t="s">
        <v>168</v>
      </c>
      <c r="K81" t="s">
        <v>40</v>
      </c>
      <c r="L81">
        <v>1348</v>
      </c>
      <c r="N81">
        <v>1009</v>
      </c>
      <c r="O81" t="s">
        <v>41</v>
      </c>
      <c r="P81" t="s">
        <v>41</v>
      </c>
      <c r="Q81">
        <v>1000</v>
      </c>
      <c r="X81">
        <v>1.86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 t="s">
        <v>3</v>
      </c>
      <c r="AG81">
        <v>1.86</v>
      </c>
      <c r="AH81">
        <v>2</v>
      </c>
      <c r="AI81">
        <v>36517082</v>
      </c>
      <c r="AJ81">
        <v>79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</row>
    <row r="82" spans="1:44">
      <c r="A82">
        <f>ROW(Source!A84)</f>
        <v>84</v>
      </c>
      <c r="B82">
        <v>35841660</v>
      </c>
      <c r="C82">
        <v>35841652</v>
      </c>
      <c r="D82">
        <v>18408291</v>
      </c>
      <c r="E82">
        <v>1</v>
      </c>
      <c r="F82">
        <v>1</v>
      </c>
      <c r="G82">
        <v>1</v>
      </c>
      <c r="H82">
        <v>1</v>
      </c>
      <c r="I82" t="s">
        <v>495</v>
      </c>
      <c r="J82" t="s">
        <v>3</v>
      </c>
      <c r="K82" t="s">
        <v>496</v>
      </c>
      <c r="L82">
        <v>1369</v>
      </c>
      <c r="N82">
        <v>1013</v>
      </c>
      <c r="O82" t="s">
        <v>361</v>
      </c>
      <c r="P82" t="s">
        <v>361</v>
      </c>
      <c r="Q82">
        <v>1</v>
      </c>
      <c r="X82">
        <v>31.26</v>
      </c>
      <c r="Y82">
        <v>0</v>
      </c>
      <c r="Z82">
        <v>0</v>
      </c>
      <c r="AA82">
        <v>0</v>
      </c>
      <c r="AB82">
        <v>232.28</v>
      </c>
      <c r="AC82">
        <v>0</v>
      </c>
      <c r="AD82">
        <v>1</v>
      </c>
      <c r="AE82">
        <v>1</v>
      </c>
      <c r="AF82" t="s">
        <v>114</v>
      </c>
      <c r="AG82">
        <v>35.948999999999998</v>
      </c>
      <c r="AH82">
        <v>2</v>
      </c>
      <c r="AI82">
        <v>35841653</v>
      </c>
      <c r="AJ82">
        <v>80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</row>
    <row r="83" spans="1:44">
      <c r="A83">
        <f>ROW(Source!A84)</f>
        <v>84</v>
      </c>
      <c r="B83">
        <v>35841661</v>
      </c>
      <c r="C83">
        <v>35841652</v>
      </c>
      <c r="D83">
        <v>121548</v>
      </c>
      <c r="E83">
        <v>1</v>
      </c>
      <c r="F83">
        <v>1</v>
      </c>
      <c r="G83">
        <v>1</v>
      </c>
      <c r="H83">
        <v>1</v>
      </c>
      <c r="I83" t="s">
        <v>213</v>
      </c>
      <c r="J83" t="s">
        <v>3</v>
      </c>
      <c r="K83" t="s">
        <v>362</v>
      </c>
      <c r="L83">
        <v>608254</v>
      </c>
      <c r="N83">
        <v>1013</v>
      </c>
      <c r="O83" t="s">
        <v>363</v>
      </c>
      <c r="P83" t="s">
        <v>363</v>
      </c>
      <c r="Q83">
        <v>1</v>
      </c>
      <c r="X83">
        <v>6.7</v>
      </c>
      <c r="Y83">
        <v>0</v>
      </c>
      <c r="Z83">
        <v>0</v>
      </c>
      <c r="AA83">
        <v>0</v>
      </c>
      <c r="AB83">
        <v>0</v>
      </c>
      <c r="AC83">
        <v>0</v>
      </c>
      <c r="AD83">
        <v>1</v>
      </c>
      <c r="AE83">
        <v>2</v>
      </c>
      <c r="AF83" t="s">
        <v>3</v>
      </c>
      <c r="AG83">
        <v>6.7</v>
      </c>
      <c r="AH83">
        <v>2</v>
      </c>
      <c r="AI83">
        <v>35841654</v>
      </c>
      <c r="AJ83">
        <v>81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</row>
    <row r="84" spans="1:44">
      <c r="A84">
        <f>ROW(Source!A84)</f>
        <v>84</v>
      </c>
      <c r="B84">
        <v>35841662</v>
      </c>
      <c r="C84">
        <v>35841652</v>
      </c>
      <c r="D84">
        <v>29172710</v>
      </c>
      <c r="E84">
        <v>1</v>
      </c>
      <c r="F84">
        <v>1</v>
      </c>
      <c r="G84">
        <v>1</v>
      </c>
      <c r="H84">
        <v>2</v>
      </c>
      <c r="I84" t="s">
        <v>497</v>
      </c>
      <c r="J84" t="s">
        <v>498</v>
      </c>
      <c r="K84" t="s">
        <v>499</v>
      </c>
      <c r="L84">
        <v>1368</v>
      </c>
      <c r="N84">
        <v>1011</v>
      </c>
      <c r="O84" t="s">
        <v>367</v>
      </c>
      <c r="P84" t="s">
        <v>367</v>
      </c>
      <c r="Q84">
        <v>1</v>
      </c>
      <c r="X84">
        <v>6.7</v>
      </c>
      <c r="Y84">
        <v>0</v>
      </c>
      <c r="Z84">
        <v>46.56</v>
      </c>
      <c r="AA84">
        <v>10.06</v>
      </c>
      <c r="AB84">
        <v>0</v>
      </c>
      <c r="AC84">
        <v>0</v>
      </c>
      <c r="AD84">
        <v>1</v>
      </c>
      <c r="AE84">
        <v>0</v>
      </c>
      <c r="AF84" t="s">
        <v>3</v>
      </c>
      <c r="AG84">
        <v>6.7</v>
      </c>
      <c r="AH84">
        <v>2</v>
      </c>
      <c r="AI84">
        <v>35841655</v>
      </c>
      <c r="AJ84">
        <v>82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</row>
    <row r="85" spans="1:44">
      <c r="A85">
        <f>ROW(Source!A84)</f>
        <v>84</v>
      </c>
      <c r="B85">
        <v>35841663</v>
      </c>
      <c r="C85">
        <v>35841652</v>
      </c>
      <c r="D85">
        <v>29173472</v>
      </c>
      <c r="E85">
        <v>1</v>
      </c>
      <c r="F85">
        <v>1</v>
      </c>
      <c r="G85">
        <v>1</v>
      </c>
      <c r="H85">
        <v>2</v>
      </c>
      <c r="I85" t="s">
        <v>396</v>
      </c>
      <c r="J85" t="s">
        <v>500</v>
      </c>
      <c r="K85" t="s">
        <v>398</v>
      </c>
      <c r="L85">
        <v>1368</v>
      </c>
      <c r="N85">
        <v>1011</v>
      </c>
      <c r="O85" t="s">
        <v>367</v>
      </c>
      <c r="P85" t="s">
        <v>367</v>
      </c>
      <c r="Q85">
        <v>1</v>
      </c>
      <c r="X85">
        <v>11</v>
      </c>
      <c r="Y85">
        <v>0</v>
      </c>
      <c r="Z85">
        <v>3</v>
      </c>
      <c r="AA85">
        <v>0</v>
      </c>
      <c r="AB85">
        <v>0</v>
      </c>
      <c r="AC85">
        <v>0</v>
      </c>
      <c r="AD85">
        <v>1</v>
      </c>
      <c r="AE85">
        <v>0</v>
      </c>
      <c r="AF85" t="s">
        <v>3</v>
      </c>
      <c r="AG85">
        <v>11</v>
      </c>
      <c r="AH85">
        <v>2</v>
      </c>
      <c r="AI85">
        <v>35841656</v>
      </c>
      <c r="AJ85">
        <v>83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</row>
    <row r="86" spans="1:44">
      <c r="A86">
        <f>ROW(Source!A84)</f>
        <v>84</v>
      </c>
      <c r="B86">
        <v>35841664</v>
      </c>
      <c r="C86">
        <v>35841652</v>
      </c>
      <c r="D86">
        <v>29174913</v>
      </c>
      <c r="E86">
        <v>1</v>
      </c>
      <c r="F86">
        <v>1</v>
      </c>
      <c r="G86">
        <v>1</v>
      </c>
      <c r="H86">
        <v>2</v>
      </c>
      <c r="I86" t="s">
        <v>381</v>
      </c>
      <c r="J86" t="s">
        <v>480</v>
      </c>
      <c r="K86" t="s">
        <v>383</v>
      </c>
      <c r="L86">
        <v>1368</v>
      </c>
      <c r="N86">
        <v>1011</v>
      </c>
      <c r="O86" t="s">
        <v>367</v>
      </c>
      <c r="P86" t="s">
        <v>367</v>
      </c>
      <c r="Q86">
        <v>1</v>
      </c>
      <c r="X86">
        <v>0.35</v>
      </c>
      <c r="Y86">
        <v>0</v>
      </c>
      <c r="Z86">
        <v>87.17</v>
      </c>
      <c r="AA86">
        <v>11.6</v>
      </c>
      <c r="AB86">
        <v>0</v>
      </c>
      <c r="AC86">
        <v>0</v>
      </c>
      <c r="AD86">
        <v>1</v>
      </c>
      <c r="AE86">
        <v>0</v>
      </c>
      <c r="AF86" t="s">
        <v>3</v>
      </c>
      <c r="AG86">
        <v>0.35</v>
      </c>
      <c r="AH86">
        <v>2</v>
      </c>
      <c r="AI86">
        <v>35841657</v>
      </c>
      <c r="AJ86">
        <v>84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</row>
    <row r="87" spans="1:44">
      <c r="A87">
        <f>ROW(Source!A84)</f>
        <v>84</v>
      </c>
      <c r="B87">
        <v>35841665</v>
      </c>
      <c r="C87">
        <v>35841652</v>
      </c>
      <c r="D87">
        <v>29114687</v>
      </c>
      <c r="E87">
        <v>1</v>
      </c>
      <c r="F87">
        <v>1</v>
      </c>
      <c r="G87">
        <v>1</v>
      </c>
      <c r="H87">
        <v>3</v>
      </c>
      <c r="I87" t="s">
        <v>501</v>
      </c>
      <c r="J87" t="s">
        <v>502</v>
      </c>
      <c r="K87" t="s">
        <v>503</v>
      </c>
      <c r="L87">
        <v>1348</v>
      </c>
      <c r="N87">
        <v>1009</v>
      </c>
      <c r="O87" t="s">
        <v>41</v>
      </c>
      <c r="P87" t="s">
        <v>41</v>
      </c>
      <c r="Q87">
        <v>1000</v>
      </c>
      <c r="X87">
        <v>1.8E-3</v>
      </c>
      <c r="Y87">
        <v>16974</v>
      </c>
      <c r="Z87">
        <v>0</v>
      </c>
      <c r="AA87">
        <v>0</v>
      </c>
      <c r="AB87">
        <v>0</v>
      </c>
      <c r="AC87">
        <v>0</v>
      </c>
      <c r="AD87">
        <v>1</v>
      </c>
      <c r="AE87">
        <v>0</v>
      </c>
      <c r="AF87" t="s">
        <v>3</v>
      </c>
      <c r="AG87">
        <v>1.8E-3</v>
      </c>
      <c r="AH87">
        <v>2</v>
      </c>
      <c r="AI87">
        <v>35841658</v>
      </c>
      <c r="AJ87">
        <v>85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</row>
    <row r="88" spans="1:44">
      <c r="A88">
        <f>ROW(Source!A84)</f>
        <v>84</v>
      </c>
      <c r="B88">
        <v>35841666</v>
      </c>
      <c r="C88">
        <v>35841652</v>
      </c>
      <c r="D88">
        <v>29115292</v>
      </c>
      <c r="E88">
        <v>1</v>
      </c>
      <c r="F88">
        <v>1</v>
      </c>
      <c r="G88">
        <v>1</v>
      </c>
      <c r="H88">
        <v>3</v>
      </c>
      <c r="I88" t="s">
        <v>504</v>
      </c>
      <c r="J88" t="s">
        <v>505</v>
      </c>
      <c r="K88" t="s">
        <v>506</v>
      </c>
      <c r="L88">
        <v>1339</v>
      </c>
      <c r="N88">
        <v>1007</v>
      </c>
      <c r="O88" t="s">
        <v>393</v>
      </c>
      <c r="P88" t="s">
        <v>393</v>
      </c>
      <c r="Q88">
        <v>1</v>
      </c>
      <c r="X88">
        <v>1.24</v>
      </c>
      <c r="Y88">
        <v>4478.33</v>
      </c>
      <c r="Z88">
        <v>0</v>
      </c>
      <c r="AA88">
        <v>0</v>
      </c>
      <c r="AB88">
        <v>0</v>
      </c>
      <c r="AC88">
        <v>0</v>
      </c>
      <c r="AD88">
        <v>1</v>
      </c>
      <c r="AE88">
        <v>0</v>
      </c>
      <c r="AF88" t="s">
        <v>3</v>
      </c>
      <c r="AG88">
        <v>1.24</v>
      </c>
      <c r="AH88">
        <v>2</v>
      </c>
      <c r="AI88">
        <v>35841659</v>
      </c>
      <c r="AJ88">
        <v>86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</row>
    <row r="89" spans="1:44">
      <c r="A89">
        <f>ROW(Source!A85)</f>
        <v>85</v>
      </c>
      <c r="B89">
        <v>37374075</v>
      </c>
      <c r="C89">
        <v>36517084</v>
      </c>
      <c r="D89">
        <v>18410542</v>
      </c>
      <c r="E89">
        <v>1</v>
      </c>
      <c r="F89">
        <v>1</v>
      </c>
      <c r="G89">
        <v>1</v>
      </c>
      <c r="H89">
        <v>1</v>
      </c>
      <c r="I89" t="s">
        <v>507</v>
      </c>
      <c r="J89" t="s">
        <v>3</v>
      </c>
      <c r="K89" t="s">
        <v>508</v>
      </c>
      <c r="L89">
        <v>1369</v>
      </c>
      <c r="N89">
        <v>1013</v>
      </c>
      <c r="O89" t="s">
        <v>361</v>
      </c>
      <c r="P89" t="s">
        <v>361</v>
      </c>
      <c r="Q89">
        <v>1</v>
      </c>
      <c r="X89">
        <v>42.4</v>
      </c>
      <c r="Y89">
        <v>0</v>
      </c>
      <c r="Z89">
        <v>0</v>
      </c>
      <c r="AA89">
        <v>0</v>
      </c>
      <c r="AB89">
        <v>275.77</v>
      </c>
      <c r="AC89">
        <v>0</v>
      </c>
      <c r="AD89">
        <v>1</v>
      </c>
      <c r="AE89">
        <v>1</v>
      </c>
      <c r="AF89" t="s">
        <v>114</v>
      </c>
      <c r="AG89">
        <v>48.76</v>
      </c>
      <c r="AH89">
        <v>2</v>
      </c>
      <c r="AI89">
        <v>37374075</v>
      </c>
      <c r="AJ89">
        <v>87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</row>
    <row r="90" spans="1:44">
      <c r="A90">
        <f>ROW(Source!A85)</f>
        <v>85</v>
      </c>
      <c r="B90">
        <v>37374076</v>
      </c>
      <c r="C90">
        <v>36517084</v>
      </c>
      <c r="D90">
        <v>121548</v>
      </c>
      <c r="E90">
        <v>1</v>
      </c>
      <c r="F90">
        <v>1</v>
      </c>
      <c r="G90">
        <v>1</v>
      </c>
      <c r="H90">
        <v>1</v>
      </c>
      <c r="I90" t="s">
        <v>213</v>
      </c>
      <c r="J90" t="s">
        <v>3</v>
      </c>
      <c r="K90" t="s">
        <v>362</v>
      </c>
      <c r="L90">
        <v>608254</v>
      </c>
      <c r="N90">
        <v>1013</v>
      </c>
      <c r="O90" t="s">
        <v>363</v>
      </c>
      <c r="P90" t="s">
        <v>363</v>
      </c>
      <c r="Q90">
        <v>1</v>
      </c>
      <c r="X90">
        <v>0.35</v>
      </c>
      <c r="Y90">
        <v>0</v>
      </c>
      <c r="Z90">
        <v>0</v>
      </c>
      <c r="AA90">
        <v>0</v>
      </c>
      <c r="AB90">
        <v>0</v>
      </c>
      <c r="AC90">
        <v>0</v>
      </c>
      <c r="AD90">
        <v>1</v>
      </c>
      <c r="AE90">
        <v>2</v>
      </c>
      <c r="AF90" t="s">
        <v>139</v>
      </c>
      <c r="AG90">
        <v>0.4375</v>
      </c>
      <c r="AH90">
        <v>2</v>
      </c>
      <c r="AI90">
        <v>37374076</v>
      </c>
      <c r="AJ90">
        <v>88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</row>
    <row r="91" spans="1:44">
      <c r="A91">
        <f>ROW(Source!A85)</f>
        <v>85</v>
      </c>
      <c r="B91">
        <v>37374077</v>
      </c>
      <c r="C91">
        <v>36517084</v>
      </c>
      <c r="D91">
        <v>29172556</v>
      </c>
      <c r="E91">
        <v>1</v>
      </c>
      <c r="F91">
        <v>1</v>
      </c>
      <c r="G91">
        <v>1</v>
      </c>
      <c r="H91">
        <v>2</v>
      </c>
      <c r="I91" t="s">
        <v>364</v>
      </c>
      <c r="J91" t="s">
        <v>365</v>
      </c>
      <c r="K91" t="s">
        <v>366</v>
      </c>
      <c r="L91">
        <v>1368</v>
      </c>
      <c r="N91">
        <v>1011</v>
      </c>
      <c r="O91" t="s">
        <v>367</v>
      </c>
      <c r="P91" t="s">
        <v>367</v>
      </c>
      <c r="Q91">
        <v>1</v>
      </c>
      <c r="X91">
        <v>0.35</v>
      </c>
      <c r="Y91">
        <v>0</v>
      </c>
      <c r="Z91">
        <v>31.26</v>
      </c>
      <c r="AA91">
        <v>13.5</v>
      </c>
      <c r="AB91">
        <v>0</v>
      </c>
      <c r="AC91">
        <v>0</v>
      </c>
      <c r="AD91">
        <v>1</v>
      </c>
      <c r="AE91">
        <v>0</v>
      </c>
      <c r="AF91" t="s">
        <v>139</v>
      </c>
      <c r="AG91">
        <v>0.4375</v>
      </c>
      <c r="AH91">
        <v>2</v>
      </c>
      <c r="AI91">
        <v>37374077</v>
      </c>
      <c r="AJ91">
        <v>89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</row>
    <row r="92" spans="1:44">
      <c r="A92">
        <f>ROW(Source!A85)</f>
        <v>85</v>
      </c>
      <c r="B92">
        <v>37374078</v>
      </c>
      <c r="C92">
        <v>36517084</v>
      </c>
      <c r="D92">
        <v>29174913</v>
      </c>
      <c r="E92">
        <v>1</v>
      </c>
      <c r="F92">
        <v>1</v>
      </c>
      <c r="G92">
        <v>1</v>
      </c>
      <c r="H92">
        <v>2</v>
      </c>
      <c r="I92" t="s">
        <v>381</v>
      </c>
      <c r="J92" t="s">
        <v>382</v>
      </c>
      <c r="K92" t="s">
        <v>383</v>
      </c>
      <c r="L92">
        <v>1368</v>
      </c>
      <c r="N92">
        <v>1011</v>
      </c>
      <c r="O92" t="s">
        <v>367</v>
      </c>
      <c r="P92" t="s">
        <v>367</v>
      </c>
      <c r="Q92">
        <v>1</v>
      </c>
      <c r="X92">
        <v>0.5</v>
      </c>
      <c r="Y92">
        <v>0</v>
      </c>
      <c r="Z92">
        <v>87.17</v>
      </c>
      <c r="AA92">
        <v>11.6</v>
      </c>
      <c r="AB92">
        <v>0</v>
      </c>
      <c r="AC92">
        <v>0</v>
      </c>
      <c r="AD92">
        <v>1</v>
      </c>
      <c r="AE92">
        <v>0</v>
      </c>
      <c r="AF92" t="s">
        <v>139</v>
      </c>
      <c r="AG92">
        <v>0.625</v>
      </c>
      <c r="AH92">
        <v>2</v>
      </c>
      <c r="AI92">
        <v>37374078</v>
      </c>
      <c r="AJ92">
        <v>90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</row>
    <row r="93" spans="1:44">
      <c r="A93">
        <f>ROW(Source!A85)</f>
        <v>85</v>
      </c>
      <c r="B93">
        <v>37374079</v>
      </c>
      <c r="C93">
        <v>36517084</v>
      </c>
      <c r="D93">
        <v>29110876</v>
      </c>
      <c r="E93">
        <v>1</v>
      </c>
      <c r="F93">
        <v>1</v>
      </c>
      <c r="G93">
        <v>1</v>
      </c>
      <c r="H93">
        <v>3</v>
      </c>
      <c r="I93" t="s">
        <v>179</v>
      </c>
      <c r="J93" t="s">
        <v>181</v>
      </c>
      <c r="K93" t="s">
        <v>180</v>
      </c>
      <c r="L93">
        <v>1327</v>
      </c>
      <c r="N93">
        <v>1005</v>
      </c>
      <c r="O93" t="s">
        <v>129</v>
      </c>
      <c r="P93" t="s">
        <v>129</v>
      </c>
      <c r="Q93">
        <v>1</v>
      </c>
      <c r="X93">
        <v>102</v>
      </c>
      <c r="Y93">
        <v>67.8</v>
      </c>
      <c r="Z93">
        <v>0</v>
      </c>
      <c r="AA93">
        <v>0</v>
      </c>
      <c r="AB93">
        <v>0</v>
      </c>
      <c r="AC93">
        <v>0</v>
      </c>
      <c r="AD93">
        <v>1</v>
      </c>
      <c r="AE93">
        <v>0</v>
      </c>
      <c r="AF93" t="s">
        <v>3</v>
      </c>
      <c r="AG93">
        <v>102</v>
      </c>
      <c r="AH93">
        <v>2</v>
      </c>
      <c r="AI93">
        <v>37374079</v>
      </c>
      <c r="AJ93">
        <v>91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</row>
    <row r="94" spans="1:44">
      <c r="A94">
        <f>ROW(Source!A85)</f>
        <v>85</v>
      </c>
      <c r="B94">
        <v>37374080</v>
      </c>
      <c r="C94">
        <v>36517084</v>
      </c>
      <c r="D94">
        <v>29109386</v>
      </c>
      <c r="E94">
        <v>1</v>
      </c>
      <c r="F94">
        <v>1</v>
      </c>
      <c r="G94">
        <v>1</v>
      </c>
      <c r="H94">
        <v>3</v>
      </c>
      <c r="I94" t="s">
        <v>509</v>
      </c>
      <c r="J94" t="s">
        <v>510</v>
      </c>
      <c r="K94" t="s">
        <v>511</v>
      </c>
      <c r="L94">
        <v>1348</v>
      </c>
      <c r="N94">
        <v>1009</v>
      </c>
      <c r="O94" t="s">
        <v>41</v>
      </c>
      <c r="P94" t="s">
        <v>41</v>
      </c>
      <c r="Q94">
        <v>1000</v>
      </c>
      <c r="X94">
        <v>0.05</v>
      </c>
      <c r="Y94">
        <v>11300.01</v>
      </c>
      <c r="Z94">
        <v>0</v>
      </c>
      <c r="AA94">
        <v>0</v>
      </c>
      <c r="AB94">
        <v>0</v>
      </c>
      <c r="AC94">
        <v>0</v>
      </c>
      <c r="AD94">
        <v>1</v>
      </c>
      <c r="AE94">
        <v>0</v>
      </c>
      <c r="AF94" t="s">
        <v>3</v>
      </c>
      <c r="AG94">
        <v>0.05</v>
      </c>
      <c r="AH94">
        <v>2</v>
      </c>
      <c r="AI94">
        <v>37374080</v>
      </c>
      <c r="AJ94">
        <v>92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</row>
    <row r="95" spans="1:44">
      <c r="A95">
        <f>ROW(Source!A85)</f>
        <v>85</v>
      </c>
      <c r="B95">
        <v>37374081</v>
      </c>
      <c r="C95">
        <v>36517084</v>
      </c>
      <c r="D95">
        <v>29107800</v>
      </c>
      <c r="E95">
        <v>1</v>
      </c>
      <c r="F95">
        <v>1</v>
      </c>
      <c r="G95">
        <v>1</v>
      </c>
      <c r="H95">
        <v>3</v>
      </c>
      <c r="I95" t="s">
        <v>384</v>
      </c>
      <c r="J95" t="s">
        <v>385</v>
      </c>
      <c r="K95" t="s">
        <v>386</v>
      </c>
      <c r="L95">
        <v>1346</v>
      </c>
      <c r="N95">
        <v>1009</v>
      </c>
      <c r="O95" t="s">
        <v>151</v>
      </c>
      <c r="P95" t="s">
        <v>151</v>
      </c>
      <c r="Q95">
        <v>1</v>
      </c>
      <c r="X95">
        <v>0.5</v>
      </c>
      <c r="Y95">
        <v>1.81</v>
      </c>
      <c r="Z95">
        <v>0</v>
      </c>
      <c r="AA95">
        <v>0</v>
      </c>
      <c r="AB95">
        <v>0</v>
      </c>
      <c r="AC95">
        <v>0</v>
      </c>
      <c r="AD95">
        <v>1</v>
      </c>
      <c r="AE95">
        <v>0</v>
      </c>
      <c r="AF95" t="s">
        <v>3</v>
      </c>
      <c r="AG95">
        <v>0.5</v>
      </c>
      <c r="AH95">
        <v>2</v>
      </c>
      <c r="AI95">
        <v>37374081</v>
      </c>
      <c r="AJ95">
        <v>93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</row>
    <row r="96" spans="1:44">
      <c r="A96">
        <f>ROW(Source!A155)</f>
        <v>155</v>
      </c>
      <c r="B96">
        <v>36517115</v>
      </c>
      <c r="C96">
        <v>36517114</v>
      </c>
      <c r="D96">
        <v>18406804</v>
      </c>
      <c r="E96">
        <v>1</v>
      </c>
      <c r="F96">
        <v>1</v>
      </c>
      <c r="G96">
        <v>1</v>
      </c>
      <c r="H96">
        <v>1</v>
      </c>
      <c r="I96" t="s">
        <v>368</v>
      </c>
      <c r="J96" t="s">
        <v>3</v>
      </c>
      <c r="K96" t="s">
        <v>369</v>
      </c>
      <c r="L96">
        <v>1369</v>
      </c>
      <c r="N96">
        <v>1013</v>
      </c>
      <c r="O96" t="s">
        <v>361</v>
      </c>
      <c r="P96" t="s">
        <v>361</v>
      </c>
      <c r="Q96">
        <v>1</v>
      </c>
      <c r="X96">
        <v>20.8</v>
      </c>
      <c r="Y96">
        <v>0</v>
      </c>
      <c r="Z96">
        <v>0</v>
      </c>
      <c r="AA96">
        <v>0</v>
      </c>
      <c r="AB96">
        <v>258.83999999999997</v>
      </c>
      <c r="AC96">
        <v>0</v>
      </c>
      <c r="AD96">
        <v>1</v>
      </c>
      <c r="AE96">
        <v>1</v>
      </c>
      <c r="AF96" t="s">
        <v>3</v>
      </c>
      <c r="AG96">
        <v>20.8</v>
      </c>
      <c r="AH96">
        <v>2</v>
      </c>
      <c r="AI96">
        <v>36517115</v>
      </c>
      <c r="AJ96">
        <v>95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</row>
    <row r="97" spans="1:44">
      <c r="A97">
        <f>ROW(Source!A156)</f>
        <v>156</v>
      </c>
      <c r="B97">
        <v>36513440</v>
      </c>
      <c r="C97">
        <v>36513439</v>
      </c>
      <c r="D97">
        <v>18410631</v>
      </c>
      <c r="E97">
        <v>1</v>
      </c>
      <c r="F97">
        <v>1</v>
      </c>
      <c r="G97">
        <v>1</v>
      </c>
      <c r="H97">
        <v>1</v>
      </c>
      <c r="I97" t="s">
        <v>373</v>
      </c>
      <c r="J97" t="s">
        <v>3</v>
      </c>
      <c r="K97" t="s">
        <v>374</v>
      </c>
      <c r="L97">
        <v>1369</v>
      </c>
      <c r="N97">
        <v>1013</v>
      </c>
      <c r="O97" t="s">
        <v>361</v>
      </c>
      <c r="P97" t="s">
        <v>361</v>
      </c>
      <c r="Q97">
        <v>1</v>
      </c>
      <c r="X97">
        <v>5.94</v>
      </c>
      <c r="Y97">
        <v>0</v>
      </c>
      <c r="Z97">
        <v>0</v>
      </c>
      <c r="AA97">
        <v>0</v>
      </c>
      <c r="AB97">
        <v>276.22000000000003</v>
      </c>
      <c r="AC97">
        <v>0</v>
      </c>
      <c r="AD97">
        <v>1</v>
      </c>
      <c r="AE97">
        <v>1</v>
      </c>
      <c r="AF97" t="s">
        <v>114</v>
      </c>
      <c r="AG97">
        <v>6.8309999999999995</v>
      </c>
      <c r="AH97">
        <v>2</v>
      </c>
      <c r="AI97">
        <v>36513440</v>
      </c>
      <c r="AJ97">
        <v>96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</row>
    <row r="98" spans="1:44">
      <c r="A98">
        <f>ROW(Source!A156)</f>
        <v>156</v>
      </c>
      <c r="B98">
        <v>36513441</v>
      </c>
      <c r="C98">
        <v>36513439</v>
      </c>
      <c r="D98">
        <v>121548</v>
      </c>
      <c r="E98">
        <v>1</v>
      </c>
      <c r="F98">
        <v>1</v>
      </c>
      <c r="G98">
        <v>1</v>
      </c>
      <c r="H98">
        <v>1</v>
      </c>
      <c r="I98" t="s">
        <v>213</v>
      </c>
      <c r="J98" t="s">
        <v>3</v>
      </c>
      <c r="K98" t="s">
        <v>362</v>
      </c>
      <c r="L98">
        <v>608254</v>
      </c>
      <c r="N98">
        <v>1013</v>
      </c>
      <c r="O98" t="s">
        <v>363</v>
      </c>
      <c r="P98" t="s">
        <v>363</v>
      </c>
      <c r="Q98">
        <v>1</v>
      </c>
      <c r="X98">
        <v>0.04</v>
      </c>
      <c r="Y98">
        <v>0</v>
      </c>
      <c r="Z98">
        <v>0</v>
      </c>
      <c r="AA98">
        <v>0</v>
      </c>
      <c r="AB98">
        <v>0</v>
      </c>
      <c r="AC98">
        <v>0</v>
      </c>
      <c r="AD98">
        <v>1</v>
      </c>
      <c r="AE98">
        <v>2</v>
      </c>
      <c r="AF98" t="s">
        <v>3</v>
      </c>
      <c r="AG98">
        <v>0.04</v>
      </c>
      <c r="AH98">
        <v>2</v>
      </c>
      <c r="AI98">
        <v>36513441</v>
      </c>
      <c r="AJ98">
        <v>97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</row>
    <row r="99" spans="1:44">
      <c r="A99">
        <f>ROW(Source!A156)</f>
        <v>156</v>
      </c>
      <c r="B99">
        <v>36513442</v>
      </c>
      <c r="C99">
        <v>36513439</v>
      </c>
      <c r="D99">
        <v>29172554</v>
      </c>
      <c r="E99">
        <v>1</v>
      </c>
      <c r="F99">
        <v>1</v>
      </c>
      <c r="G99">
        <v>1</v>
      </c>
      <c r="H99">
        <v>2</v>
      </c>
      <c r="I99" t="s">
        <v>375</v>
      </c>
      <c r="J99" t="s">
        <v>376</v>
      </c>
      <c r="K99" t="s">
        <v>377</v>
      </c>
      <c r="L99">
        <v>1368</v>
      </c>
      <c r="N99">
        <v>1011</v>
      </c>
      <c r="O99" t="s">
        <v>367</v>
      </c>
      <c r="P99" t="s">
        <v>367</v>
      </c>
      <c r="Q99">
        <v>1</v>
      </c>
      <c r="X99">
        <v>0.04</v>
      </c>
      <c r="Y99">
        <v>0</v>
      </c>
      <c r="Z99">
        <v>27.66</v>
      </c>
      <c r="AA99">
        <v>11.6</v>
      </c>
      <c r="AB99">
        <v>0</v>
      </c>
      <c r="AC99">
        <v>0</v>
      </c>
      <c r="AD99">
        <v>1</v>
      </c>
      <c r="AE99">
        <v>0</v>
      </c>
      <c r="AF99" t="s">
        <v>3</v>
      </c>
      <c r="AG99">
        <v>0.04</v>
      </c>
      <c r="AH99">
        <v>2</v>
      </c>
      <c r="AI99">
        <v>36513442</v>
      </c>
      <c r="AJ99">
        <v>98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</row>
    <row r="100" spans="1:44">
      <c r="A100">
        <f>ROW(Source!A156)</f>
        <v>156</v>
      </c>
      <c r="B100">
        <v>36513443</v>
      </c>
      <c r="C100">
        <v>36513439</v>
      </c>
      <c r="D100">
        <v>29174653</v>
      </c>
      <c r="E100">
        <v>1</v>
      </c>
      <c r="F100">
        <v>1</v>
      </c>
      <c r="G100">
        <v>1</v>
      </c>
      <c r="H100">
        <v>2</v>
      </c>
      <c r="I100" t="s">
        <v>378</v>
      </c>
      <c r="J100" t="s">
        <v>379</v>
      </c>
      <c r="K100" t="s">
        <v>380</v>
      </c>
      <c r="L100">
        <v>1368</v>
      </c>
      <c r="N100">
        <v>1011</v>
      </c>
      <c r="O100" t="s">
        <v>367</v>
      </c>
      <c r="P100" t="s">
        <v>367</v>
      </c>
      <c r="Q100">
        <v>1</v>
      </c>
      <c r="X100">
        <v>5.12</v>
      </c>
      <c r="Y100">
        <v>0</v>
      </c>
      <c r="Z100">
        <v>6.82</v>
      </c>
      <c r="AA100">
        <v>0</v>
      </c>
      <c r="AB100">
        <v>0</v>
      </c>
      <c r="AC100">
        <v>0</v>
      </c>
      <c r="AD100">
        <v>1</v>
      </c>
      <c r="AE100">
        <v>0</v>
      </c>
      <c r="AF100" t="s">
        <v>3</v>
      </c>
      <c r="AG100">
        <v>5.12</v>
      </c>
      <c r="AH100">
        <v>2</v>
      </c>
      <c r="AI100">
        <v>36513443</v>
      </c>
      <c r="AJ100">
        <v>99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</row>
    <row r="101" spans="1:44">
      <c r="A101">
        <f>ROW(Source!A156)</f>
        <v>156</v>
      </c>
      <c r="B101">
        <v>36513444</v>
      </c>
      <c r="C101">
        <v>36513439</v>
      </c>
      <c r="D101">
        <v>29174913</v>
      </c>
      <c r="E101">
        <v>1</v>
      </c>
      <c r="F101">
        <v>1</v>
      </c>
      <c r="G101">
        <v>1</v>
      </c>
      <c r="H101">
        <v>2</v>
      </c>
      <c r="I101" t="s">
        <v>381</v>
      </c>
      <c r="J101" t="s">
        <v>382</v>
      </c>
      <c r="K101" t="s">
        <v>383</v>
      </c>
      <c r="L101">
        <v>1368</v>
      </c>
      <c r="N101">
        <v>1011</v>
      </c>
      <c r="O101" t="s">
        <v>367</v>
      </c>
      <c r="P101" t="s">
        <v>367</v>
      </c>
      <c r="Q101">
        <v>1</v>
      </c>
      <c r="X101">
        <v>0.1</v>
      </c>
      <c r="Y101">
        <v>0</v>
      </c>
      <c r="Z101">
        <v>87.17</v>
      </c>
      <c r="AA101">
        <v>11.6</v>
      </c>
      <c r="AB101">
        <v>0</v>
      </c>
      <c r="AC101">
        <v>0</v>
      </c>
      <c r="AD101">
        <v>1</v>
      </c>
      <c r="AE101">
        <v>0</v>
      </c>
      <c r="AF101" t="s">
        <v>3</v>
      </c>
      <c r="AG101">
        <v>0.1</v>
      </c>
      <c r="AH101">
        <v>2</v>
      </c>
      <c r="AI101">
        <v>36513444</v>
      </c>
      <c r="AJ101">
        <v>100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</row>
    <row r="102" spans="1:44">
      <c r="A102">
        <f>ROW(Source!A156)</f>
        <v>156</v>
      </c>
      <c r="B102">
        <v>36513445</v>
      </c>
      <c r="C102">
        <v>36513439</v>
      </c>
      <c r="D102">
        <v>29107800</v>
      </c>
      <c r="E102">
        <v>1</v>
      </c>
      <c r="F102">
        <v>1</v>
      </c>
      <c r="G102">
        <v>1</v>
      </c>
      <c r="H102">
        <v>3</v>
      </c>
      <c r="I102" t="s">
        <v>384</v>
      </c>
      <c r="J102" t="s">
        <v>385</v>
      </c>
      <c r="K102" t="s">
        <v>386</v>
      </c>
      <c r="L102">
        <v>1346</v>
      </c>
      <c r="N102">
        <v>1009</v>
      </c>
      <c r="O102" t="s">
        <v>151</v>
      </c>
      <c r="P102" t="s">
        <v>151</v>
      </c>
      <c r="Q102">
        <v>1</v>
      </c>
      <c r="X102">
        <v>1</v>
      </c>
      <c r="Y102">
        <v>1.81</v>
      </c>
      <c r="Z102">
        <v>0</v>
      </c>
      <c r="AA102">
        <v>0</v>
      </c>
      <c r="AB102">
        <v>0</v>
      </c>
      <c r="AC102">
        <v>0</v>
      </c>
      <c r="AD102">
        <v>1</v>
      </c>
      <c r="AE102">
        <v>0</v>
      </c>
      <c r="AF102" t="s">
        <v>3</v>
      </c>
      <c r="AG102">
        <v>1</v>
      </c>
      <c r="AH102">
        <v>2</v>
      </c>
      <c r="AI102">
        <v>36513445</v>
      </c>
      <c r="AJ102">
        <v>101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</row>
    <row r="103" spans="1:44">
      <c r="A103">
        <f>ROW(Source!A156)</f>
        <v>156</v>
      </c>
      <c r="B103">
        <v>36513446</v>
      </c>
      <c r="C103">
        <v>36513439</v>
      </c>
      <c r="D103">
        <v>29122063</v>
      </c>
      <c r="E103">
        <v>1</v>
      </c>
      <c r="F103">
        <v>1</v>
      </c>
      <c r="G103">
        <v>1</v>
      </c>
      <c r="H103">
        <v>3</v>
      </c>
      <c r="I103" t="s">
        <v>387</v>
      </c>
      <c r="J103" t="s">
        <v>388</v>
      </c>
      <c r="K103" t="s">
        <v>389</v>
      </c>
      <c r="L103">
        <v>1346</v>
      </c>
      <c r="N103">
        <v>1009</v>
      </c>
      <c r="O103" t="s">
        <v>151</v>
      </c>
      <c r="P103" t="s">
        <v>151</v>
      </c>
      <c r="Q103">
        <v>1</v>
      </c>
      <c r="X103">
        <v>9.1999999999999993</v>
      </c>
      <c r="Y103">
        <v>16.59</v>
      </c>
      <c r="Z103">
        <v>0</v>
      </c>
      <c r="AA103">
        <v>0</v>
      </c>
      <c r="AB103">
        <v>0</v>
      </c>
      <c r="AC103">
        <v>0</v>
      </c>
      <c r="AD103">
        <v>1</v>
      </c>
      <c r="AE103">
        <v>0</v>
      </c>
      <c r="AF103" t="s">
        <v>3</v>
      </c>
      <c r="AG103">
        <v>9.1999999999999993</v>
      </c>
      <c r="AH103">
        <v>2</v>
      </c>
      <c r="AI103">
        <v>36513446</v>
      </c>
      <c r="AJ103">
        <v>102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</row>
    <row r="104" spans="1:44">
      <c r="A104">
        <f>ROW(Source!A156)</f>
        <v>156</v>
      </c>
      <c r="B104">
        <v>36513447</v>
      </c>
      <c r="C104">
        <v>36513439</v>
      </c>
      <c r="D104">
        <v>29150040</v>
      </c>
      <c r="E104">
        <v>1</v>
      </c>
      <c r="F104">
        <v>1</v>
      </c>
      <c r="G104">
        <v>1</v>
      </c>
      <c r="H104">
        <v>3</v>
      </c>
      <c r="I104" t="s">
        <v>390</v>
      </c>
      <c r="J104" t="s">
        <v>391</v>
      </c>
      <c r="K104" t="s">
        <v>392</v>
      </c>
      <c r="L104">
        <v>1339</v>
      </c>
      <c r="N104">
        <v>1007</v>
      </c>
      <c r="O104" t="s">
        <v>393</v>
      </c>
      <c r="P104" t="s">
        <v>393</v>
      </c>
      <c r="Q104">
        <v>1</v>
      </c>
      <c r="X104">
        <v>0.01</v>
      </c>
      <c r="Y104">
        <v>2.44</v>
      </c>
      <c r="Z104">
        <v>0</v>
      </c>
      <c r="AA104">
        <v>0</v>
      </c>
      <c r="AB104">
        <v>0</v>
      </c>
      <c r="AC104">
        <v>0</v>
      </c>
      <c r="AD104">
        <v>1</v>
      </c>
      <c r="AE104">
        <v>0</v>
      </c>
      <c r="AF104" t="s">
        <v>3</v>
      </c>
      <c r="AG104">
        <v>0.01</v>
      </c>
      <c r="AH104">
        <v>2</v>
      </c>
      <c r="AI104">
        <v>36513447</v>
      </c>
      <c r="AJ104">
        <v>103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</row>
    <row r="105" spans="1:44">
      <c r="A105">
        <f>ROW(Source!A157)</f>
        <v>157</v>
      </c>
      <c r="B105">
        <v>36517124</v>
      </c>
      <c r="C105">
        <v>36513461</v>
      </c>
      <c r="D105">
        <v>18410171</v>
      </c>
      <c r="E105">
        <v>1</v>
      </c>
      <c r="F105">
        <v>1</v>
      </c>
      <c r="G105">
        <v>1</v>
      </c>
      <c r="H105">
        <v>1</v>
      </c>
      <c r="I105" t="s">
        <v>456</v>
      </c>
      <c r="J105" t="s">
        <v>3</v>
      </c>
      <c r="K105" t="s">
        <v>457</v>
      </c>
      <c r="L105">
        <v>1369</v>
      </c>
      <c r="N105">
        <v>1013</v>
      </c>
      <c r="O105" t="s">
        <v>361</v>
      </c>
      <c r="P105" t="s">
        <v>361</v>
      </c>
      <c r="Q105">
        <v>1</v>
      </c>
      <c r="X105">
        <v>53.9</v>
      </c>
      <c r="Y105">
        <v>0</v>
      </c>
      <c r="Z105">
        <v>0</v>
      </c>
      <c r="AA105">
        <v>0</v>
      </c>
      <c r="AB105">
        <v>297.67</v>
      </c>
      <c r="AC105">
        <v>0</v>
      </c>
      <c r="AD105">
        <v>1</v>
      </c>
      <c r="AE105">
        <v>1</v>
      </c>
      <c r="AF105" t="s">
        <v>114</v>
      </c>
      <c r="AG105">
        <v>61.984999999999992</v>
      </c>
      <c r="AH105">
        <v>2</v>
      </c>
      <c r="AI105">
        <v>36517124</v>
      </c>
      <c r="AJ105">
        <v>104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</row>
    <row r="106" spans="1:44">
      <c r="A106">
        <f>ROW(Source!A157)</f>
        <v>157</v>
      </c>
      <c r="B106">
        <v>36517125</v>
      </c>
      <c r="C106">
        <v>36513461</v>
      </c>
      <c r="D106">
        <v>121548</v>
      </c>
      <c r="E106">
        <v>1</v>
      </c>
      <c r="F106">
        <v>1</v>
      </c>
      <c r="G106">
        <v>1</v>
      </c>
      <c r="H106">
        <v>1</v>
      </c>
      <c r="I106" t="s">
        <v>213</v>
      </c>
      <c r="J106" t="s">
        <v>3</v>
      </c>
      <c r="K106" t="s">
        <v>362</v>
      </c>
      <c r="L106">
        <v>608254</v>
      </c>
      <c r="N106">
        <v>1013</v>
      </c>
      <c r="O106" t="s">
        <v>363</v>
      </c>
      <c r="P106" t="s">
        <v>363</v>
      </c>
      <c r="Q106">
        <v>1</v>
      </c>
      <c r="X106">
        <v>0.02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1</v>
      </c>
      <c r="AE106">
        <v>2</v>
      </c>
      <c r="AF106" t="s">
        <v>3</v>
      </c>
      <c r="AG106">
        <v>0.02</v>
      </c>
      <c r="AH106">
        <v>2</v>
      </c>
      <c r="AI106">
        <v>36517125</v>
      </c>
      <c r="AJ106">
        <v>105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</row>
    <row r="107" spans="1:44">
      <c r="A107">
        <f>ROW(Source!A157)</f>
        <v>157</v>
      </c>
      <c r="B107">
        <v>36517126</v>
      </c>
      <c r="C107">
        <v>36513461</v>
      </c>
      <c r="D107">
        <v>29172556</v>
      </c>
      <c r="E107">
        <v>1</v>
      </c>
      <c r="F107">
        <v>1</v>
      </c>
      <c r="G107">
        <v>1</v>
      </c>
      <c r="H107">
        <v>2</v>
      </c>
      <c r="I107" t="s">
        <v>364</v>
      </c>
      <c r="J107" t="s">
        <v>365</v>
      </c>
      <c r="K107" t="s">
        <v>366</v>
      </c>
      <c r="L107">
        <v>1368</v>
      </c>
      <c r="N107">
        <v>1011</v>
      </c>
      <c r="O107" t="s">
        <v>367</v>
      </c>
      <c r="P107" t="s">
        <v>367</v>
      </c>
      <c r="Q107">
        <v>1</v>
      </c>
      <c r="X107">
        <v>0.02</v>
      </c>
      <c r="Y107">
        <v>0</v>
      </c>
      <c r="Z107">
        <v>31.26</v>
      </c>
      <c r="AA107">
        <v>13.5</v>
      </c>
      <c r="AB107">
        <v>0</v>
      </c>
      <c r="AC107">
        <v>0</v>
      </c>
      <c r="AD107">
        <v>1</v>
      </c>
      <c r="AE107">
        <v>0</v>
      </c>
      <c r="AF107" t="s">
        <v>3</v>
      </c>
      <c r="AG107">
        <v>0.02</v>
      </c>
      <c r="AH107">
        <v>2</v>
      </c>
      <c r="AI107">
        <v>36517126</v>
      </c>
      <c r="AJ107">
        <v>106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</row>
    <row r="108" spans="1:44">
      <c r="A108">
        <f>ROW(Source!A157)</f>
        <v>157</v>
      </c>
      <c r="B108">
        <v>36517127</v>
      </c>
      <c r="C108">
        <v>36513461</v>
      </c>
      <c r="D108">
        <v>29174913</v>
      </c>
      <c r="E108">
        <v>1</v>
      </c>
      <c r="F108">
        <v>1</v>
      </c>
      <c r="G108">
        <v>1</v>
      </c>
      <c r="H108">
        <v>2</v>
      </c>
      <c r="I108" t="s">
        <v>381</v>
      </c>
      <c r="J108" t="s">
        <v>382</v>
      </c>
      <c r="K108" t="s">
        <v>383</v>
      </c>
      <c r="L108">
        <v>1368</v>
      </c>
      <c r="N108">
        <v>1011</v>
      </c>
      <c r="O108" t="s">
        <v>367</v>
      </c>
      <c r="P108" t="s">
        <v>367</v>
      </c>
      <c r="Q108">
        <v>1</v>
      </c>
      <c r="X108">
        <v>0.16</v>
      </c>
      <c r="Y108">
        <v>0</v>
      </c>
      <c r="Z108">
        <v>87.17</v>
      </c>
      <c r="AA108">
        <v>11.6</v>
      </c>
      <c r="AB108">
        <v>0</v>
      </c>
      <c r="AC108">
        <v>0</v>
      </c>
      <c r="AD108">
        <v>1</v>
      </c>
      <c r="AE108">
        <v>0</v>
      </c>
      <c r="AF108" t="s">
        <v>3</v>
      </c>
      <c r="AG108">
        <v>0.16</v>
      </c>
      <c r="AH108">
        <v>2</v>
      </c>
      <c r="AI108">
        <v>36517127</v>
      </c>
      <c r="AJ108">
        <v>107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</row>
    <row r="109" spans="1:44">
      <c r="A109">
        <f>ROW(Source!A157)</f>
        <v>157</v>
      </c>
      <c r="B109">
        <v>36517128</v>
      </c>
      <c r="C109">
        <v>36513461</v>
      </c>
      <c r="D109">
        <v>29107779</v>
      </c>
      <c r="E109">
        <v>1</v>
      </c>
      <c r="F109">
        <v>1</v>
      </c>
      <c r="G109">
        <v>1</v>
      </c>
      <c r="H109">
        <v>3</v>
      </c>
      <c r="I109" t="s">
        <v>458</v>
      </c>
      <c r="J109" t="s">
        <v>459</v>
      </c>
      <c r="K109" t="s">
        <v>460</v>
      </c>
      <c r="L109">
        <v>1327</v>
      </c>
      <c r="N109">
        <v>1005</v>
      </c>
      <c r="O109" t="s">
        <v>129</v>
      </c>
      <c r="P109" t="s">
        <v>129</v>
      </c>
      <c r="Q109">
        <v>1</v>
      </c>
      <c r="X109">
        <v>0.84</v>
      </c>
      <c r="Y109">
        <v>72.31</v>
      </c>
      <c r="Z109">
        <v>0</v>
      </c>
      <c r="AA109">
        <v>0</v>
      </c>
      <c r="AB109">
        <v>0</v>
      </c>
      <c r="AC109">
        <v>0</v>
      </c>
      <c r="AD109">
        <v>1</v>
      </c>
      <c r="AE109">
        <v>0</v>
      </c>
      <c r="AF109" t="s">
        <v>3</v>
      </c>
      <c r="AG109">
        <v>0.84</v>
      </c>
      <c r="AH109">
        <v>2</v>
      </c>
      <c r="AI109">
        <v>36517128</v>
      </c>
      <c r="AJ109">
        <v>108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</row>
    <row r="110" spans="1:44">
      <c r="A110">
        <f>ROW(Source!A157)</f>
        <v>157</v>
      </c>
      <c r="B110">
        <v>36517129</v>
      </c>
      <c r="C110">
        <v>36513461</v>
      </c>
      <c r="D110">
        <v>29109797</v>
      </c>
      <c r="E110">
        <v>1</v>
      </c>
      <c r="F110">
        <v>1</v>
      </c>
      <c r="G110">
        <v>1</v>
      </c>
      <c r="H110">
        <v>3</v>
      </c>
      <c r="I110" t="s">
        <v>461</v>
      </c>
      <c r="J110" t="s">
        <v>462</v>
      </c>
      <c r="K110" t="s">
        <v>463</v>
      </c>
      <c r="L110">
        <v>1348</v>
      </c>
      <c r="N110">
        <v>1009</v>
      </c>
      <c r="O110" t="s">
        <v>41</v>
      </c>
      <c r="P110" t="s">
        <v>41</v>
      </c>
      <c r="Q110">
        <v>1000</v>
      </c>
      <c r="X110">
        <v>5.5E-2</v>
      </c>
      <c r="Y110">
        <v>4294.0200000000004</v>
      </c>
      <c r="Z110">
        <v>0</v>
      </c>
      <c r="AA110">
        <v>0</v>
      </c>
      <c r="AB110">
        <v>0</v>
      </c>
      <c r="AC110">
        <v>0</v>
      </c>
      <c r="AD110">
        <v>1</v>
      </c>
      <c r="AE110">
        <v>0</v>
      </c>
      <c r="AF110" t="s">
        <v>3</v>
      </c>
      <c r="AG110">
        <v>5.5E-2</v>
      </c>
      <c r="AH110">
        <v>2</v>
      </c>
      <c r="AI110">
        <v>36517129</v>
      </c>
      <c r="AJ110">
        <v>109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</row>
    <row r="111" spans="1:44">
      <c r="A111">
        <f>ROW(Source!A157)</f>
        <v>157</v>
      </c>
      <c r="B111">
        <v>36517130</v>
      </c>
      <c r="C111">
        <v>36513461</v>
      </c>
      <c r="D111">
        <v>29107800</v>
      </c>
      <c r="E111">
        <v>1</v>
      </c>
      <c r="F111">
        <v>1</v>
      </c>
      <c r="G111">
        <v>1</v>
      </c>
      <c r="H111">
        <v>3</v>
      </c>
      <c r="I111" t="s">
        <v>384</v>
      </c>
      <c r="J111" t="s">
        <v>385</v>
      </c>
      <c r="K111" t="s">
        <v>386</v>
      </c>
      <c r="L111">
        <v>1346</v>
      </c>
      <c r="N111">
        <v>1009</v>
      </c>
      <c r="O111" t="s">
        <v>151</v>
      </c>
      <c r="P111" t="s">
        <v>151</v>
      </c>
      <c r="Q111">
        <v>1</v>
      </c>
      <c r="X111">
        <v>0.31</v>
      </c>
      <c r="Y111">
        <v>1.81</v>
      </c>
      <c r="Z111">
        <v>0</v>
      </c>
      <c r="AA111">
        <v>0</v>
      </c>
      <c r="AB111">
        <v>0</v>
      </c>
      <c r="AC111">
        <v>0</v>
      </c>
      <c r="AD111">
        <v>1</v>
      </c>
      <c r="AE111">
        <v>0</v>
      </c>
      <c r="AF111" t="s">
        <v>3</v>
      </c>
      <c r="AG111">
        <v>0.31</v>
      </c>
      <c r="AH111">
        <v>2</v>
      </c>
      <c r="AI111">
        <v>36517130</v>
      </c>
      <c r="AJ111">
        <v>110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</row>
    <row r="112" spans="1:44">
      <c r="A112">
        <f>ROW(Source!A157)</f>
        <v>157</v>
      </c>
      <c r="B112">
        <v>36517131</v>
      </c>
      <c r="C112">
        <v>36513461</v>
      </c>
      <c r="D112">
        <v>29110439</v>
      </c>
      <c r="E112">
        <v>1</v>
      </c>
      <c r="F112">
        <v>1</v>
      </c>
      <c r="G112">
        <v>1</v>
      </c>
      <c r="H112">
        <v>3</v>
      </c>
      <c r="I112" t="s">
        <v>464</v>
      </c>
      <c r="J112" t="s">
        <v>465</v>
      </c>
      <c r="K112" t="s">
        <v>466</v>
      </c>
      <c r="L112">
        <v>1348</v>
      </c>
      <c r="N112">
        <v>1009</v>
      </c>
      <c r="O112" t="s">
        <v>41</v>
      </c>
      <c r="P112" t="s">
        <v>41</v>
      </c>
      <c r="Q112">
        <v>1000</v>
      </c>
      <c r="X112">
        <v>6.9000000000000006E-2</v>
      </c>
      <c r="Y112">
        <v>15481.01</v>
      </c>
      <c r="Z112">
        <v>0</v>
      </c>
      <c r="AA112">
        <v>0</v>
      </c>
      <c r="AB112">
        <v>0</v>
      </c>
      <c r="AC112">
        <v>0</v>
      </c>
      <c r="AD112">
        <v>1</v>
      </c>
      <c r="AE112">
        <v>0</v>
      </c>
      <c r="AF112" t="s">
        <v>3</v>
      </c>
      <c r="AG112">
        <v>6.9000000000000006E-2</v>
      </c>
      <c r="AH112">
        <v>2</v>
      </c>
      <c r="AI112">
        <v>36517131</v>
      </c>
      <c r="AJ112">
        <v>111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</row>
    <row r="113" spans="1:44">
      <c r="A113">
        <f>ROW(Source!A193)</f>
        <v>193</v>
      </c>
      <c r="B113">
        <v>36514400</v>
      </c>
      <c r="C113">
        <v>36514399</v>
      </c>
      <c r="D113">
        <v>18410171</v>
      </c>
      <c r="E113">
        <v>1</v>
      </c>
      <c r="F113">
        <v>1</v>
      </c>
      <c r="G113">
        <v>1</v>
      </c>
      <c r="H113">
        <v>1</v>
      </c>
      <c r="I113" t="s">
        <v>456</v>
      </c>
      <c r="J113" t="s">
        <v>3</v>
      </c>
      <c r="K113" t="s">
        <v>457</v>
      </c>
      <c r="L113">
        <v>1369</v>
      </c>
      <c r="N113">
        <v>1013</v>
      </c>
      <c r="O113" t="s">
        <v>361</v>
      </c>
      <c r="P113" t="s">
        <v>361</v>
      </c>
      <c r="Q113">
        <v>1</v>
      </c>
      <c r="X113">
        <v>12.3</v>
      </c>
      <c r="Y113">
        <v>0</v>
      </c>
      <c r="Z113">
        <v>0</v>
      </c>
      <c r="AA113">
        <v>0</v>
      </c>
      <c r="AB113">
        <v>292.87</v>
      </c>
      <c r="AC113">
        <v>0</v>
      </c>
      <c r="AD113">
        <v>1</v>
      </c>
      <c r="AE113">
        <v>1</v>
      </c>
      <c r="AF113" t="s">
        <v>114</v>
      </c>
      <c r="AG113">
        <v>14.145</v>
      </c>
      <c r="AH113">
        <v>2</v>
      </c>
      <c r="AI113">
        <v>36514400</v>
      </c>
      <c r="AJ113">
        <v>112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</row>
    <row r="114" spans="1:44">
      <c r="A114">
        <f>ROW(Source!A193)</f>
        <v>193</v>
      </c>
      <c r="B114">
        <v>36514401</v>
      </c>
      <c r="C114">
        <v>36514399</v>
      </c>
      <c r="D114">
        <v>121548</v>
      </c>
      <c r="E114">
        <v>1</v>
      </c>
      <c r="F114">
        <v>1</v>
      </c>
      <c r="G114">
        <v>1</v>
      </c>
      <c r="H114">
        <v>1</v>
      </c>
      <c r="I114" t="s">
        <v>213</v>
      </c>
      <c r="J114" t="s">
        <v>3</v>
      </c>
      <c r="K114" t="s">
        <v>362</v>
      </c>
      <c r="L114">
        <v>608254</v>
      </c>
      <c r="N114">
        <v>1013</v>
      </c>
      <c r="O114" t="s">
        <v>363</v>
      </c>
      <c r="P114" t="s">
        <v>363</v>
      </c>
      <c r="Q114">
        <v>1</v>
      </c>
      <c r="X114">
        <v>2.54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1</v>
      </c>
      <c r="AE114">
        <v>2</v>
      </c>
      <c r="AF114" t="s">
        <v>3</v>
      </c>
      <c r="AG114">
        <v>2.54</v>
      </c>
      <c r="AH114">
        <v>2</v>
      </c>
      <c r="AI114">
        <v>36514401</v>
      </c>
      <c r="AJ114">
        <v>113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</row>
    <row r="115" spans="1:44">
      <c r="A115">
        <f>ROW(Source!A193)</f>
        <v>193</v>
      </c>
      <c r="B115">
        <v>36514402</v>
      </c>
      <c r="C115">
        <v>36514399</v>
      </c>
      <c r="D115">
        <v>29172710</v>
      </c>
      <c r="E115">
        <v>1</v>
      </c>
      <c r="F115">
        <v>1</v>
      </c>
      <c r="G115">
        <v>1</v>
      </c>
      <c r="H115">
        <v>2</v>
      </c>
      <c r="I115" t="s">
        <v>497</v>
      </c>
      <c r="J115" t="s">
        <v>512</v>
      </c>
      <c r="K115" t="s">
        <v>499</v>
      </c>
      <c r="L115">
        <v>1368</v>
      </c>
      <c r="N115">
        <v>1011</v>
      </c>
      <c r="O115" t="s">
        <v>367</v>
      </c>
      <c r="P115" t="s">
        <v>367</v>
      </c>
      <c r="Q115">
        <v>1</v>
      </c>
      <c r="X115">
        <v>2.54</v>
      </c>
      <c r="Y115">
        <v>0</v>
      </c>
      <c r="Z115">
        <v>46.56</v>
      </c>
      <c r="AA115">
        <v>10.06</v>
      </c>
      <c r="AB115">
        <v>0</v>
      </c>
      <c r="AC115">
        <v>0</v>
      </c>
      <c r="AD115">
        <v>1</v>
      </c>
      <c r="AE115">
        <v>0</v>
      </c>
      <c r="AF115" t="s">
        <v>3</v>
      </c>
      <c r="AG115">
        <v>2.54</v>
      </c>
      <c r="AH115">
        <v>2</v>
      </c>
      <c r="AI115">
        <v>36514402</v>
      </c>
      <c r="AJ115">
        <v>114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</row>
    <row r="116" spans="1:44">
      <c r="A116">
        <f>ROW(Source!A193)</f>
        <v>193</v>
      </c>
      <c r="B116">
        <v>36514403</v>
      </c>
      <c r="C116">
        <v>36514399</v>
      </c>
      <c r="D116">
        <v>29174533</v>
      </c>
      <c r="E116">
        <v>1</v>
      </c>
      <c r="F116">
        <v>1</v>
      </c>
      <c r="G116">
        <v>1</v>
      </c>
      <c r="H116">
        <v>2</v>
      </c>
      <c r="I116" t="s">
        <v>513</v>
      </c>
      <c r="J116" t="s">
        <v>514</v>
      </c>
      <c r="K116" t="s">
        <v>515</v>
      </c>
      <c r="L116">
        <v>1368</v>
      </c>
      <c r="N116">
        <v>1011</v>
      </c>
      <c r="O116" t="s">
        <v>367</v>
      </c>
      <c r="P116" t="s">
        <v>367</v>
      </c>
      <c r="Q116">
        <v>1</v>
      </c>
      <c r="X116">
        <v>5.08</v>
      </c>
      <c r="Y116">
        <v>0</v>
      </c>
      <c r="Z116">
        <v>1.53</v>
      </c>
      <c r="AA116">
        <v>0</v>
      </c>
      <c r="AB116">
        <v>0</v>
      </c>
      <c r="AC116">
        <v>0</v>
      </c>
      <c r="AD116">
        <v>1</v>
      </c>
      <c r="AE116">
        <v>0</v>
      </c>
      <c r="AF116" t="s">
        <v>3</v>
      </c>
      <c r="AG116">
        <v>5.08</v>
      </c>
      <c r="AH116">
        <v>2</v>
      </c>
      <c r="AI116">
        <v>36514403</v>
      </c>
      <c r="AJ116">
        <v>115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</row>
    <row r="117" spans="1:44">
      <c r="A117">
        <f>ROW(Source!A194)</f>
        <v>194</v>
      </c>
      <c r="B117">
        <v>36514405</v>
      </c>
      <c r="C117">
        <v>36514404</v>
      </c>
      <c r="D117">
        <v>18410572</v>
      </c>
      <c r="E117">
        <v>1</v>
      </c>
      <c r="F117">
        <v>1</v>
      </c>
      <c r="G117">
        <v>1</v>
      </c>
      <c r="H117">
        <v>1</v>
      </c>
      <c r="I117" t="s">
        <v>516</v>
      </c>
      <c r="J117" t="s">
        <v>3</v>
      </c>
      <c r="K117" t="s">
        <v>517</v>
      </c>
      <c r="L117">
        <v>1369</v>
      </c>
      <c r="N117">
        <v>1013</v>
      </c>
      <c r="O117" t="s">
        <v>361</v>
      </c>
      <c r="P117" t="s">
        <v>361</v>
      </c>
      <c r="Q117">
        <v>1</v>
      </c>
      <c r="X117">
        <v>170.75</v>
      </c>
      <c r="Y117">
        <v>0</v>
      </c>
      <c r="Z117">
        <v>0</v>
      </c>
      <c r="AA117">
        <v>0</v>
      </c>
      <c r="AB117">
        <v>285.36</v>
      </c>
      <c r="AC117">
        <v>0</v>
      </c>
      <c r="AD117">
        <v>1</v>
      </c>
      <c r="AE117">
        <v>1</v>
      </c>
      <c r="AF117" t="s">
        <v>114</v>
      </c>
      <c r="AG117">
        <v>196.36249999999998</v>
      </c>
      <c r="AH117">
        <v>2</v>
      </c>
      <c r="AI117">
        <v>36514405</v>
      </c>
      <c r="AJ117">
        <v>116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</row>
    <row r="118" spans="1:44">
      <c r="A118">
        <f>ROW(Source!A194)</f>
        <v>194</v>
      </c>
      <c r="B118">
        <v>36514406</v>
      </c>
      <c r="C118">
        <v>36514404</v>
      </c>
      <c r="D118">
        <v>121548</v>
      </c>
      <c r="E118">
        <v>1</v>
      </c>
      <c r="F118">
        <v>1</v>
      </c>
      <c r="G118">
        <v>1</v>
      </c>
      <c r="H118">
        <v>1</v>
      </c>
      <c r="I118" t="s">
        <v>213</v>
      </c>
      <c r="J118" t="s">
        <v>3</v>
      </c>
      <c r="K118" t="s">
        <v>362</v>
      </c>
      <c r="L118">
        <v>608254</v>
      </c>
      <c r="N118">
        <v>1013</v>
      </c>
      <c r="O118" t="s">
        <v>363</v>
      </c>
      <c r="P118" t="s">
        <v>363</v>
      </c>
      <c r="Q118">
        <v>1</v>
      </c>
      <c r="X118">
        <v>1.76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1</v>
      </c>
      <c r="AE118">
        <v>2</v>
      </c>
      <c r="AF118" t="s">
        <v>3</v>
      </c>
      <c r="AG118">
        <v>1.76</v>
      </c>
      <c r="AH118">
        <v>2</v>
      </c>
      <c r="AI118">
        <v>36514406</v>
      </c>
      <c r="AJ118">
        <v>117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</row>
    <row r="119" spans="1:44">
      <c r="A119">
        <f>ROW(Source!A194)</f>
        <v>194</v>
      </c>
      <c r="B119">
        <v>36514407</v>
      </c>
      <c r="C119">
        <v>36514404</v>
      </c>
      <c r="D119">
        <v>29172556</v>
      </c>
      <c r="E119">
        <v>1</v>
      </c>
      <c r="F119">
        <v>1</v>
      </c>
      <c r="G119">
        <v>1</v>
      </c>
      <c r="H119">
        <v>2</v>
      </c>
      <c r="I119" t="s">
        <v>364</v>
      </c>
      <c r="J119" t="s">
        <v>365</v>
      </c>
      <c r="K119" t="s">
        <v>366</v>
      </c>
      <c r="L119">
        <v>1368</v>
      </c>
      <c r="N119">
        <v>1011</v>
      </c>
      <c r="O119" t="s">
        <v>367</v>
      </c>
      <c r="P119" t="s">
        <v>367</v>
      </c>
      <c r="Q119">
        <v>1</v>
      </c>
      <c r="X119">
        <v>1.76</v>
      </c>
      <c r="Y119">
        <v>0</v>
      </c>
      <c r="Z119">
        <v>31.26</v>
      </c>
      <c r="AA119">
        <v>13.5</v>
      </c>
      <c r="AB119">
        <v>0</v>
      </c>
      <c r="AC119">
        <v>0</v>
      </c>
      <c r="AD119">
        <v>1</v>
      </c>
      <c r="AE119">
        <v>0</v>
      </c>
      <c r="AF119" t="s">
        <v>3</v>
      </c>
      <c r="AG119">
        <v>1.76</v>
      </c>
      <c r="AH119">
        <v>2</v>
      </c>
      <c r="AI119">
        <v>36514407</v>
      </c>
      <c r="AJ119">
        <v>118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</row>
    <row r="120" spans="1:44">
      <c r="A120">
        <f>ROW(Source!A194)</f>
        <v>194</v>
      </c>
      <c r="B120">
        <v>36514408</v>
      </c>
      <c r="C120">
        <v>36514404</v>
      </c>
      <c r="D120">
        <v>29173472</v>
      </c>
      <c r="E120">
        <v>1</v>
      </c>
      <c r="F120">
        <v>1</v>
      </c>
      <c r="G120">
        <v>1</v>
      </c>
      <c r="H120">
        <v>2</v>
      </c>
      <c r="I120" t="s">
        <v>396</v>
      </c>
      <c r="J120" t="s">
        <v>397</v>
      </c>
      <c r="K120" t="s">
        <v>398</v>
      </c>
      <c r="L120">
        <v>1368</v>
      </c>
      <c r="N120">
        <v>1011</v>
      </c>
      <c r="O120" t="s">
        <v>367</v>
      </c>
      <c r="P120" t="s">
        <v>367</v>
      </c>
      <c r="Q120">
        <v>1</v>
      </c>
      <c r="X120">
        <v>9.81</v>
      </c>
      <c r="Y120">
        <v>0</v>
      </c>
      <c r="Z120">
        <v>3</v>
      </c>
      <c r="AA120">
        <v>0</v>
      </c>
      <c r="AB120">
        <v>0</v>
      </c>
      <c r="AC120">
        <v>0</v>
      </c>
      <c r="AD120">
        <v>1</v>
      </c>
      <c r="AE120">
        <v>0</v>
      </c>
      <c r="AF120" t="s">
        <v>3</v>
      </c>
      <c r="AG120">
        <v>9.81</v>
      </c>
      <c r="AH120">
        <v>2</v>
      </c>
      <c r="AI120">
        <v>36514408</v>
      </c>
      <c r="AJ120">
        <v>119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</row>
    <row r="121" spans="1:44">
      <c r="A121">
        <f>ROW(Source!A194)</f>
        <v>194</v>
      </c>
      <c r="B121">
        <v>36514409</v>
      </c>
      <c r="C121">
        <v>36514404</v>
      </c>
      <c r="D121">
        <v>29174580</v>
      </c>
      <c r="E121">
        <v>1</v>
      </c>
      <c r="F121">
        <v>1</v>
      </c>
      <c r="G121">
        <v>1</v>
      </c>
      <c r="H121">
        <v>2</v>
      </c>
      <c r="I121" t="s">
        <v>402</v>
      </c>
      <c r="J121" t="s">
        <v>403</v>
      </c>
      <c r="K121" t="s">
        <v>404</v>
      </c>
      <c r="L121">
        <v>1368</v>
      </c>
      <c r="N121">
        <v>1011</v>
      </c>
      <c r="O121" t="s">
        <v>367</v>
      </c>
      <c r="P121" t="s">
        <v>367</v>
      </c>
      <c r="Q121">
        <v>1</v>
      </c>
      <c r="X121">
        <v>15.12</v>
      </c>
      <c r="Y121">
        <v>0</v>
      </c>
      <c r="Z121">
        <v>2.08</v>
      </c>
      <c r="AA121">
        <v>0</v>
      </c>
      <c r="AB121">
        <v>0</v>
      </c>
      <c r="AC121">
        <v>0</v>
      </c>
      <c r="AD121">
        <v>1</v>
      </c>
      <c r="AE121">
        <v>0</v>
      </c>
      <c r="AF121" t="s">
        <v>3</v>
      </c>
      <c r="AG121">
        <v>15.12</v>
      </c>
      <c r="AH121">
        <v>2</v>
      </c>
      <c r="AI121">
        <v>36514409</v>
      </c>
      <c r="AJ121">
        <v>120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</row>
    <row r="122" spans="1:44">
      <c r="A122">
        <f>ROW(Source!A194)</f>
        <v>194</v>
      </c>
      <c r="B122">
        <v>36514410</v>
      </c>
      <c r="C122">
        <v>36514404</v>
      </c>
      <c r="D122">
        <v>29174913</v>
      </c>
      <c r="E122">
        <v>1</v>
      </c>
      <c r="F122">
        <v>1</v>
      </c>
      <c r="G122">
        <v>1</v>
      </c>
      <c r="H122">
        <v>2</v>
      </c>
      <c r="I122" t="s">
        <v>381</v>
      </c>
      <c r="J122" t="s">
        <v>382</v>
      </c>
      <c r="K122" t="s">
        <v>383</v>
      </c>
      <c r="L122">
        <v>1368</v>
      </c>
      <c r="N122">
        <v>1011</v>
      </c>
      <c r="O122" t="s">
        <v>367</v>
      </c>
      <c r="P122" t="s">
        <v>367</v>
      </c>
      <c r="Q122">
        <v>1</v>
      </c>
      <c r="X122">
        <v>3.57</v>
      </c>
      <c r="Y122">
        <v>0</v>
      </c>
      <c r="Z122">
        <v>87.17</v>
      </c>
      <c r="AA122">
        <v>11.6</v>
      </c>
      <c r="AB122">
        <v>0</v>
      </c>
      <c r="AC122">
        <v>0</v>
      </c>
      <c r="AD122">
        <v>1</v>
      </c>
      <c r="AE122">
        <v>0</v>
      </c>
      <c r="AF122" t="s">
        <v>3</v>
      </c>
      <c r="AG122">
        <v>3.57</v>
      </c>
      <c r="AH122">
        <v>2</v>
      </c>
      <c r="AI122">
        <v>36514410</v>
      </c>
      <c r="AJ122">
        <v>121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</row>
    <row r="123" spans="1:44">
      <c r="A123">
        <f>ROW(Source!A194)</f>
        <v>194</v>
      </c>
      <c r="B123">
        <v>36514411</v>
      </c>
      <c r="C123">
        <v>36514404</v>
      </c>
      <c r="D123">
        <v>29110827</v>
      </c>
      <c r="E123">
        <v>1</v>
      </c>
      <c r="F123">
        <v>1</v>
      </c>
      <c r="G123">
        <v>1</v>
      </c>
      <c r="H123">
        <v>3</v>
      </c>
      <c r="I123" t="s">
        <v>518</v>
      </c>
      <c r="J123" t="s">
        <v>519</v>
      </c>
      <c r="K123" t="s">
        <v>520</v>
      </c>
      <c r="L123">
        <v>1301</v>
      </c>
      <c r="N123">
        <v>1003</v>
      </c>
      <c r="O123" t="s">
        <v>238</v>
      </c>
      <c r="P123" t="s">
        <v>238</v>
      </c>
      <c r="Q123">
        <v>1</v>
      </c>
      <c r="X123">
        <v>347</v>
      </c>
      <c r="Y123">
        <v>6.4</v>
      </c>
      <c r="Z123">
        <v>0</v>
      </c>
      <c r="AA123">
        <v>0</v>
      </c>
      <c r="AB123">
        <v>0</v>
      </c>
      <c r="AC123">
        <v>0</v>
      </c>
      <c r="AD123">
        <v>1</v>
      </c>
      <c r="AE123">
        <v>0</v>
      </c>
      <c r="AF123" t="s">
        <v>3</v>
      </c>
      <c r="AG123">
        <v>347</v>
      </c>
      <c r="AH123">
        <v>2</v>
      </c>
      <c r="AI123">
        <v>36514411</v>
      </c>
      <c r="AJ123">
        <v>122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</row>
    <row r="124" spans="1:44">
      <c r="A124">
        <f>ROW(Source!A194)</f>
        <v>194</v>
      </c>
      <c r="B124">
        <v>36514412</v>
      </c>
      <c r="C124">
        <v>36514404</v>
      </c>
      <c r="D124">
        <v>29110828</v>
      </c>
      <c r="E124">
        <v>1</v>
      </c>
      <c r="F124">
        <v>1</v>
      </c>
      <c r="G124">
        <v>1</v>
      </c>
      <c r="H124">
        <v>3</v>
      </c>
      <c r="I124" t="s">
        <v>521</v>
      </c>
      <c r="J124" t="s">
        <v>522</v>
      </c>
      <c r="K124" t="s">
        <v>523</v>
      </c>
      <c r="L124">
        <v>1301</v>
      </c>
      <c r="N124">
        <v>1003</v>
      </c>
      <c r="O124" t="s">
        <v>238</v>
      </c>
      <c r="P124" t="s">
        <v>238</v>
      </c>
      <c r="Q124">
        <v>1</v>
      </c>
      <c r="X124">
        <v>71</v>
      </c>
      <c r="Y124">
        <v>7.99</v>
      </c>
      <c r="Z124">
        <v>0</v>
      </c>
      <c r="AA124">
        <v>0</v>
      </c>
      <c r="AB124">
        <v>0</v>
      </c>
      <c r="AC124">
        <v>0</v>
      </c>
      <c r="AD124">
        <v>1</v>
      </c>
      <c r="AE124">
        <v>0</v>
      </c>
      <c r="AF124" t="s">
        <v>3</v>
      </c>
      <c r="AG124">
        <v>71</v>
      </c>
      <c r="AH124">
        <v>2</v>
      </c>
      <c r="AI124">
        <v>36514412</v>
      </c>
      <c r="AJ124">
        <v>123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</row>
    <row r="125" spans="1:44">
      <c r="A125">
        <f>ROW(Source!A194)</f>
        <v>194</v>
      </c>
      <c r="B125">
        <v>36514413</v>
      </c>
      <c r="C125">
        <v>36514404</v>
      </c>
      <c r="D125">
        <v>29108696</v>
      </c>
      <c r="E125">
        <v>1</v>
      </c>
      <c r="F125">
        <v>1</v>
      </c>
      <c r="G125">
        <v>1</v>
      </c>
      <c r="H125">
        <v>3</v>
      </c>
      <c r="I125" t="s">
        <v>524</v>
      </c>
      <c r="J125" t="s">
        <v>525</v>
      </c>
      <c r="K125" t="s">
        <v>526</v>
      </c>
      <c r="L125">
        <v>1354</v>
      </c>
      <c r="N125">
        <v>1010</v>
      </c>
      <c r="O125" t="s">
        <v>195</v>
      </c>
      <c r="P125" t="s">
        <v>195</v>
      </c>
      <c r="Q125">
        <v>1</v>
      </c>
      <c r="X125">
        <v>92</v>
      </c>
      <c r="Y125">
        <v>67.209999999999994</v>
      </c>
      <c r="Z125">
        <v>0</v>
      </c>
      <c r="AA125">
        <v>0</v>
      </c>
      <c r="AB125">
        <v>0</v>
      </c>
      <c r="AC125">
        <v>0</v>
      </c>
      <c r="AD125">
        <v>1</v>
      </c>
      <c r="AE125">
        <v>0</v>
      </c>
      <c r="AF125" t="s">
        <v>3</v>
      </c>
      <c r="AG125">
        <v>92</v>
      </c>
      <c r="AH125">
        <v>2</v>
      </c>
      <c r="AI125">
        <v>36514413</v>
      </c>
      <c r="AJ125">
        <v>124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</row>
    <row r="126" spans="1:44">
      <c r="A126">
        <f>ROW(Source!A194)</f>
        <v>194</v>
      </c>
      <c r="B126">
        <v>36514414</v>
      </c>
      <c r="C126">
        <v>36514404</v>
      </c>
      <c r="D126">
        <v>29110830</v>
      </c>
      <c r="E126">
        <v>1</v>
      </c>
      <c r="F126">
        <v>1</v>
      </c>
      <c r="G126">
        <v>1</v>
      </c>
      <c r="H126">
        <v>3</v>
      </c>
      <c r="I126" t="s">
        <v>527</v>
      </c>
      <c r="J126" t="s">
        <v>528</v>
      </c>
      <c r="K126" t="s">
        <v>529</v>
      </c>
      <c r="L126">
        <v>1302</v>
      </c>
      <c r="N126">
        <v>1003</v>
      </c>
      <c r="O126" t="s">
        <v>530</v>
      </c>
      <c r="P126" t="s">
        <v>530</v>
      </c>
      <c r="Q126">
        <v>10</v>
      </c>
      <c r="X126">
        <v>21.4</v>
      </c>
      <c r="Y126">
        <v>64.2</v>
      </c>
      <c r="Z126">
        <v>0</v>
      </c>
      <c r="AA126">
        <v>0</v>
      </c>
      <c r="AB126">
        <v>0</v>
      </c>
      <c r="AC126">
        <v>0</v>
      </c>
      <c r="AD126">
        <v>1</v>
      </c>
      <c r="AE126">
        <v>0</v>
      </c>
      <c r="AF126" t="s">
        <v>3</v>
      </c>
      <c r="AG126">
        <v>21.4</v>
      </c>
      <c r="AH126">
        <v>2</v>
      </c>
      <c r="AI126">
        <v>36514414</v>
      </c>
      <c r="AJ126">
        <v>125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</row>
    <row r="127" spans="1:44">
      <c r="A127">
        <f>ROW(Source!A194)</f>
        <v>194</v>
      </c>
      <c r="B127">
        <v>36514415</v>
      </c>
      <c r="C127">
        <v>36514404</v>
      </c>
      <c r="D127">
        <v>29114423</v>
      </c>
      <c r="E127">
        <v>1</v>
      </c>
      <c r="F127">
        <v>1</v>
      </c>
      <c r="G127">
        <v>1</v>
      </c>
      <c r="H127">
        <v>3</v>
      </c>
      <c r="I127" t="s">
        <v>531</v>
      </c>
      <c r="J127" t="s">
        <v>532</v>
      </c>
      <c r="K127" t="s">
        <v>533</v>
      </c>
      <c r="L127">
        <v>1358</v>
      </c>
      <c r="N127">
        <v>1010</v>
      </c>
      <c r="O127" t="s">
        <v>264</v>
      </c>
      <c r="P127" t="s">
        <v>264</v>
      </c>
      <c r="Q127">
        <v>10</v>
      </c>
      <c r="X127">
        <v>30.6</v>
      </c>
      <c r="Y127">
        <v>7.22</v>
      </c>
      <c r="Z127">
        <v>0</v>
      </c>
      <c r="AA127">
        <v>0</v>
      </c>
      <c r="AB127">
        <v>0</v>
      </c>
      <c r="AC127">
        <v>0</v>
      </c>
      <c r="AD127">
        <v>1</v>
      </c>
      <c r="AE127">
        <v>0</v>
      </c>
      <c r="AF127" t="s">
        <v>3</v>
      </c>
      <c r="AG127">
        <v>30.6</v>
      </c>
      <c r="AH127">
        <v>2</v>
      </c>
      <c r="AI127">
        <v>36514415</v>
      </c>
      <c r="AJ127">
        <v>126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</row>
    <row r="128" spans="1:44">
      <c r="A128">
        <f>ROW(Source!A194)</f>
        <v>194</v>
      </c>
      <c r="B128">
        <v>36514416</v>
      </c>
      <c r="C128">
        <v>36514404</v>
      </c>
      <c r="D128">
        <v>29115197</v>
      </c>
      <c r="E128">
        <v>1</v>
      </c>
      <c r="F128">
        <v>1</v>
      </c>
      <c r="G128">
        <v>1</v>
      </c>
      <c r="H128">
        <v>3</v>
      </c>
      <c r="I128" t="s">
        <v>534</v>
      </c>
      <c r="J128" t="s">
        <v>535</v>
      </c>
      <c r="K128" t="s">
        <v>536</v>
      </c>
      <c r="L128">
        <v>1355</v>
      </c>
      <c r="N128">
        <v>1010</v>
      </c>
      <c r="O128" t="s">
        <v>46</v>
      </c>
      <c r="P128" t="s">
        <v>46</v>
      </c>
      <c r="Q128">
        <v>100</v>
      </c>
      <c r="X128">
        <v>8</v>
      </c>
      <c r="Y128">
        <v>50</v>
      </c>
      <c r="Z128">
        <v>0</v>
      </c>
      <c r="AA128">
        <v>0</v>
      </c>
      <c r="AB128">
        <v>0</v>
      </c>
      <c r="AC128">
        <v>0</v>
      </c>
      <c r="AD128">
        <v>1</v>
      </c>
      <c r="AE128">
        <v>0</v>
      </c>
      <c r="AF128" t="s">
        <v>3</v>
      </c>
      <c r="AG128">
        <v>8</v>
      </c>
      <c r="AH128">
        <v>2</v>
      </c>
      <c r="AI128">
        <v>36514416</v>
      </c>
      <c r="AJ128">
        <v>127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</row>
    <row r="129" spans="1:44">
      <c r="A129">
        <f>ROW(Source!A194)</f>
        <v>194</v>
      </c>
      <c r="B129">
        <v>36514417</v>
      </c>
      <c r="C129">
        <v>36514404</v>
      </c>
      <c r="D129">
        <v>29129806</v>
      </c>
      <c r="E129">
        <v>1</v>
      </c>
      <c r="F129">
        <v>1</v>
      </c>
      <c r="G129">
        <v>1</v>
      </c>
      <c r="H129">
        <v>3</v>
      </c>
      <c r="I129" t="s">
        <v>219</v>
      </c>
      <c r="J129" t="s">
        <v>221</v>
      </c>
      <c r="K129" t="s">
        <v>220</v>
      </c>
      <c r="L129">
        <v>1327</v>
      </c>
      <c r="N129">
        <v>1005</v>
      </c>
      <c r="O129" t="s">
        <v>129</v>
      </c>
      <c r="P129" t="s">
        <v>129</v>
      </c>
      <c r="Q129">
        <v>1</v>
      </c>
      <c r="X129">
        <v>100</v>
      </c>
      <c r="Y129">
        <v>1630.31</v>
      </c>
      <c r="Z129">
        <v>0</v>
      </c>
      <c r="AA129">
        <v>0</v>
      </c>
      <c r="AB129">
        <v>0</v>
      </c>
      <c r="AC129">
        <v>0</v>
      </c>
      <c r="AD129">
        <v>1</v>
      </c>
      <c r="AE129">
        <v>0</v>
      </c>
      <c r="AF129" t="s">
        <v>3</v>
      </c>
      <c r="AG129">
        <v>100</v>
      </c>
      <c r="AH129">
        <v>2</v>
      </c>
      <c r="AI129">
        <v>36514417</v>
      </c>
      <c r="AJ129">
        <v>128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</row>
    <row r="130" spans="1:44">
      <c r="A130">
        <f>ROW(Source!A197)</f>
        <v>197</v>
      </c>
      <c r="B130">
        <v>36514433</v>
      </c>
      <c r="C130">
        <v>36514432</v>
      </c>
      <c r="D130">
        <v>18413230</v>
      </c>
      <c r="E130">
        <v>1</v>
      </c>
      <c r="F130">
        <v>1</v>
      </c>
      <c r="G130">
        <v>1</v>
      </c>
      <c r="H130">
        <v>1</v>
      </c>
      <c r="I130" t="s">
        <v>467</v>
      </c>
      <c r="J130" t="s">
        <v>3</v>
      </c>
      <c r="K130" t="s">
        <v>468</v>
      </c>
      <c r="L130">
        <v>1369</v>
      </c>
      <c r="N130">
        <v>1013</v>
      </c>
      <c r="O130" t="s">
        <v>361</v>
      </c>
      <c r="P130" t="s">
        <v>361</v>
      </c>
      <c r="Q130">
        <v>1</v>
      </c>
      <c r="X130">
        <v>166.47</v>
      </c>
      <c r="Y130">
        <v>0</v>
      </c>
      <c r="Z130">
        <v>0</v>
      </c>
      <c r="AA130">
        <v>0</v>
      </c>
      <c r="AB130">
        <v>299.72000000000003</v>
      </c>
      <c r="AC130">
        <v>0</v>
      </c>
      <c r="AD130">
        <v>1</v>
      </c>
      <c r="AE130">
        <v>1</v>
      </c>
      <c r="AF130" t="s">
        <v>114</v>
      </c>
      <c r="AG130">
        <v>191.44049999999999</v>
      </c>
      <c r="AH130">
        <v>2</v>
      </c>
      <c r="AI130">
        <v>36514433</v>
      </c>
      <c r="AJ130">
        <v>130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</row>
    <row r="131" spans="1:44">
      <c r="A131">
        <f>ROW(Source!A197)</f>
        <v>197</v>
      </c>
      <c r="B131">
        <v>36514434</v>
      </c>
      <c r="C131">
        <v>36514432</v>
      </c>
      <c r="D131">
        <v>121548</v>
      </c>
      <c r="E131">
        <v>1</v>
      </c>
      <c r="F131">
        <v>1</v>
      </c>
      <c r="G131">
        <v>1</v>
      </c>
      <c r="H131">
        <v>1</v>
      </c>
      <c r="I131" t="s">
        <v>213</v>
      </c>
      <c r="J131" t="s">
        <v>3</v>
      </c>
      <c r="K131" t="s">
        <v>362</v>
      </c>
      <c r="L131">
        <v>608254</v>
      </c>
      <c r="N131">
        <v>1013</v>
      </c>
      <c r="O131" t="s">
        <v>363</v>
      </c>
      <c r="P131" t="s">
        <v>363</v>
      </c>
      <c r="Q131">
        <v>1</v>
      </c>
      <c r="X131">
        <v>0.08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1</v>
      </c>
      <c r="AE131">
        <v>2</v>
      </c>
      <c r="AF131" t="s">
        <v>3</v>
      </c>
      <c r="AG131">
        <v>0.08</v>
      </c>
      <c r="AH131">
        <v>2</v>
      </c>
      <c r="AI131">
        <v>36514434</v>
      </c>
      <c r="AJ131">
        <v>131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</row>
    <row r="132" spans="1:44">
      <c r="A132">
        <f>ROW(Source!A197)</f>
        <v>197</v>
      </c>
      <c r="B132">
        <v>36514435</v>
      </c>
      <c r="C132">
        <v>36514432</v>
      </c>
      <c r="D132">
        <v>29172556</v>
      </c>
      <c r="E132">
        <v>1</v>
      </c>
      <c r="F132">
        <v>1</v>
      </c>
      <c r="G132">
        <v>1</v>
      </c>
      <c r="H132">
        <v>2</v>
      </c>
      <c r="I132" t="s">
        <v>364</v>
      </c>
      <c r="J132" t="s">
        <v>365</v>
      </c>
      <c r="K132" t="s">
        <v>366</v>
      </c>
      <c r="L132">
        <v>1368</v>
      </c>
      <c r="N132">
        <v>1011</v>
      </c>
      <c r="O132" t="s">
        <v>367</v>
      </c>
      <c r="P132" t="s">
        <v>367</v>
      </c>
      <c r="Q132">
        <v>1</v>
      </c>
      <c r="X132">
        <v>0.08</v>
      </c>
      <c r="Y132">
        <v>0</v>
      </c>
      <c r="Z132">
        <v>31.26</v>
      </c>
      <c r="AA132">
        <v>13.5</v>
      </c>
      <c r="AB132">
        <v>0</v>
      </c>
      <c r="AC132">
        <v>0</v>
      </c>
      <c r="AD132">
        <v>1</v>
      </c>
      <c r="AE132">
        <v>0</v>
      </c>
      <c r="AF132" t="s">
        <v>3</v>
      </c>
      <c r="AG132">
        <v>0.08</v>
      </c>
      <c r="AH132">
        <v>2</v>
      </c>
      <c r="AI132">
        <v>36514435</v>
      </c>
      <c r="AJ132">
        <v>132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</row>
    <row r="133" spans="1:44">
      <c r="A133">
        <f>ROW(Source!A197)</f>
        <v>197</v>
      </c>
      <c r="B133">
        <v>36514436</v>
      </c>
      <c r="C133">
        <v>36514432</v>
      </c>
      <c r="D133">
        <v>29174591</v>
      </c>
      <c r="E133">
        <v>1</v>
      </c>
      <c r="F133">
        <v>1</v>
      </c>
      <c r="G133">
        <v>1</v>
      </c>
      <c r="H133">
        <v>2</v>
      </c>
      <c r="I133" t="s">
        <v>477</v>
      </c>
      <c r="J133" t="s">
        <v>537</v>
      </c>
      <c r="K133" t="s">
        <v>479</v>
      </c>
      <c r="L133">
        <v>1368</v>
      </c>
      <c r="N133">
        <v>1011</v>
      </c>
      <c r="O133" t="s">
        <v>367</v>
      </c>
      <c r="P133" t="s">
        <v>367</v>
      </c>
      <c r="Q133">
        <v>1</v>
      </c>
      <c r="X133">
        <v>0.26</v>
      </c>
      <c r="Y133">
        <v>0</v>
      </c>
      <c r="Z133">
        <v>0.95</v>
      </c>
      <c r="AA133">
        <v>0</v>
      </c>
      <c r="AB133">
        <v>0</v>
      </c>
      <c r="AC133">
        <v>0</v>
      </c>
      <c r="AD133">
        <v>1</v>
      </c>
      <c r="AE133">
        <v>0</v>
      </c>
      <c r="AF133" t="s">
        <v>3</v>
      </c>
      <c r="AG133">
        <v>0.26</v>
      </c>
      <c r="AH133">
        <v>2</v>
      </c>
      <c r="AI133">
        <v>36514436</v>
      </c>
      <c r="AJ133">
        <v>133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</row>
    <row r="134" spans="1:44">
      <c r="A134">
        <f>ROW(Source!A197)</f>
        <v>197</v>
      </c>
      <c r="B134">
        <v>36514437</v>
      </c>
      <c r="C134">
        <v>36514432</v>
      </c>
      <c r="D134">
        <v>29174913</v>
      </c>
      <c r="E134">
        <v>1</v>
      </c>
      <c r="F134">
        <v>1</v>
      </c>
      <c r="G134">
        <v>1</v>
      </c>
      <c r="H134">
        <v>2</v>
      </c>
      <c r="I134" t="s">
        <v>381</v>
      </c>
      <c r="J134" t="s">
        <v>382</v>
      </c>
      <c r="K134" t="s">
        <v>383</v>
      </c>
      <c r="L134">
        <v>1368</v>
      </c>
      <c r="N134">
        <v>1011</v>
      </c>
      <c r="O134" t="s">
        <v>367</v>
      </c>
      <c r="P134" t="s">
        <v>367</v>
      </c>
      <c r="Q134">
        <v>1</v>
      </c>
      <c r="X134">
        <v>0.5</v>
      </c>
      <c r="Y134">
        <v>0</v>
      </c>
      <c r="Z134">
        <v>87.17</v>
      </c>
      <c r="AA134">
        <v>11.6</v>
      </c>
      <c r="AB134">
        <v>0</v>
      </c>
      <c r="AC134">
        <v>0</v>
      </c>
      <c r="AD134">
        <v>1</v>
      </c>
      <c r="AE134">
        <v>0</v>
      </c>
      <c r="AF134" t="s">
        <v>3</v>
      </c>
      <c r="AG134">
        <v>0.5</v>
      </c>
      <c r="AH134">
        <v>2</v>
      </c>
      <c r="AI134">
        <v>36514437</v>
      </c>
      <c r="AJ134">
        <v>134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</row>
    <row r="135" spans="1:44">
      <c r="A135">
        <f>ROW(Source!A197)</f>
        <v>197</v>
      </c>
      <c r="B135">
        <v>36514438</v>
      </c>
      <c r="C135">
        <v>36514432</v>
      </c>
      <c r="D135">
        <v>29107800</v>
      </c>
      <c r="E135">
        <v>1</v>
      </c>
      <c r="F135">
        <v>1</v>
      </c>
      <c r="G135">
        <v>1</v>
      </c>
      <c r="H135">
        <v>3</v>
      </c>
      <c r="I135" t="s">
        <v>384</v>
      </c>
      <c r="J135" t="s">
        <v>385</v>
      </c>
      <c r="K135" t="s">
        <v>386</v>
      </c>
      <c r="L135">
        <v>1346</v>
      </c>
      <c r="N135">
        <v>1009</v>
      </c>
      <c r="O135" t="s">
        <v>151</v>
      </c>
      <c r="P135" t="s">
        <v>151</v>
      </c>
      <c r="Q135">
        <v>1</v>
      </c>
      <c r="X135">
        <v>0.2</v>
      </c>
      <c r="Y135">
        <v>1.81</v>
      </c>
      <c r="Z135">
        <v>0</v>
      </c>
      <c r="AA135">
        <v>0</v>
      </c>
      <c r="AB135">
        <v>0</v>
      </c>
      <c r="AC135">
        <v>0</v>
      </c>
      <c r="AD135">
        <v>1</v>
      </c>
      <c r="AE135">
        <v>0</v>
      </c>
      <c r="AF135" t="s">
        <v>3</v>
      </c>
      <c r="AG135">
        <v>0.2</v>
      </c>
      <c r="AH135">
        <v>2</v>
      </c>
      <c r="AI135">
        <v>36514438</v>
      </c>
      <c r="AJ135">
        <v>135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</row>
    <row r="136" spans="1:44">
      <c r="A136">
        <f>ROW(Source!A197)</f>
        <v>197</v>
      </c>
      <c r="B136">
        <v>36514439</v>
      </c>
      <c r="C136">
        <v>36514432</v>
      </c>
      <c r="D136">
        <v>29109411</v>
      </c>
      <c r="E136">
        <v>1</v>
      </c>
      <c r="F136">
        <v>1</v>
      </c>
      <c r="G136">
        <v>1</v>
      </c>
      <c r="H136">
        <v>3</v>
      </c>
      <c r="I136" t="s">
        <v>538</v>
      </c>
      <c r="J136" t="s">
        <v>539</v>
      </c>
      <c r="K136" t="s">
        <v>540</v>
      </c>
      <c r="L136">
        <v>1346</v>
      </c>
      <c r="N136">
        <v>1009</v>
      </c>
      <c r="O136" t="s">
        <v>151</v>
      </c>
      <c r="P136" t="s">
        <v>151</v>
      </c>
      <c r="Q136">
        <v>1</v>
      </c>
      <c r="X136">
        <v>30</v>
      </c>
      <c r="Y136">
        <v>15.95</v>
      </c>
      <c r="Z136">
        <v>0</v>
      </c>
      <c r="AA136">
        <v>0</v>
      </c>
      <c r="AB136">
        <v>0</v>
      </c>
      <c r="AC136">
        <v>0</v>
      </c>
      <c r="AD136">
        <v>1</v>
      </c>
      <c r="AE136">
        <v>0</v>
      </c>
      <c r="AF136" t="s">
        <v>3</v>
      </c>
      <c r="AG136">
        <v>30</v>
      </c>
      <c r="AH136">
        <v>2</v>
      </c>
      <c r="AI136">
        <v>36514439</v>
      </c>
      <c r="AJ136">
        <v>136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</row>
    <row r="137" spans="1:44">
      <c r="A137">
        <f>ROW(Source!A197)</f>
        <v>197</v>
      </c>
      <c r="B137">
        <v>36514440</v>
      </c>
      <c r="C137">
        <v>36514432</v>
      </c>
      <c r="D137">
        <v>29109535</v>
      </c>
      <c r="E137">
        <v>1</v>
      </c>
      <c r="F137">
        <v>1</v>
      </c>
      <c r="G137">
        <v>1</v>
      </c>
      <c r="H137">
        <v>3</v>
      </c>
      <c r="I137" t="s">
        <v>600</v>
      </c>
      <c r="J137" t="s">
        <v>601</v>
      </c>
      <c r="K137" t="s">
        <v>602</v>
      </c>
      <c r="L137">
        <v>1327</v>
      </c>
      <c r="N137">
        <v>1005</v>
      </c>
      <c r="O137" t="s">
        <v>129</v>
      </c>
      <c r="P137" t="s">
        <v>129</v>
      </c>
      <c r="Q137">
        <v>1</v>
      </c>
      <c r="X137">
        <v>105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 t="s">
        <v>3</v>
      </c>
      <c r="AG137">
        <v>105</v>
      </c>
      <c r="AH137">
        <v>3</v>
      </c>
      <c r="AI137">
        <v>-1</v>
      </c>
      <c r="AJ137" t="s">
        <v>3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</row>
    <row r="138" spans="1:44">
      <c r="A138">
        <f>ROW(Source!A197)</f>
        <v>197</v>
      </c>
      <c r="B138">
        <v>36514441</v>
      </c>
      <c r="C138">
        <v>36514432</v>
      </c>
      <c r="D138">
        <v>29109265</v>
      </c>
      <c r="E138">
        <v>1</v>
      </c>
      <c r="F138">
        <v>1</v>
      </c>
      <c r="G138">
        <v>1</v>
      </c>
      <c r="H138">
        <v>3</v>
      </c>
      <c r="I138" t="s">
        <v>594</v>
      </c>
      <c r="J138" t="s">
        <v>595</v>
      </c>
      <c r="K138" t="s">
        <v>596</v>
      </c>
      <c r="L138">
        <v>1348</v>
      </c>
      <c r="N138">
        <v>1009</v>
      </c>
      <c r="O138" t="s">
        <v>41</v>
      </c>
      <c r="P138" t="s">
        <v>41</v>
      </c>
      <c r="Q138">
        <v>1000</v>
      </c>
      <c r="X138">
        <v>8.8999999999999999E-3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 t="s">
        <v>3</v>
      </c>
      <c r="AG138">
        <v>8.8999999999999999E-3</v>
      </c>
      <c r="AH138">
        <v>3</v>
      </c>
      <c r="AI138">
        <v>-1</v>
      </c>
      <c r="AJ138" t="s">
        <v>3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</row>
    <row r="139" spans="1:44">
      <c r="A139">
        <f>ROW(Source!A199)</f>
        <v>199</v>
      </c>
      <c r="B139">
        <v>37377910</v>
      </c>
      <c r="C139">
        <v>37377909</v>
      </c>
      <c r="D139">
        <v>18407150</v>
      </c>
      <c r="E139">
        <v>1</v>
      </c>
      <c r="F139">
        <v>1</v>
      </c>
      <c r="G139">
        <v>1</v>
      </c>
      <c r="H139">
        <v>1</v>
      </c>
      <c r="I139" t="s">
        <v>475</v>
      </c>
      <c r="J139" t="s">
        <v>3</v>
      </c>
      <c r="K139" t="s">
        <v>476</v>
      </c>
      <c r="L139">
        <v>1369</v>
      </c>
      <c r="N139">
        <v>1013</v>
      </c>
      <c r="O139" t="s">
        <v>361</v>
      </c>
      <c r="P139" t="s">
        <v>361</v>
      </c>
      <c r="Q139">
        <v>1</v>
      </c>
      <c r="X139">
        <v>21.19</v>
      </c>
      <c r="Y139">
        <v>0</v>
      </c>
      <c r="Z139">
        <v>0</v>
      </c>
      <c r="AA139">
        <v>0</v>
      </c>
      <c r="AB139">
        <v>283.07</v>
      </c>
      <c r="AC139">
        <v>0</v>
      </c>
      <c r="AD139">
        <v>1</v>
      </c>
      <c r="AE139">
        <v>1</v>
      </c>
      <c r="AF139" t="s">
        <v>114</v>
      </c>
      <c r="AG139">
        <v>24.368500000000001</v>
      </c>
      <c r="AH139">
        <v>2</v>
      </c>
      <c r="AI139">
        <v>37377910</v>
      </c>
      <c r="AJ139">
        <v>138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</row>
    <row r="140" spans="1:44">
      <c r="A140">
        <f>ROW(Source!A199)</f>
        <v>199</v>
      </c>
      <c r="B140">
        <v>37377911</v>
      </c>
      <c r="C140">
        <v>37377909</v>
      </c>
      <c r="D140">
        <v>121548</v>
      </c>
      <c r="E140">
        <v>1</v>
      </c>
      <c r="F140">
        <v>1</v>
      </c>
      <c r="G140">
        <v>1</v>
      </c>
      <c r="H140">
        <v>1</v>
      </c>
      <c r="I140" t="s">
        <v>213</v>
      </c>
      <c r="J140" t="s">
        <v>3</v>
      </c>
      <c r="K140" t="s">
        <v>362</v>
      </c>
      <c r="L140">
        <v>608254</v>
      </c>
      <c r="N140">
        <v>1013</v>
      </c>
      <c r="O140" t="s">
        <v>363</v>
      </c>
      <c r="P140" t="s">
        <v>363</v>
      </c>
      <c r="Q140">
        <v>1</v>
      </c>
      <c r="X140">
        <v>0.04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1</v>
      </c>
      <c r="AE140">
        <v>2</v>
      </c>
      <c r="AF140" t="s">
        <v>139</v>
      </c>
      <c r="AG140">
        <v>0.05</v>
      </c>
      <c r="AH140">
        <v>2</v>
      </c>
      <c r="AI140">
        <v>37377911</v>
      </c>
      <c r="AJ140">
        <v>139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</row>
    <row r="141" spans="1:44">
      <c r="A141">
        <f>ROW(Source!A199)</f>
        <v>199</v>
      </c>
      <c r="B141">
        <v>37377912</v>
      </c>
      <c r="C141">
        <v>37377909</v>
      </c>
      <c r="D141">
        <v>29172556</v>
      </c>
      <c r="E141">
        <v>1</v>
      </c>
      <c r="F141">
        <v>1</v>
      </c>
      <c r="G141">
        <v>1</v>
      </c>
      <c r="H141">
        <v>2</v>
      </c>
      <c r="I141" t="s">
        <v>364</v>
      </c>
      <c r="J141" t="s">
        <v>365</v>
      </c>
      <c r="K141" t="s">
        <v>366</v>
      </c>
      <c r="L141">
        <v>1368</v>
      </c>
      <c r="N141">
        <v>1011</v>
      </c>
      <c r="O141" t="s">
        <v>367</v>
      </c>
      <c r="P141" t="s">
        <v>367</v>
      </c>
      <c r="Q141">
        <v>1</v>
      </c>
      <c r="X141">
        <v>0.04</v>
      </c>
      <c r="Y141">
        <v>0</v>
      </c>
      <c r="Z141">
        <v>31.26</v>
      </c>
      <c r="AA141">
        <v>13.5</v>
      </c>
      <c r="AB141">
        <v>0</v>
      </c>
      <c r="AC141">
        <v>0</v>
      </c>
      <c r="AD141">
        <v>1</v>
      </c>
      <c r="AE141">
        <v>0</v>
      </c>
      <c r="AF141" t="s">
        <v>139</v>
      </c>
      <c r="AG141">
        <v>0.05</v>
      </c>
      <c r="AH141">
        <v>2</v>
      </c>
      <c r="AI141">
        <v>37377912</v>
      </c>
      <c r="AJ141">
        <v>140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</row>
    <row r="142" spans="1:44">
      <c r="A142">
        <f>ROW(Source!A199)</f>
        <v>199</v>
      </c>
      <c r="B142">
        <v>37377913</v>
      </c>
      <c r="C142">
        <v>37377909</v>
      </c>
      <c r="D142">
        <v>29174913</v>
      </c>
      <c r="E142">
        <v>1</v>
      </c>
      <c r="F142">
        <v>1</v>
      </c>
      <c r="G142">
        <v>1</v>
      </c>
      <c r="H142">
        <v>2</v>
      </c>
      <c r="I142" t="s">
        <v>381</v>
      </c>
      <c r="J142" t="s">
        <v>382</v>
      </c>
      <c r="K142" t="s">
        <v>383</v>
      </c>
      <c r="L142">
        <v>1368</v>
      </c>
      <c r="N142">
        <v>1011</v>
      </c>
      <c r="O142" t="s">
        <v>367</v>
      </c>
      <c r="P142" t="s">
        <v>367</v>
      </c>
      <c r="Q142">
        <v>1</v>
      </c>
      <c r="X142">
        <v>0.15</v>
      </c>
      <c r="Y142">
        <v>0</v>
      </c>
      <c r="Z142">
        <v>87.17</v>
      </c>
      <c r="AA142">
        <v>11.6</v>
      </c>
      <c r="AB142">
        <v>0</v>
      </c>
      <c r="AC142">
        <v>0</v>
      </c>
      <c r="AD142">
        <v>1</v>
      </c>
      <c r="AE142">
        <v>0</v>
      </c>
      <c r="AF142" t="s">
        <v>139</v>
      </c>
      <c r="AG142">
        <v>0.1875</v>
      </c>
      <c r="AH142">
        <v>2</v>
      </c>
      <c r="AI142">
        <v>37377913</v>
      </c>
      <c r="AJ142">
        <v>141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</row>
    <row r="143" spans="1:44">
      <c r="A143">
        <f>ROW(Source!A199)</f>
        <v>199</v>
      </c>
      <c r="B143">
        <v>37377914</v>
      </c>
      <c r="C143">
        <v>37377909</v>
      </c>
      <c r="D143">
        <v>29108696</v>
      </c>
      <c r="E143">
        <v>1</v>
      </c>
      <c r="F143">
        <v>1</v>
      </c>
      <c r="G143">
        <v>1</v>
      </c>
      <c r="H143">
        <v>3</v>
      </c>
      <c r="I143" t="s">
        <v>524</v>
      </c>
      <c r="J143" t="s">
        <v>525</v>
      </c>
      <c r="K143" t="s">
        <v>526</v>
      </c>
      <c r="L143">
        <v>1354</v>
      </c>
      <c r="N143">
        <v>1010</v>
      </c>
      <c r="O143" t="s">
        <v>195</v>
      </c>
      <c r="P143" t="s">
        <v>195</v>
      </c>
      <c r="Q143">
        <v>1</v>
      </c>
      <c r="X143">
        <v>56.6</v>
      </c>
      <c r="Y143">
        <v>67.209999999999994</v>
      </c>
      <c r="Z143">
        <v>0</v>
      </c>
      <c r="AA143">
        <v>0</v>
      </c>
      <c r="AB143">
        <v>0</v>
      </c>
      <c r="AC143">
        <v>0</v>
      </c>
      <c r="AD143">
        <v>1</v>
      </c>
      <c r="AE143">
        <v>0</v>
      </c>
      <c r="AF143" t="s">
        <v>3</v>
      </c>
      <c r="AG143">
        <v>56.6</v>
      </c>
      <c r="AH143">
        <v>2</v>
      </c>
      <c r="AI143">
        <v>37377914</v>
      </c>
      <c r="AJ143">
        <v>142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</row>
    <row r="144" spans="1:44">
      <c r="A144">
        <f>ROW(Source!A199)</f>
        <v>199</v>
      </c>
      <c r="B144">
        <v>37377915</v>
      </c>
      <c r="C144">
        <v>37377909</v>
      </c>
      <c r="D144">
        <v>29109717</v>
      </c>
      <c r="E144">
        <v>1</v>
      </c>
      <c r="F144">
        <v>1</v>
      </c>
      <c r="G144">
        <v>1</v>
      </c>
      <c r="H144">
        <v>3</v>
      </c>
      <c r="I144" t="s">
        <v>603</v>
      </c>
      <c r="J144" t="s">
        <v>604</v>
      </c>
      <c r="K144" t="s">
        <v>605</v>
      </c>
      <c r="L144">
        <v>1301</v>
      </c>
      <c r="N144">
        <v>1003</v>
      </c>
      <c r="O144" t="s">
        <v>238</v>
      </c>
      <c r="P144" t="s">
        <v>238</v>
      </c>
      <c r="Q144">
        <v>1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1</v>
      </c>
      <c r="AD144">
        <v>0</v>
      </c>
      <c r="AE144">
        <v>0</v>
      </c>
      <c r="AF144" t="s">
        <v>3</v>
      </c>
      <c r="AG144">
        <v>0</v>
      </c>
      <c r="AH144">
        <v>3</v>
      </c>
      <c r="AI144">
        <v>-1</v>
      </c>
      <c r="AJ144" t="s">
        <v>3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</row>
    <row r="145" spans="1:44">
      <c r="A145">
        <f>ROW(Source!A199)</f>
        <v>199</v>
      </c>
      <c r="B145">
        <v>37377916</v>
      </c>
      <c r="C145">
        <v>37377909</v>
      </c>
      <c r="D145">
        <v>29115197</v>
      </c>
      <c r="E145">
        <v>1</v>
      </c>
      <c r="F145">
        <v>1</v>
      </c>
      <c r="G145">
        <v>1</v>
      </c>
      <c r="H145">
        <v>3</v>
      </c>
      <c r="I145" t="s">
        <v>534</v>
      </c>
      <c r="J145" t="s">
        <v>535</v>
      </c>
      <c r="K145" t="s">
        <v>536</v>
      </c>
      <c r="L145">
        <v>1355</v>
      </c>
      <c r="N145">
        <v>1010</v>
      </c>
      <c r="O145" t="s">
        <v>46</v>
      </c>
      <c r="P145" t="s">
        <v>46</v>
      </c>
      <c r="Q145">
        <v>100</v>
      </c>
      <c r="X145">
        <v>4</v>
      </c>
      <c r="Y145">
        <v>50</v>
      </c>
      <c r="Z145">
        <v>0</v>
      </c>
      <c r="AA145">
        <v>0</v>
      </c>
      <c r="AB145">
        <v>0</v>
      </c>
      <c r="AC145">
        <v>0</v>
      </c>
      <c r="AD145">
        <v>1</v>
      </c>
      <c r="AE145">
        <v>0</v>
      </c>
      <c r="AF145" t="s">
        <v>3</v>
      </c>
      <c r="AG145">
        <v>4</v>
      </c>
      <c r="AH145">
        <v>2</v>
      </c>
      <c r="AI145">
        <v>37377916</v>
      </c>
      <c r="AJ145">
        <v>144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</row>
    <row r="146" spans="1:44">
      <c r="A146">
        <f>ROW(Source!A201)</f>
        <v>201</v>
      </c>
      <c r="B146">
        <v>36514419</v>
      </c>
      <c r="C146">
        <v>36514418</v>
      </c>
      <c r="D146">
        <v>18410572</v>
      </c>
      <c r="E146">
        <v>1</v>
      </c>
      <c r="F146">
        <v>1</v>
      </c>
      <c r="G146">
        <v>1</v>
      </c>
      <c r="H146">
        <v>1</v>
      </c>
      <c r="I146" t="s">
        <v>516</v>
      </c>
      <c r="J146" t="s">
        <v>3</v>
      </c>
      <c r="K146" t="s">
        <v>517</v>
      </c>
      <c r="L146">
        <v>1369</v>
      </c>
      <c r="N146">
        <v>1013</v>
      </c>
      <c r="O146" t="s">
        <v>361</v>
      </c>
      <c r="P146" t="s">
        <v>361</v>
      </c>
      <c r="Q146">
        <v>1</v>
      </c>
      <c r="X146">
        <v>170.75</v>
      </c>
      <c r="Y146">
        <v>0</v>
      </c>
      <c r="Z146">
        <v>0</v>
      </c>
      <c r="AA146">
        <v>0</v>
      </c>
      <c r="AB146">
        <v>285.36</v>
      </c>
      <c r="AC146">
        <v>0</v>
      </c>
      <c r="AD146">
        <v>1</v>
      </c>
      <c r="AE146">
        <v>1</v>
      </c>
      <c r="AF146" t="s">
        <v>114</v>
      </c>
      <c r="AG146">
        <v>196.36249999999998</v>
      </c>
      <c r="AH146">
        <v>2</v>
      </c>
      <c r="AI146">
        <v>36514419</v>
      </c>
      <c r="AJ146">
        <v>145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</row>
    <row r="147" spans="1:44">
      <c r="A147">
        <f>ROW(Source!A201)</f>
        <v>201</v>
      </c>
      <c r="B147">
        <v>36514420</v>
      </c>
      <c r="C147">
        <v>36514418</v>
      </c>
      <c r="D147">
        <v>121548</v>
      </c>
      <c r="E147">
        <v>1</v>
      </c>
      <c r="F147">
        <v>1</v>
      </c>
      <c r="G147">
        <v>1</v>
      </c>
      <c r="H147">
        <v>1</v>
      </c>
      <c r="I147" t="s">
        <v>213</v>
      </c>
      <c r="J147" t="s">
        <v>3</v>
      </c>
      <c r="K147" t="s">
        <v>362</v>
      </c>
      <c r="L147">
        <v>608254</v>
      </c>
      <c r="N147">
        <v>1013</v>
      </c>
      <c r="O147" t="s">
        <v>363</v>
      </c>
      <c r="P147" t="s">
        <v>363</v>
      </c>
      <c r="Q147">
        <v>1</v>
      </c>
      <c r="X147">
        <v>1.76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1</v>
      </c>
      <c r="AE147">
        <v>2</v>
      </c>
      <c r="AF147" t="s">
        <v>3</v>
      </c>
      <c r="AG147">
        <v>1.76</v>
      </c>
      <c r="AH147">
        <v>2</v>
      </c>
      <c r="AI147">
        <v>36514420</v>
      </c>
      <c r="AJ147">
        <v>146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</row>
    <row r="148" spans="1:44">
      <c r="A148">
        <f>ROW(Source!A201)</f>
        <v>201</v>
      </c>
      <c r="B148">
        <v>36514421</v>
      </c>
      <c r="C148">
        <v>36514418</v>
      </c>
      <c r="D148">
        <v>29172556</v>
      </c>
      <c r="E148">
        <v>1</v>
      </c>
      <c r="F148">
        <v>1</v>
      </c>
      <c r="G148">
        <v>1</v>
      </c>
      <c r="H148">
        <v>2</v>
      </c>
      <c r="I148" t="s">
        <v>364</v>
      </c>
      <c r="J148" t="s">
        <v>365</v>
      </c>
      <c r="K148" t="s">
        <v>366</v>
      </c>
      <c r="L148">
        <v>1368</v>
      </c>
      <c r="N148">
        <v>1011</v>
      </c>
      <c r="O148" t="s">
        <v>367</v>
      </c>
      <c r="P148" t="s">
        <v>367</v>
      </c>
      <c r="Q148">
        <v>1</v>
      </c>
      <c r="X148">
        <v>1.76</v>
      </c>
      <c r="Y148">
        <v>0</v>
      </c>
      <c r="Z148">
        <v>31.26</v>
      </c>
      <c r="AA148">
        <v>13.5</v>
      </c>
      <c r="AB148">
        <v>0</v>
      </c>
      <c r="AC148">
        <v>0</v>
      </c>
      <c r="AD148">
        <v>1</v>
      </c>
      <c r="AE148">
        <v>0</v>
      </c>
      <c r="AF148" t="s">
        <v>3</v>
      </c>
      <c r="AG148">
        <v>1.76</v>
      </c>
      <c r="AH148">
        <v>2</v>
      </c>
      <c r="AI148">
        <v>36514421</v>
      </c>
      <c r="AJ148">
        <v>147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</row>
    <row r="149" spans="1:44">
      <c r="A149">
        <f>ROW(Source!A201)</f>
        <v>201</v>
      </c>
      <c r="B149">
        <v>36514422</v>
      </c>
      <c r="C149">
        <v>36514418</v>
      </c>
      <c r="D149">
        <v>29173472</v>
      </c>
      <c r="E149">
        <v>1</v>
      </c>
      <c r="F149">
        <v>1</v>
      </c>
      <c r="G149">
        <v>1</v>
      </c>
      <c r="H149">
        <v>2</v>
      </c>
      <c r="I149" t="s">
        <v>396</v>
      </c>
      <c r="J149" t="s">
        <v>397</v>
      </c>
      <c r="K149" t="s">
        <v>398</v>
      </c>
      <c r="L149">
        <v>1368</v>
      </c>
      <c r="N149">
        <v>1011</v>
      </c>
      <c r="O149" t="s">
        <v>367</v>
      </c>
      <c r="P149" t="s">
        <v>367</v>
      </c>
      <c r="Q149">
        <v>1</v>
      </c>
      <c r="X149">
        <v>9.81</v>
      </c>
      <c r="Y149">
        <v>0</v>
      </c>
      <c r="Z149">
        <v>3</v>
      </c>
      <c r="AA149">
        <v>0</v>
      </c>
      <c r="AB149">
        <v>0</v>
      </c>
      <c r="AC149">
        <v>0</v>
      </c>
      <c r="AD149">
        <v>1</v>
      </c>
      <c r="AE149">
        <v>0</v>
      </c>
      <c r="AF149" t="s">
        <v>3</v>
      </c>
      <c r="AG149">
        <v>9.81</v>
      </c>
      <c r="AH149">
        <v>2</v>
      </c>
      <c r="AI149">
        <v>36514422</v>
      </c>
      <c r="AJ149">
        <v>148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</row>
    <row r="150" spans="1:44">
      <c r="A150">
        <f>ROW(Source!A201)</f>
        <v>201</v>
      </c>
      <c r="B150">
        <v>36514423</v>
      </c>
      <c r="C150">
        <v>36514418</v>
      </c>
      <c r="D150">
        <v>29174580</v>
      </c>
      <c r="E150">
        <v>1</v>
      </c>
      <c r="F150">
        <v>1</v>
      </c>
      <c r="G150">
        <v>1</v>
      </c>
      <c r="H150">
        <v>2</v>
      </c>
      <c r="I150" t="s">
        <v>402</v>
      </c>
      <c r="J150" t="s">
        <v>403</v>
      </c>
      <c r="K150" t="s">
        <v>404</v>
      </c>
      <c r="L150">
        <v>1368</v>
      </c>
      <c r="N150">
        <v>1011</v>
      </c>
      <c r="O150" t="s">
        <v>367</v>
      </c>
      <c r="P150" t="s">
        <v>367</v>
      </c>
      <c r="Q150">
        <v>1</v>
      </c>
      <c r="X150">
        <v>15.12</v>
      </c>
      <c r="Y150">
        <v>0</v>
      </c>
      <c r="Z150">
        <v>2.08</v>
      </c>
      <c r="AA150">
        <v>0</v>
      </c>
      <c r="AB150">
        <v>0</v>
      </c>
      <c r="AC150">
        <v>0</v>
      </c>
      <c r="AD150">
        <v>1</v>
      </c>
      <c r="AE150">
        <v>0</v>
      </c>
      <c r="AF150" t="s">
        <v>3</v>
      </c>
      <c r="AG150">
        <v>15.12</v>
      </c>
      <c r="AH150">
        <v>2</v>
      </c>
      <c r="AI150">
        <v>36514423</v>
      </c>
      <c r="AJ150">
        <v>149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</row>
    <row r="151" spans="1:44">
      <c r="A151">
        <f>ROW(Source!A201)</f>
        <v>201</v>
      </c>
      <c r="B151">
        <v>36514424</v>
      </c>
      <c r="C151">
        <v>36514418</v>
      </c>
      <c r="D151">
        <v>29174913</v>
      </c>
      <c r="E151">
        <v>1</v>
      </c>
      <c r="F151">
        <v>1</v>
      </c>
      <c r="G151">
        <v>1</v>
      </c>
      <c r="H151">
        <v>2</v>
      </c>
      <c r="I151" t="s">
        <v>381</v>
      </c>
      <c r="J151" t="s">
        <v>382</v>
      </c>
      <c r="K151" t="s">
        <v>383</v>
      </c>
      <c r="L151">
        <v>1368</v>
      </c>
      <c r="N151">
        <v>1011</v>
      </c>
      <c r="O151" t="s">
        <v>367</v>
      </c>
      <c r="P151" t="s">
        <v>367</v>
      </c>
      <c r="Q151">
        <v>1</v>
      </c>
      <c r="X151">
        <v>3.57</v>
      </c>
      <c r="Y151">
        <v>0</v>
      </c>
      <c r="Z151">
        <v>87.17</v>
      </c>
      <c r="AA151">
        <v>11.6</v>
      </c>
      <c r="AB151">
        <v>0</v>
      </c>
      <c r="AC151">
        <v>0</v>
      </c>
      <c r="AD151">
        <v>1</v>
      </c>
      <c r="AE151">
        <v>0</v>
      </c>
      <c r="AF151" t="s">
        <v>3</v>
      </c>
      <c r="AG151">
        <v>3.57</v>
      </c>
      <c r="AH151">
        <v>2</v>
      </c>
      <c r="AI151">
        <v>36514424</v>
      </c>
      <c r="AJ151">
        <v>150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</row>
    <row r="152" spans="1:44">
      <c r="A152">
        <f>ROW(Source!A201)</f>
        <v>201</v>
      </c>
      <c r="B152">
        <v>36514425</v>
      </c>
      <c r="C152">
        <v>36514418</v>
      </c>
      <c r="D152">
        <v>29110827</v>
      </c>
      <c r="E152">
        <v>1</v>
      </c>
      <c r="F152">
        <v>1</v>
      </c>
      <c r="G152">
        <v>1</v>
      </c>
      <c r="H152">
        <v>3</v>
      </c>
      <c r="I152" t="s">
        <v>518</v>
      </c>
      <c r="J152" t="s">
        <v>519</v>
      </c>
      <c r="K152" t="s">
        <v>520</v>
      </c>
      <c r="L152">
        <v>1301</v>
      </c>
      <c r="N152">
        <v>1003</v>
      </c>
      <c r="O152" t="s">
        <v>238</v>
      </c>
      <c r="P152" t="s">
        <v>238</v>
      </c>
      <c r="Q152">
        <v>1</v>
      </c>
      <c r="X152">
        <v>347</v>
      </c>
      <c r="Y152">
        <v>6.4</v>
      </c>
      <c r="Z152">
        <v>0</v>
      </c>
      <c r="AA152">
        <v>0</v>
      </c>
      <c r="AB152">
        <v>0</v>
      </c>
      <c r="AC152">
        <v>0</v>
      </c>
      <c r="AD152">
        <v>1</v>
      </c>
      <c r="AE152">
        <v>0</v>
      </c>
      <c r="AF152" t="s">
        <v>3</v>
      </c>
      <c r="AG152">
        <v>347</v>
      </c>
      <c r="AH152">
        <v>2</v>
      </c>
      <c r="AI152">
        <v>36514425</v>
      </c>
      <c r="AJ152">
        <v>151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</row>
    <row r="153" spans="1:44">
      <c r="A153">
        <f>ROW(Source!A201)</f>
        <v>201</v>
      </c>
      <c r="B153">
        <v>36514426</v>
      </c>
      <c r="C153">
        <v>36514418</v>
      </c>
      <c r="D153">
        <v>29110828</v>
      </c>
      <c r="E153">
        <v>1</v>
      </c>
      <c r="F153">
        <v>1</v>
      </c>
      <c r="G153">
        <v>1</v>
      </c>
      <c r="H153">
        <v>3</v>
      </c>
      <c r="I153" t="s">
        <v>521</v>
      </c>
      <c r="J153" t="s">
        <v>522</v>
      </c>
      <c r="K153" t="s">
        <v>523</v>
      </c>
      <c r="L153">
        <v>1301</v>
      </c>
      <c r="N153">
        <v>1003</v>
      </c>
      <c r="O153" t="s">
        <v>238</v>
      </c>
      <c r="P153" t="s">
        <v>238</v>
      </c>
      <c r="Q153">
        <v>1</v>
      </c>
      <c r="X153">
        <v>71</v>
      </c>
      <c r="Y153">
        <v>7.99</v>
      </c>
      <c r="Z153">
        <v>0</v>
      </c>
      <c r="AA153">
        <v>0</v>
      </c>
      <c r="AB153">
        <v>0</v>
      </c>
      <c r="AC153">
        <v>0</v>
      </c>
      <c r="AD153">
        <v>1</v>
      </c>
      <c r="AE153">
        <v>0</v>
      </c>
      <c r="AF153" t="s">
        <v>3</v>
      </c>
      <c r="AG153">
        <v>71</v>
      </c>
      <c r="AH153">
        <v>2</v>
      </c>
      <c r="AI153">
        <v>36514426</v>
      </c>
      <c r="AJ153">
        <v>152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</row>
    <row r="154" spans="1:44">
      <c r="A154">
        <f>ROW(Source!A201)</f>
        <v>201</v>
      </c>
      <c r="B154">
        <v>36514427</v>
      </c>
      <c r="C154">
        <v>36514418</v>
      </c>
      <c r="D154">
        <v>29108696</v>
      </c>
      <c r="E154">
        <v>1</v>
      </c>
      <c r="F154">
        <v>1</v>
      </c>
      <c r="G154">
        <v>1</v>
      </c>
      <c r="H154">
        <v>3</v>
      </c>
      <c r="I154" t="s">
        <v>524</v>
      </c>
      <c r="J154" t="s">
        <v>525</v>
      </c>
      <c r="K154" t="s">
        <v>526</v>
      </c>
      <c r="L154">
        <v>1354</v>
      </c>
      <c r="N154">
        <v>1010</v>
      </c>
      <c r="O154" t="s">
        <v>195</v>
      </c>
      <c r="P154" t="s">
        <v>195</v>
      </c>
      <c r="Q154">
        <v>1</v>
      </c>
      <c r="X154">
        <v>92</v>
      </c>
      <c r="Y154">
        <v>67.209999999999994</v>
      </c>
      <c r="Z154">
        <v>0</v>
      </c>
      <c r="AA154">
        <v>0</v>
      </c>
      <c r="AB154">
        <v>0</v>
      </c>
      <c r="AC154">
        <v>0</v>
      </c>
      <c r="AD154">
        <v>1</v>
      </c>
      <c r="AE154">
        <v>0</v>
      </c>
      <c r="AF154" t="s">
        <v>3</v>
      </c>
      <c r="AG154">
        <v>92</v>
      </c>
      <c r="AH154">
        <v>2</v>
      </c>
      <c r="AI154">
        <v>36514427</v>
      </c>
      <c r="AJ154">
        <v>153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</row>
    <row r="155" spans="1:44">
      <c r="A155">
        <f>ROW(Source!A201)</f>
        <v>201</v>
      </c>
      <c r="B155">
        <v>36514428</v>
      </c>
      <c r="C155">
        <v>36514418</v>
      </c>
      <c r="D155">
        <v>29110830</v>
      </c>
      <c r="E155">
        <v>1</v>
      </c>
      <c r="F155">
        <v>1</v>
      </c>
      <c r="G155">
        <v>1</v>
      </c>
      <c r="H155">
        <v>3</v>
      </c>
      <c r="I155" t="s">
        <v>527</v>
      </c>
      <c r="J155" t="s">
        <v>528</v>
      </c>
      <c r="K155" t="s">
        <v>529</v>
      </c>
      <c r="L155">
        <v>1302</v>
      </c>
      <c r="N155">
        <v>1003</v>
      </c>
      <c r="O155" t="s">
        <v>530</v>
      </c>
      <c r="P155" t="s">
        <v>530</v>
      </c>
      <c r="Q155">
        <v>10</v>
      </c>
      <c r="X155">
        <v>21.4</v>
      </c>
      <c r="Y155">
        <v>64.2</v>
      </c>
      <c r="Z155">
        <v>0</v>
      </c>
      <c r="AA155">
        <v>0</v>
      </c>
      <c r="AB155">
        <v>0</v>
      </c>
      <c r="AC155">
        <v>0</v>
      </c>
      <c r="AD155">
        <v>1</v>
      </c>
      <c r="AE155">
        <v>0</v>
      </c>
      <c r="AF155" t="s">
        <v>3</v>
      </c>
      <c r="AG155">
        <v>21.4</v>
      </c>
      <c r="AH155">
        <v>2</v>
      </c>
      <c r="AI155">
        <v>36514428</v>
      </c>
      <c r="AJ155">
        <v>154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</row>
    <row r="156" spans="1:44">
      <c r="A156">
        <f>ROW(Source!A201)</f>
        <v>201</v>
      </c>
      <c r="B156">
        <v>36514429</v>
      </c>
      <c r="C156">
        <v>36514418</v>
      </c>
      <c r="D156">
        <v>29114423</v>
      </c>
      <c r="E156">
        <v>1</v>
      </c>
      <c r="F156">
        <v>1</v>
      </c>
      <c r="G156">
        <v>1</v>
      </c>
      <c r="H156">
        <v>3</v>
      </c>
      <c r="I156" t="s">
        <v>531</v>
      </c>
      <c r="J156" t="s">
        <v>532</v>
      </c>
      <c r="K156" t="s">
        <v>533</v>
      </c>
      <c r="L156">
        <v>1358</v>
      </c>
      <c r="N156">
        <v>1010</v>
      </c>
      <c r="O156" t="s">
        <v>264</v>
      </c>
      <c r="P156" t="s">
        <v>264</v>
      </c>
      <c r="Q156">
        <v>10</v>
      </c>
      <c r="X156">
        <v>30.6</v>
      </c>
      <c r="Y156">
        <v>7.22</v>
      </c>
      <c r="Z156">
        <v>0</v>
      </c>
      <c r="AA156">
        <v>0</v>
      </c>
      <c r="AB156">
        <v>0</v>
      </c>
      <c r="AC156">
        <v>0</v>
      </c>
      <c r="AD156">
        <v>1</v>
      </c>
      <c r="AE156">
        <v>0</v>
      </c>
      <c r="AF156" t="s">
        <v>3</v>
      </c>
      <c r="AG156">
        <v>30.6</v>
      </c>
      <c r="AH156">
        <v>2</v>
      </c>
      <c r="AI156">
        <v>36514429</v>
      </c>
      <c r="AJ156">
        <v>155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</row>
    <row r="157" spans="1:44">
      <c r="A157">
        <f>ROW(Source!A201)</f>
        <v>201</v>
      </c>
      <c r="B157">
        <v>36514430</v>
      </c>
      <c r="C157">
        <v>36514418</v>
      </c>
      <c r="D157">
        <v>29115197</v>
      </c>
      <c r="E157">
        <v>1</v>
      </c>
      <c r="F157">
        <v>1</v>
      </c>
      <c r="G157">
        <v>1</v>
      </c>
      <c r="H157">
        <v>3</v>
      </c>
      <c r="I157" t="s">
        <v>534</v>
      </c>
      <c r="J157" t="s">
        <v>535</v>
      </c>
      <c r="K157" t="s">
        <v>536</v>
      </c>
      <c r="L157">
        <v>1355</v>
      </c>
      <c r="N157">
        <v>1010</v>
      </c>
      <c r="O157" t="s">
        <v>46</v>
      </c>
      <c r="P157" t="s">
        <v>46</v>
      </c>
      <c r="Q157">
        <v>100</v>
      </c>
      <c r="X157">
        <v>8</v>
      </c>
      <c r="Y157">
        <v>50</v>
      </c>
      <c r="Z157">
        <v>0</v>
      </c>
      <c r="AA157">
        <v>0</v>
      </c>
      <c r="AB157">
        <v>0</v>
      </c>
      <c r="AC157">
        <v>0</v>
      </c>
      <c r="AD157">
        <v>1</v>
      </c>
      <c r="AE157">
        <v>0</v>
      </c>
      <c r="AF157" t="s">
        <v>3</v>
      </c>
      <c r="AG157">
        <v>8</v>
      </c>
      <c r="AH157">
        <v>2</v>
      </c>
      <c r="AI157">
        <v>36514430</v>
      </c>
      <c r="AJ157">
        <v>156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</row>
    <row r="158" spans="1:44">
      <c r="A158">
        <f>ROW(Source!A201)</f>
        <v>201</v>
      </c>
      <c r="B158">
        <v>36514431</v>
      </c>
      <c r="C158">
        <v>36514418</v>
      </c>
      <c r="D158">
        <v>29129806</v>
      </c>
      <c r="E158">
        <v>1</v>
      </c>
      <c r="F158">
        <v>1</v>
      </c>
      <c r="G158">
        <v>1</v>
      </c>
      <c r="H158">
        <v>3</v>
      </c>
      <c r="I158" t="s">
        <v>219</v>
      </c>
      <c r="J158" t="s">
        <v>221</v>
      </c>
      <c r="K158" t="s">
        <v>220</v>
      </c>
      <c r="L158">
        <v>1327</v>
      </c>
      <c r="N158">
        <v>1005</v>
      </c>
      <c r="O158" t="s">
        <v>129</v>
      </c>
      <c r="P158" t="s">
        <v>129</v>
      </c>
      <c r="Q158">
        <v>1</v>
      </c>
      <c r="X158">
        <v>100</v>
      </c>
      <c r="Y158">
        <v>1630.31</v>
      </c>
      <c r="Z158">
        <v>0</v>
      </c>
      <c r="AA158">
        <v>0</v>
      </c>
      <c r="AB158">
        <v>0</v>
      </c>
      <c r="AC158">
        <v>0</v>
      </c>
      <c r="AD158">
        <v>1</v>
      </c>
      <c r="AE158">
        <v>0</v>
      </c>
      <c r="AF158" t="s">
        <v>3</v>
      </c>
      <c r="AG158">
        <v>100</v>
      </c>
      <c r="AH158">
        <v>2</v>
      </c>
      <c r="AI158">
        <v>36514431</v>
      </c>
      <c r="AJ158">
        <v>157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</row>
    <row r="159" spans="1:44">
      <c r="A159">
        <f>ROW(Source!A202)</f>
        <v>202</v>
      </c>
      <c r="B159">
        <v>36518302</v>
      </c>
      <c r="C159">
        <v>36518301</v>
      </c>
      <c r="D159">
        <v>18407150</v>
      </c>
      <c r="E159">
        <v>1</v>
      </c>
      <c r="F159">
        <v>1</v>
      </c>
      <c r="G159">
        <v>1</v>
      </c>
      <c r="H159">
        <v>1</v>
      </c>
      <c r="I159" t="s">
        <v>475</v>
      </c>
      <c r="J159" t="s">
        <v>3</v>
      </c>
      <c r="K159" t="s">
        <v>476</v>
      </c>
      <c r="L159">
        <v>1369</v>
      </c>
      <c r="N159">
        <v>1013</v>
      </c>
      <c r="O159" t="s">
        <v>361</v>
      </c>
      <c r="P159" t="s">
        <v>361</v>
      </c>
      <c r="Q159">
        <v>1</v>
      </c>
      <c r="X159">
        <v>41.41</v>
      </c>
      <c r="Y159">
        <v>0</v>
      </c>
      <c r="Z159">
        <v>0</v>
      </c>
      <c r="AA159">
        <v>0</v>
      </c>
      <c r="AB159">
        <v>283.07</v>
      </c>
      <c r="AC159">
        <v>0</v>
      </c>
      <c r="AD159">
        <v>1</v>
      </c>
      <c r="AE159">
        <v>1</v>
      </c>
      <c r="AF159" t="s">
        <v>3</v>
      </c>
      <c r="AG159">
        <v>41.41</v>
      </c>
      <c r="AH159">
        <v>2</v>
      </c>
      <c r="AI159">
        <v>36518302</v>
      </c>
      <c r="AJ159">
        <v>158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</row>
    <row r="160" spans="1:44">
      <c r="A160">
        <f>ROW(Source!A202)</f>
        <v>202</v>
      </c>
      <c r="B160">
        <v>36518303</v>
      </c>
      <c r="C160">
        <v>36518301</v>
      </c>
      <c r="D160">
        <v>121548</v>
      </c>
      <c r="E160">
        <v>1</v>
      </c>
      <c r="F160">
        <v>1</v>
      </c>
      <c r="G160">
        <v>1</v>
      </c>
      <c r="H160">
        <v>1</v>
      </c>
      <c r="I160" t="s">
        <v>213</v>
      </c>
      <c r="J160" t="s">
        <v>3</v>
      </c>
      <c r="K160" t="s">
        <v>362</v>
      </c>
      <c r="L160">
        <v>608254</v>
      </c>
      <c r="N160">
        <v>1013</v>
      </c>
      <c r="O160" t="s">
        <v>363</v>
      </c>
      <c r="P160" t="s">
        <v>363</v>
      </c>
      <c r="Q160">
        <v>1</v>
      </c>
      <c r="X160">
        <v>0.08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1</v>
      </c>
      <c r="AE160">
        <v>2</v>
      </c>
      <c r="AF160" t="s">
        <v>3</v>
      </c>
      <c r="AG160">
        <v>0.08</v>
      </c>
      <c r="AH160">
        <v>2</v>
      </c>
      <c r="AI160">
        <v>36518303</v>
      </c>
      <c r="AJ160">
        <v>159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</row>
    <row r="161" spans="1:44">
      <c r="A161">
        <f>ROW(Source!A202)</f>
        <v>202</v>
      </c>
      <c r="B161">
        <v>36518304</v>
      </c>
      <c r="C161">
        <v>36518301</v>
      </c>
      <c r="D161">
        <v>29172556</v>
      </c>
      <c r="E161">
        <v>1</v>
      </c>
      <c r="F161">
        <v>1</v>
      </c>
      <c r="G161">
        <v>1</v>
      </c>
      <c r="H161">
        <v>2</v>
      </c>
      <c r="I161" t="s">
        <v>364</v>
      </c>
      <c r="J161" t="s">
        <v>365</v>
      </c>
      <c r="K161" t="s">
        <v>366</v>
      </c>
      <c r="L161">
        <v>1368</v>
      </c>
      <c r="N161">
        <v>1011</v>
      </c>
      <c r="O161" t="s">
        <v>367</v>
      </c>
      <c r="P161" t="s">
        <v>367</v>
      </c>
      <c r="Q161">
        <v>1</v>
      </c>
      <c r="X161">
        <v>0.08</v>
      </c>
      <c r="Y161">
        <v>0</v>
      </c>
      <c r="Z161">
        <v>31.26</v>
      </c>
      <c r="AA161">
        <v>13.5</v>
      </c>
      <c r="AB161">
        <v>0</v>
      </c>
      <c r="AC161">
        <v>0</v>
      </c>
      <c r="AD161">
        <v>1</v>
      </c>
      <c r="AE161">
        <v>0</v>
      </c>
      <c r="AF161" t="s">
        <v>3</v>
      </c>
      <c r="AG161">
        <v>0.08</v>
      </c>
      <c r="AH161">
        <v>2</v>
      </c>
      <c r="AI161">
        <v>36518304</v>
      </c>
      <c r="AJ161">
        <v>160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</row>
    <row r="162" spans="1:44">
      <c r="A162">
        <f>ROW(Source!A202)</f>
        <v>202</v>
      </c>
      <c r="B162">
        <v>36518305</v>
      </c>
      <c r="C162">
        <v>36518301</v>
      </c>
      <c r="D162">
        <v>29174913</v>
      </c>
      <c r="E162">
        <v>1</v>
      </c>
      <c r="F162">
        <v>1</v>
      </c>
      <c r="G162">
        <v>1</v>
      </c>
      <c r="H162">
        <v>2</v>
      </c>
      <c r="I162" t="s">
        <v>381</v>
      </c>
      <c r="J162" t="s">
        <v>382</v>
      </c>
      <c r="K162" t="s">
        <v>383</v>
      </c>
      <c r="L162">
        <v>1368</v>
      </c>
      <c r="N162">
        <v>1011</v>
      </c>
      <c r="O162" t="s">
        <v>367</v>
      </c>
      <c r="P162" t="s">
        <v>367</v>
      </c>
      <c r="Q162">
        <v>1</v>
      </c>
      <c r="X162">
        <v>0.04</v>
      </c>
      <c r="Y162">
        <v>0</v>
      </c>
      <c r="Z162">
        <v>87.17</v>
      </c>
      <c r="AA162">
        <v>11.6</v>
      </c>
      <c r="AB162">
        <v>0</v>
      </c>
      <c r="AC162">
        <v>0</v>
      </c>
      <c r="AD162">
        <v>1</v>
      </c>
      <c r="AE162">
        <v>0</v>
      </c>
      <c r="AF162" t="s">
        <v>3</v>
      </c>
      <c r="AG162">
        <v>0.04</v>
      </c>
      <c r="AH162">
        <v>2</v>
      </c>
      <c r="AI162">
        <v>36518305</v>
      </c>
      <c r="AJ162">
        <v>161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</row>
    <row r="163" spans="1:44">
      <c r="A163">
        <f>ROW(Source!A202)</f>
        <v>202</v>
      </c>
      <c r="B163">
        <v>36518306</v>
      </c>
      <c r="C163">
        <v>36518301</v>
      </c>
      <c r="D163">
        <v>29113606</v>
      </c>
      <c r="E163">
        <v>1</v>
      </c>
      <c r="F163">
        <v>1</v>
      </c>
      <c r="G163">
        <v>1</v>
      </c>
      <c r="H163">
        <v>3</v>
      </c>
      <c r="I163" t="s">
        <v>541</v>
      </c>
      <c r="J163" t="s">
        <v>542</v>
      </c>
      <c r="K163" t="s">
        <v>543</v>
      </c>
      <c r="L163">
        <v>1348</v>
      </c>
      <c r="N163">
        <v>1009</v>
      </c>
      <c r="O163" t="s">
        <v>41</v>
      </c>
      <c r="P163" t="s">
        <v>41</v>
      </c>
      <c r="Q163">
        <v>1000</v>
      </c>
      <c r="X163">
        <v>6.0000000000000001E-3</v>
      </c>
      <c r="Y163">
        <v>8022.98</v>
      </c>
      <c r="Z163">
        <v>0</v>
      </c>
      <c r="AA163">
        <v>0</v>
      </c>
      <c r="AB163">
        <v>0</v>
      </c>
      <c r="AC163">
        <v>0</v>
      </c>
      <c r="AD163">
        <v>1</v>
      </c>
      <c r="AE163">
        <v>0</v>
      </c>
      <c r="AF163" t="s">
        <v>3</v>
      </c>
      <c r="AG163">
        <v>6.0000000000000001E-3</v>
      </c>
      <c r="AH163">
        <v>2</v>
      </c>
      <c r="AI163">
        <v>36518306</v>
      </c>
      <c r="AJ163">
        <v>162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</row>
    <row r="164" spans="1:44">
      <c r="A164">
        <f>ROW(Source!A202)</f>
        <v>202</v>
      </c>
      <c r="B164">
        <v>36518307</v>
      </c>
      <c r="C164">
        <v>36518301</v>
      </c>
      <c r="D164">
        <v>29113165</v>
      </c>
      <c r="E164">
        <v>1</v>
      </c>
      <c r="F164">
        <v>1</v>
      </c>
      <c r="G164">
        <v>1</v>
      </c>
      <c r="H164">
        <v>3</v>
      </c>
      <c r="I164" t="s">
        <v>544</v>
      </c>
      <c r="J164" t="s">
        <v>545</v>
      </c>
      <c r="K164" t="s">
        <v>546</v>
      </c>
      <c r="L164">
        <v>1348</v>
      </c>
      <c r="N164">
        <v>1009</v>
      </c>
      <c r="O164" t="s">
        <v>41</v>
      </c>
      <c r="P164" t="s">
        <v>41</v>
      </c>
      <c r="Q164">
        <v>1000</v>
      </c>
      <c r="X164">
        <v>0.184</v>
      </c>
      <c r="Y164">
        <v>11200.01</v>
      </c>
      <c r="Z164">
        <v>0</v>
      </c>
      <c r="AA164">
        <v>0</v>
      </c>
      <c r="AB164">
        <v>0</v>
      </c>
      <c r="AC164">
        <v>0</v>
      </c>
      <c r="AD164">
        <v>1</v>
      </c>
      <c r="AE164">
        <v>0</v>
      </c>
      <c r="AF164" t="s">
        <v>3</v>
      </c>
      <c r="AG164">
        <v>0.184</v>
      </c>
      <c r="AH164">
        <v>2</v>
      </c>
      <c r="AI164">
        <v>36518307</v>
      </c>
      <c r="AJ164">
        <v>163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</row>
    <row r="165" spans="1:44">
      <c r="A165">
        <f>ROW(Source!A202)</f>
        <v>202</v>
      </c>
      <c r="B165">
        <v>36518308</v>
      </c>
      <c r="C165">
        <v>36518301</v>
      </c>
      <c r="D165">
        <v>29114332</v>
      </c>
      <c r="E165">
        <v>1</v>
      </c>
      <c r="F165">
        <v>1</v>
      </c>
      <c r="G165">
        <v>1</v>
      </c>
      <c r="H165">
        <v>3</v>
      </c>
      <c r="I165" t="s">
        <v>489</v>
      </c>
      <c r="J165" t="s">
        <v>490</v>
      </c>
      <c r="K165" t="s">
        <v>491</v>
      </c>
      <c r="L165">
        <v>1348</v>
      </c>
      <c r="N165">
        <v>1009</v>
      </c>
      <c r="O165" t="s">
        <v>41</v>
      </c>
      <c r="P165" t="s">
        <v>41</v>
      </c>
      <c r="Q165">
        <v>1000</v>
      </c>
      <c r="X165">
        <v>4.0000000000000001E-3</v>
      </c>
      <c r="Y165">
        <v>11978</v>
      </c>
      <c r="Z165">
        <v>0</v>
      </c>
      <c r="AA165">
        <v>0</v>
      </c>
      <c r="AB165">
        <v>0</v>
      </c>
      <c r="AC165">
        <v>0</v>
      </c>
      <c r="AD165">
        <v>1</v>
      </c>
      <c r="AE165">
        <v>0</v>
      </c>
      <c r="AF165" t="s">
        <v>3</v>
      </c>
      <c r="AG165">
        <v>4.0000000000000001E-3</v>
      </c>
      <c r="AH165">
        <v>2</v>
      </c>
      <c r="AI165">
        <v>36518308</v>
      </c>
      <c r="AJ165">
        <v>164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</row>
    <row r="166" spans="1:44">
      <c r="A166">
        <f>ROW(Source!A202)</f>
        <v>202</v>
      </c>
      <c r="B166">
        <v>36518309</v>
      </c>
      <c r="C166">
        <v>36518301</v>
      </c>
      <c r="D166">
        <v>29164349</v>
      </c>
      <c r="E166">
        <v>1</v>
      </c>
      <c r="F166">
        <v>1</v>
      </c>
      <c r="G166">
        <v>1</v>
      </c>
      <c r="H166">
        <v>3</v>
      </c>
      <c r="I166" t="s">
        <v>39</v>
      </c>
      <c r="J166" t="s">
        <v>168</v>
      </c>
      <c r="K166" t="s">
        <v>40</v>
      </c>
      <c r="L166">
        <v>1348</v>
      </c>
      <c r="N166">
        <v>1009</v>
      </c>
      <c r="O166" t="s">
        <v>41</v>
      </c>
      <c r="P166" t="s">
        <v>41</v>
      </c>
      <c r="Q166">
        <v>1000</v>
      </c>
      <c r="X166">
        <v>0.224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 t="s">
        <v>3</v>
      </c>
      <c r="AG166">
        <v>0.224</v>
      </c>
      <c r="AH166">
        <v>2</v>
      </c>
      <c r="AI166">
        <v>36518309</v>
      </c>
      <c r="AJ166">
        <v>165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</row>
    <row r="167" spans="1:44">
      <c r="A167">
        <f>ROW(Source!A204)</f>
        <v>204</v>
      </c>
      <c r="B167">
        <v>36514522</v>
      </c>
      <c r="C167">
        <v>36514521</v>
      </c>
      <c r="D167">
        <v>18407150</v>
      </c>
      <c r="E167">
        <v>1</v>
      </c>
      <c r="F167">
        <v>1</v>
      </c>
      <c r="G167">
        <v>1</v>
      </c>
      <c r="H167">
        <v>1</v>
      </c>
      <c r="I167" t="s">
        <v>475</v>
      </c>
      <c r="J167" t="s">
        <v>3</v>
      </c>
      <c r="K167" t="s">
        <v>476</v>
      </c>
      <c r="L167">
        <v>1369</v>
      </c>
      <c r="N167">
        <v>1013</v>
      </c>
      <c r="O167" t="s">
        <v>361</v>
      </c>
      <c r="P167" t="s">
        <v>361</v>
      </c>
      <c r="Q167">
        <v>1</v>
      </c>
      <c r="X167">
        <v>21.19</v>
      </c>
      <c r="Y167">
        <v>0</v>
      </c>
      <c r="Z167">
        <v>0</v>
      </c>
      <c r="AA167">
        <v>0</v>
      </c>
      <c r="AB167">
        <v>278.5</v>
      </c>
      <c r="AC167">
        <v>0</v>
      </c>
      <c r="AD167">
        <v>1</v>
      </c>
      <c r="AE167">
        <v>1</v>
      </c>
      <c r="AF167" t="s">
        <v>114</v>
      </c>
      <c r="AG167">
        <v>24.368500000000001</v>
      </c>
      <c r="AH167">
        <v>2</v>
      </c>
      <c r="AI167">
        <v>36514522</v>
      </c>
      <c r="AJ167">
        <v>166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</row>
    <row r="168" spans="1:44">
      <c r="A168">
        <f>ROW(Source!A204)</f>
        <v>204</v>
      </c>
      <c r="B168">
        <v>36514523</v>
      </c>
      <c r="C168">
        <v>36514521</v>
      </c>
      <c r="D168">
        <v>121548</v>
      </c>
      <c r="E168">
        <v>1</v>
      </c>
      <c r="F168">
        <v>1</v>
      </c>
      <c r="G168">
        <v>1</v>
      </c>
      <c r="H168">
        <v>1</v>
      </c>
      <c r="I168" t="s">
        <v>213</v>
      </c>
      <c r="J168" t="s">
        <v>3</v>
      </c>
      <c r="K168" t="s">
        <v>362</v>
      </c>
      <c r="L168">
        <v>608254</v>
      </c>
      <c r="N168">
        <v>1013</v>
      </c>
      <c r="O168" t="s">
        <v>363</v>
      </c>
      <c r="P168" t="s">
        <v>363</v>
      </c>
      <c r="Q168">
        <v>1</v>
      </c>
      <c r="X168">
        <v>0.04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1</v>
      </c>
      <c r="AE168">
        <v>2</v>
      </c>
      <c r="AF168" t="s">
        <v>3</v>
      </c>
      <c r="AG168">
        <v>0.04</v>
      </c>
      <c r="AH168">
        <v>2</v>
      </c>
      <c r="AI168">
        <v>36514523</v>
      </c>
      <c r="AJ168">
        <v>167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</row>
    <row r="169" spans="1:44">
      <c r="A169">
        <f>ROW(Source!A204)</f>
        <v>204</v>
      </c>
      <c r="B169">
        <v>36514524</v>
      </c>
      <c r="C169">
        <v>36514521</v>
      </c>
      <c r="D169">
        <v>29172556</v>
      </c>
      <c r="E169">
        <v>1</v>
      </c>
      <c r="F169">
        <v>1</v>
      </c>
      <c r="G169">
        <v>1</v>
      </c>
      <c r="H169">
        <v>2</v>
      </c>
      <c r="I169" t="s">
        <v>364</v>
      </c>
      <c r="J169" t="s">
        <v>365</v>
      </c>
      <c r="K169" t="s">
        <v>366</v>
      </c>
      <c r="L169">
        <v>1368</v>
      </c>
      <c r="N169">
        <v>1011</v>
      </c>
      <c r="O169" t="s">
        <v>367</v>
      </c>
      <c r="P169" t="s">
        <v>367</v>
      </c>
      <c r="Q169">
        <v>1</v>
      </c>
      <c r="X169">
        <v>0.04</v>
      </c>
      <c r="Y169">
        <v>0</v>
      </c>
      <c r="Z169">
        <v>31.26</v>
      </c>
      <c r="AA169">
        <v>13.5</v>
      </c>
      <c r="AB169">
        <v>0</v>
      </c>
      <c r="AC169">
        <v>0</v>
      </c>
      <c r="AD169">
        <v>1</v>
      </c>
      <c r="AE169">
        <v>0</v>
      </c>
      <c r="AF169" t="s">
        <v>3</v>
      </c>
      <c r="AG169">
        <v>0.04</v>
      </c>
      <c r="AH169">
        <v>2</v>
      </c>
      <c r="AI169">
        <v>36514524</v>
      </c>
      <c r="AJ169">
        <v>168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</row>
    <row r="170" spans="1:44">
      <c r="A170">
        <f>ROW(Source!A204)</f>
        <v>204</v>
      </c>
      <c r="B170">
        <v>36514525</v>
      </c>
      <c r="C170">
        <v>36514521</v>
      </c>
      <c r="D170">
        <v>29174913</v>
      </c>
      <c r="E170">
        <v>1</v>
      </c>
      <c r="F170">
        <v>1</v>
      </c>
      <c r="G170">
        <v>1</v>
      </c>
      <c r="H170">
        <v>2</v>
      </c>
      <c r="I170" t="s">
        <v>381</v>
      </c>
      <c r="J170" t="s">
        <v>382</v>
      </c>
      <c r="K170" t="s">
        <v>383</v>
      </c>
      <c r="L170">
        <v>1368</v>
      </c>
      <c r="N170">
        <v>1011</v>
      </c>
      <c r="O170" t="s">
        <v>367</v>
      </c>
      <c r="P170" t="s">
        <v>367</v>
      </c>
      <c r="Q170">
        <v>1</v>
      </c>
      <c r="X170">
        <v>0.15</v>
      </c>
      <c r="Y170">
        <v>0</v>
      </c>
      <c r="Z170">
        <v>87.17</v>
      </c>
      <c r="AA170">
        <v>11.6</v>
      </c>
      <c r="AB170">
        <v>0</v>
      </c>
      <c r="AC170">
        <v>0</v>
      </c>
      <c r="AD170">
        <v>1</v>
      </c>
      <c r="AE170">
        <v>0</v>
      </c>
      <c r="AF170" t="s">
        <v>3</v>
      </c>
      <c r="AG170">
        <v>0.15</v>
      </c>
      <c r="AH170">
        <v>2</v>
      </c>
      <c r="AI170">
        <v>36514525</v>
      </c>
      <c r="AJ170">
        <v>169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</row>
    <row r="171" spans="1:44">
      <c r="A171">
        <f>ROW(Source!A204)</f>
        <v>204</v>
      </c>
      <c r="B171">
        <v>36514526</v>
      </c>
      <c r="C171">
        <v>36514521</v>
      </c>
      <c r="D171">
        <v>29108696</v>
      </c>
      <c r="E171">
        <v>1</v>
      </c>
      <c r="F171">
        <v>1</v>
      </c>
      <c r="G171">
        <v>1</v>
      </c>
      <c r="H171">
        <v>3</v>
      </c>
      <c r="I171" t="s">
        <v>524</v>
      </c>
      <c r="J171" t="s">
        <v>525</v>
      </c>
      <c r="K171" t="s">
        <v>526</v>
      </c>
      <c r="L171">
        <v>1354</v>
      </c>
      <c r="N171">
        <v>1010</v>
      </c>
      <c r="O171" t="s">
        <v>195</v>
      </c>
      <c r="P171" t="s">
        <v>195</v>
      </c>
      <c r="Q171">
        <v>1</v>
      </c>
      <c r="X171">
        <v>56.6</v>
      </c>
      <c r="Y171">
        <v>67.209999999999994</v>
      </c>
      <c r="Z171">
        <v>0</v>
      </c>
      <c r="AA171">
        <v>0</v>
      </c>
      <c r="AB171">
        <v>0</v>
      </c>
      <c r="AC171">
        <v>0</v>
      </c>
      <c r="AD171">
        <v>1</v>
      </c>
      <c r="AE171">
        <v>0</v>
      </c>
      <c r="AF171" t="s">
        <v>3</v>
      </c>
      <c r="AG171">
        <v>56.6</v>
      </c>
      <c r="AH171">
        <v>2</v>
      </c>
      <c r="AI171">
        <v>36514526</v>
      </c>
      <c r="AJ171">
        <v>170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</row>
    <row r="172" spans="1:44">
      <c r="A172">
        <f>ROW(Source!A204)</f>
        <v>204</v>
      </c>
      <c r="B172">
        <v>36514527</v>
      </c>
      <c r="C172">
        <v>36514521</v>
      </c>
      <c r="D172">
        <v>29109717</v>
      </c>
      <c r="E172">
        <v>1</v>
      </c>
      <c r="F172">
        <v>1</v>
      </c>
      <c r="G172">
        <v>1</v>
      </c>
      <c r="H172">
        <v>3</v>
      </c>
      <c r="I172" t="s">
        <v>603</v>
      </c>
      <c r="J172" t="s">
        <v>604</v>
      </c>
      <c r="K172" t="s">
        <v>605</v>
      </c>
      <c r="L172">
        <v>1301</v>
      </c>
      <c r="N172">
        <v>1003</v>
      </c>
      <c r="O172" t="s">
        <v>238</v>
      </c>
      <c r="P172" t="s">
        <v>238</v>
      </c>
      <c r="Q172">
        <v>1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1</v>
      </c>
      <c r="AD172">
        <v>0</v>
      </c>
      <c r="AE172">
        <v>0</v>
      </c>
      <c r="AF172" t="s">
        <v>3</v>
      </c>
      <c r="AG172">
        <v>0</v>
      </c>
      <c r="AH172">
        <v>3</v>
      </c>
      <c r="AI172">
        <v>-1</v>
      </c>
      <c r="AJ172" t="s">
        <v>3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</row>
    <row r="173" spans="1:44">
      <c r="A173">
        <f>ROW(Source!A204)</f>
        <v>204</v>
      </c>
      <c r="B173">
        <v>36514528</v>
      </c>
      <c r="C173">
        <v>36514521</v>
      </c>
      <c r="D173">
        <v>29115197</v>
      </c>
      <c r="E173">
        <v>1</v>
      </c>
      <c r="F173">
        <v>1</v>
      </c>
      <c r="G173">
        <v>1</v>
      </c>
      <c r="H173">
        <v>3</v>
      </c>
      <c r="I173" t="s">
        <v>534</v>
      </c>
      <c r="J173" t="s">
        <v>535</v>
      </c>
      <c r="K173" t="s">
        <v>536</v>
      </c>
      <c r="L173">
        <v>1355</v>
      </c>
      <c r="N173">
        <v>1010</v>
      </c>
      <c r="O173" t="s">
        <v>46</v>
      </c>
      <c r="P173" t="s">
        <v>46</v>
      </c>
      <c r="Q173">
        <v>100</v>
      </c>
      <c r="X173">
        <v>4</v>
      </c>
      <c r="Y173">
        <v>50</v>
      </c>
      <c r="Z173">
        <v>0</v>
      </c>
      <c r="AA173">
        <v>0</v>
      </c>
      <c r="AB173">
        <v>0</v>
      </c>
      <c r="AC173">
        <v>0</v>
      </c>
      <c r="AD173">
        <v>1</v>
      </c>
      <c r="AE173">
        <v>0</v>
      </c>
      <c r="AF173" t="s">
        <v>3</v>
      </c>
      <c r="AG173">
        <v>4</v>
      </c>
      <c r="AH173">
        <v>2</v>
      </c>
      <c r="AI173">
        <v>36514528</v>
      </c>
      <c r="AJ173">
        <v>172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</row>
    <row r="174" spans="1:44">
      <c r="A174">
        <f>ROW(Source!A206)</f>
        <v>206</v>
      </c>
      <c r="B174">
        <v>36514531</v>
      </c>
      <c r="C174">
        <v>36514530</v>
      </c>
      <c r="D174">
        <v>18413230</v>
      </c>
      <c r="E174">
        <v>1</v>
      </c>
      <c r="F174">
        <v>1</v>
      </c>
      <c r="G174">
        <v>1</v>
      </c>
      <c r="H174">
        <v>1</v>
      </c>
      <c r="I174" t="s">
        <v>467</v>
      </c>
      <c r="J174" t="s">
        <v>3</v>
      </c>
      <c r="K174" t="s">
        <v>468</v>
      </c>
      <c r="L174">
        <v>1369</v>
      </c>
      <c r="N174">
        <v>1013</v>
      </c>
      <c r="O174" t="s">
        <v>361</v>
      </c>
      <c r="P174" t="s">
        <v>361</v>
      </c>
      <c r="Q174">
        <v>1</v>
      </c>
      <c r="X174">
        <v>166.47</v>
      </c>
      <c r="Y174">
        <v>0</v>
      </c>
      <c r="Z174">
        <v>0</v>
      </c>
      <c r="AA174">
        <v>0</v>
      </c>
      <c r="AB174">
        <v>299.72000000000003</v>
      </c>
      <c r="AC174">
        <v>0</v>
      </c>
      <c r="AD174">
        <v>1</v>
      </c>
      <c r="AE174">
        <v>1</v>
      </c>
      <c r="AF174" t="s">
        <v>114</v>
      </c>
      <c r="AG174">
        <v>191.44049999999999</v>
      </c>
      <c r="AH174">
        <v>2</v>
      </c>
      <c r="AI174">
        <v>36514531</v>
      </c>
      <c r="AJ174">
        <v>173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</row>
    <row r="175" spans="1:44">
      <c r="A175">
        <f>ROW(Source!A206)</f>
        <v>206</v>
      </c>
      <c r="B175">
        <v>36514532</v>
      </c>
      <c r="C175">
        <v>36514530</v>
      </c>
      <c r="D175">
        <v>121548</v>
      </c>
      <c r="E175">
        <v>1</v>
      </c>
      <c r="F175">
        <v>1</v>
      </c>
      <c r="G175">
        <v>1</v>
      </c>
      <c r="H175">
        <v>1</v>
      </c>
      <c r="I175" t="s">
        <v>213</v>
      </c>
      <c r="J175" t="s">
        <v>3</v>
      </c>
      <c r="K175" t="s">
        <v>362</v>
      </c>
      <c r="L175">
        <v>608254</v>
      </c>
      <c r="N175">
        <v>1013</v>
      </c>
      <c r="O175" t="s">
        <v>363</v>
      </c>
      <c r="P175" t="s">
        <v>363</v>
      </c>
      <c r="Q175">
        <v>1</v>
      </c>
      <c r="X175">
        <v>0.08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1</v>
      </c>
      <c r="AE175">
        <v>2</v>
      </c>
      <c r="AF175" t="s">
        <v>3</v>
      </c>
      <c r="AG175">
        <v>0.08</v>
      </c>
      <c r="AH175">
        <v>2</v>
      </c>
      <c r="AI175">
        <v>36514532</v>
      </c>
      <c r="AJ175">
        <v>174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</row>
    <row r="176" spans="1:44">
      <c r="A176">
        <f>ROW(Source!A206)</f>
        <v>206</v>
      </c>
      <c r="B176">
        <v>36514533</v>
      </c>
      <c r="C176">
        <v>36514530</v>
      </c>
      <c r="D176">
        <v>29172556</v>
      </c>
      <c r="E176">
        <v>1</v>
      </c>
      <c r="F176">
        <v>1</v>
      </c>
      <c r="G176">
        <v>1</v>
      </c>
      <c r="H176">
        <v>2</v>
      </c>
      <c r="I176" t="s">
        <v>364</v>
      </c>
      <c r="J176" t="s">
        <v>365</v>
      </c>
      <c r="K176" t="s">
        <v>366</v>
      </c>
      <c r="L176">
        <v>1368</v>
      </c>
      <c r="N176">
        <v>1011</v>
      </c>
      <c r="O176" t="s">
        <v>367</v>
      </c>
      <c r="P176" t="s">
        <v>367</v>
      </c>
      <c r="Q176">
        <v>1</v>
      </c>
      <c r="X176">
        <v>0.08</v>
      </c>
      <c r="Y176">
        <v>0</v>
      </c>
      <c r="Z176">
        <v>31.26</v>
      </c>
      <c r="AA176">
        <v>13.5</v>
      </c>
      <c r="AB176">
        <v>0</v>
      </c>
      <c r="AC176">
        <v>0</v>
      </c>
      <c r="AD176">
        <v>1</v>
      </c>
      <c r="AE176">
        <v>0</v>
      </c>
      <c r="AF176" t="s">
        <v>3</v>
      </c>
      <c r="AG176">
        <v>0.08</v>
      </c>
      <c r="AH176">
        <v>2</v>
      </c>
      <c r="AI176">
        <v>36514533</v>
      </c>
      <c r="AJ176">
        <v>175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</row>
    <row r="177" spans="1:44">
      <c r="A177">
        <f>ROW(Source!A206)</f>
        <v>206</v>
      </c>
      <c r="B177">
        <v>36514534</v>
      </c>
      <c r="C177">
        <v>36514530</v>
      </c>
      <c r="D177">
        <v>29174591</v>
      </c>
      <c r="E177">
        <v>1</v>
      </c>
      <c r="F177">
        <v>1</v>
      </c>
      <c r="G177">
        <v>1</v>
      </c>
      <c r="H177">
        <v>2</v>
      </c>
      <c r="I177" t="s">
        <v>477</v>
      </c>
      <c r="J177" t="s">
        <v>537</v>
      </c>
      <c r="K177" t="s">
        <v>479</v>
      </c>
      <c r="L177">
        <v>1368</v>
      </c>
      <c r="N177">
        <v>1011</v>
      </c>
      <c r="O177" t="s">
        <v>367</v>
      </c>
      <c r="P177" t="s">
        <v>367</v>
      </c>
      <c r="Q177">
        <v>1</v>
      </c>
      <c r="X177">
        <v>0.26</v>
      </c>
      <c r="Y177">
        <v>0</v>
      </c>
      <c r="Z177">
        <v>0.95</v>
      </c>
      <c r="AA177">
        <v>0</v>
      </c>
      <c r="AB177">
        <v>0</v>
      </c>
      <c r="AC177">
        <v>0</v>
      </c>
      <c r="AD177">
        <v>1</v>
      </c>
      <c r="AE177">
        <v>0</v>
      </c>
      <c r="AF177" t="s">
        <v>3</v>
      </c>
      <c r="AG177">
        <v>0.26</v>
      </c>
      <c r="AH177">
        <v>2</v>
      </c>
      <c r="AI177">
        <v>36514534</v>
      </c>
      <c r="AJ177">
        <v>176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</row>
    <row r="178" spans="1:44">
      <c r="A178">
        <f>ROW(Source!A206)</f>
        <v>206</v>
      </c>
      <c r="B178">
        <v>36514535</v>
      </c>
      <c r="C178">
        <v>36514530</v>
      </c>
      <c r="D178">
        <v>29174913</v>
      </c>
      <c r="E178">
        <v>1</v>
      </c>
      <c r="F178">
        <v>1</v>
      </c>
      <c r="G178">
        <v>1</v>
      </c>
      <c r="H178">
        <v>2</v>
      </c>
      <c r="I178" t="s">
        <v>381</v>
      </c>
      <c r="J178" t="s">
        <v>382</v>
      </c>
      <c r="K178" t="s">
        <v>383</v>
      </c>
      <c r="L178">
        <v>1368</v>
      </c>
      <c r="N178">
        <v>1011</v>
      </c>
      <c r="O178" t="s">
        <v>367</v>
      </c>
      <c r="P178" t="s">
        <v>367</v>
      </c>
      <c r="Q178">
        <v>1</v>
      </c>
      <c r="X178">
        <v>0.5</v>
      </c>
      <c r="Y178">
        <v>0</v>
      </c>
      <c r="Z178">
        <v>87.17</v>
      </c>
      <c r="AA178">
        <v>11.6</v>
      </c>
      <c r="AB178">
        <v>0</v>
      </c>
      <c r="AC178">
        <v>0</v>
      </c>
      <c r="AD178">
        <v>1</v>
      </c>
      <c r="AE178">
        <v>0</v>
      </c>
      <c r="AF178" t="s">
        <v>3</v>
      </c>
      <c r="AG178">
        <v>0.5</v>
      </c>
      <c r="AH178">
        <v>2</v>
      </c>
      <c r="AI178">
        <v>36514535</v>
      </c>
      <c r="AJ178">
        <v>177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</row>
    <row r="179" spans="1:44">
      <c r="A179">
        <f>ROW(Source!A206)</f>
        <v>206</v>
      </c>
      <c r="B179">
        <v>36514536</v>
      </c>
      <c r="C179">
        <v>36514530</v>
      </c>
      <c r="D179">
        <v>29107800</v>
      </c>
      <c r="E179">
        <v>1</v>
      </c>
      <c r="F179">
        <v>1</v>
      </c>
      <c r="G179">
        <v>1</v>
      </c>
      <c r="H179">
        <v>3</v>
      </c>
      <c r="I179" t="s">
        <v>384</v>
      </c>
      <c r="J179" t="s">
        <v>385</v>
      </c>
      <c r="K179" t="s">
        <v>386</v>
      </c>
      <c r="L179">
        <v>1346</v>
      </c>
      <c r="N179">
        <v>1009</v>
      </c>
      <c r="O179" t="s">
        <v>151</v>
      </c>
      <c r="P179" t="s">
        <v>151</v>
      </c>
      <c r="Q179">
        <v>1</v>
      </c>
      <c r="X179">
        <v>0.2</v>
      </c>
      <c r="Y179">
        <v>1.81</v>
      </c>
      <c r="Z179">
        <v>0</v>
      </c>
      <c r="AA179">
        <v>0</v>
      </c>
      <c r="AB179">
        <v>0</v>
      </c>
      <c r="AC179">
        <v>0</v>
      </c>
      <c r="AD179">
        <v>1</v>
      </c>
      <c r="AE179">
        <v>0</v>
      </c>
      <c r="AF179" t="s">
        <v>3</v>
      </c>
      <c r="AG179">
        <v>0.2</v>
      </c>
      <c r="AH179">
        <v>2</v>
      </c>
      <c r="AI179">
        <v>36514536</v>
      </c>
      <c r="AJ179">
        <v>178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</row>
    <row r="180" spans="1:44">
      <c r="A180">
        <f>ROW(Source!A206)</f>
        <v>206</v>
      </c>
      <c r="B180">
        <v>36514537</v>
      </c>
      <c r="C180">
        <v>36514530</v>
      </c>
      <c r="D180">
        <v>29109411</v>
      </c>
      <c r="E180">
        <v>1</v>
      </c>
      <c r="F180">
        <v>1</v>
      </c>
      <c r="G180">
        <v>1</v>
      </c>
      <c r="H180">
        <v>3</v>
      </c>
      <c r="I180" t="s">
        <v>538</v>
      </c>
      <c r="J180" t="s">
        <v>539</v>
      </c>
      <c r="K180" t="s">
        <v>540</v>
      </c>
      <c r="L180">
        <v>1346</v>
      </c>
      <c r="N180">
        <v>1009</v>
      </c>
      <c r="O180" t="s">
        <v>151</v>
      </c>
      <c r="P180" t="s">
        <v>151</v>
      </c>
      <c r="Q180">
        <v>1</v>
      </c>
      <c r="X180">
        <v>30</v>
      </c>
      <c r="Y180">
        <v>15.95</v>
      </c>
      <c r="Z180">
        <v>0</v>
      </c>
      <c r="AA180">
        <v>0</v>
      </c>
      <c r="AB180">
        <v>0</v>
      </c>
      <c r="AC180">
        <v>0</v>
      </c>
      <c r="AD180">
        <v>1</v>
      </c>
      <c r="AE180">
        <v>0</v>
      </c>
      <c r="AF180" t="s">
        <v>3</v>
      </c>
      <c r="AG180">
        <v>30</v>
      </c>
      <c r="AH180">
        <v>2</v>
      </c>
      <c r="AI180">
        <v>36514537</v>
      </c>
      <c r="AJ180">
        <v>180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</row>
    <row r="181" spans="1:44">
      <c r="A181">
        <f>ROW(Source!A206)</f>
        <v>206</v>
      </c>
      <c r="B181">
        <v>36514538</v>
      </c>
      <c r="C181">
        <v>36514530</v>
      </c>
      <c r="D181">
        <v>29109535</v>
      </c>
      <c r="E181">
        <v>1</v>
      </c>
      <c r="F181">
        <v>1</v>
      </c>
      <c r="G181">
        <v>1</v>
      </c>
      <c r="H181">
        <v>3</v>
      </c>
      <c r="I181" t="s">
        <v>600</v>
      </c>
      <c r="J181" t="s">
        <v>601</v>
      </c>
      <c r="K181" t="s">
        <v>602</v>
      </c>
      <c r="L181">
        <v>1327</v>
      </c>
      <c r="N181">
        <v>1005</v>
      </c>
      <c r="O181" t="s">
        <v>129</v>
      </c>
      <c r="P181" t="s">
        <v>129</v>
      </c>
      <c r="Q181">
        <v>1</v>
      </c>
      <c r="X181">
        <v>105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 t="s">
        <v>3</v>
      </c>
      <c r="AG181">
        <v>105</v>
      </c>
      <c r="AH181">
        <v>3</v>
      </c>
      <c r="AI181">
        <v>-1</v>
      </c>
      <c r="AJ181" t="s">
        <v>3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</row>
    <row r="182" spans="1:44">
      <c r="A182">
        <f>ROW(Source!A206)</f>
        <v>206</v>
      </c>
      <c r="B182">
        <v>36514539</v>
      </c>
      <c r="C182">
        <v>36514530</v>
      </c>
      <c r="D182">
        <v>29109265</v>
      </c>
      <c r="E182">
        <v>1</v>
      </c>
      <c r="F182">
        <v>1</v>
      </c>
      <c r="G182">
        <v>1</v>
      </c>
      <c r="H182">
        <v>3</v>
      </c>
      <c r="I182" t="s">
        <v>594</v>
      </c>
      <c r="J182" t="s">
        <v>595</v>
      </c>
      <c r="K182" t="s">
        <v>596</v>
      </c>
      <c r="L182">
        <v>1348</v>
      </c>
      <c r="N182">
        <v>1009</v>
      </c>
      <c r="O182" t="s">
        <v>41</v>
      </c>
      <c r="P182" t="s">
        <v>41</v>
      </c>
      <c r="Q182">
        <v>1000</v>
      </c>
      <c r="X182">
        <v>8.8999999999999999E-3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 t="s">
        <v>3</v>
      </c>
      <c r="AG182">
        <v>8.8999999999999999E-3</v>
      </c>
      <c r="AH182">
        <v>3</v>
      </c>
      <c r="AI182">
        <v>-1</v>
      </c>
      <c r="AJ182" t="s">
        <v>3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</row>
    <row r="183" spans="1:44">
      <c r="A183">
        <f>ROW(Source!A244)</f>
        <v>244</v>
      </c>
      <c r="B183">
        <v>37378920</v>
      </c>
      <c r="C183">
        <v>35847482</v>
      </c>
      <c r="D183">
        <v>29364679</v>
      </c>
      <c r="E183">
        <v>1</v>
      </c>
      <c r="F183">
        <v>1</v>
      </c>
      <c r="G183">
        <v>1</v>
      </c>
      <c r="H183">
        <v>1</v>
      </c>
      <c r="I183" t="s">
        <v>547</v>
      </c>
      <c r="J183" t="s">
        <v>3</v>
      </c>
      <c r="K183" t="s">
        <v>548</v>
      </c>
      <c r="L183">
        <v>1369</v>
      </c>
      <c r="N183">
        <v>1013</v>
      </c>
      <c r="O183" t="s">
        <v>361</v>
      </c>
      <c r="P183" t="s">
        <v>361</v>
      </c>
      <c r="Q183">
        <v>1</v>
      </c>
      <c r="X183">
        <v>35.130000000000003</v>
      </c>
      <c r="Y183">
        <v>0</v>
      </c>
      <c r="Z183">
        <v>0</v>
      </c>
      <c r="AA183">
        <v>0</v>
      </c>
      <c r="AB183">
        <v>329.2</v>
      </c>
      <c r="AC183">
        <v>0</v>
      </c>
      <c r="AD183">
        <v>1</v>
      </c>
      <c r="AE183">
        <v>1</v>
      </c>
      <c r="AF183" t="s">
        <v>3</v>
      </c>
      <c r="AG183">
        <v>35.130000000000003</v>
      </c>
      <c r="AH183">
        <v>2</v>
      </c>
      <c r="AI183">
        <v>37378920</v>
      </c>
      <c r="AJ183">
        <v>182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</row>
    <row r="184" spans="1:44">
      <c r="A184">
        <f>ROW(Source!A244)</f>
        <v>244</v>
      </c>
      <c r="B184">
        <v>37378921</v>
      </c>
      <c r="C184">
        <v>35847482</v>
      </c>
      <c r="D184">
        <v>121548</v>
      </c>
      <c r="E184">
        <v>1</v>
      </c>
      <c r="F184">
        <v>1</v>
      </c>
      <c r="G184">
        <v>1</v>
      </c>
      <c r="H184">
        <v>1</v>
      </c>
      <c r="I184" t="s">
        <v>213</v>
      </c>
      <c r="J184" t="s">
        <v>3</v>
      </c>
      <c r="K184" t="s">
        <v>362</v>
      </c>
      <c r="L184">
        <v>608254</v>
      </c>
      <c r="N184">
        <v>1013</v>
      </c>
      <c r="O184" t="s">
        <v>363</v>
      </c>
      <c r="P184" t="s">
        <v>363</v>
      </c>
      <c r="Q184">
        <v>1</v>
      </c>
      <c r="X184">
        <v>0.03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1</v>
      </c>
      <c r="AE184">
        <v>2</v>
      </c>
      <c r="AF184" t="s">
        <v>3</v>
      </c>
      <c r="AG184">
        <v>0.03</v>
      </c>
      <c r="AH184">
        <v>2</v>
      </c>
      <c r="AI184">
        <v>37378921</v>
      </c>
      <c r="AJ184">
        <v>183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</row>
    <row r="185" spans="1:44">
      <c r="A185">
        <f>ROW(Source!A244)</f>
        <v>244</v>
      </c>
      <c r="B185">
        <v>37378922</v>
      </c>
      <c r="C185">
        <v>35847482</v>
      </c>
      <c r="D185">
        <v>29172362</v>
      </c>
      <c r="E185">
        <v>1</v>
      </c>
      <c r="F185">
        <v>1</v>
      </c>
      <c r="G185">
        <v>1</v>
      </c>
      <c r="H185">
        <v>2</v>
      </c>
      <c r="I185" t="s">
        <v>549</v>
      </c>
      <c r="J185" t="s">
        <v>550</v>
      </c>
      <c r="K185" t="s">
        <v>551</v>
      </c>
      <c r="L185">
        <v>1368</v>
      </c>
      <c r="N185">
        <v>1011</v>
      </c>
      <c r="O185" t="s">
        <v>367</v>
      </c>
      <c r="P185" t="s">
        <v>367</v>
      </c>
      <c r="Q185">
        <v>1</v>
      </c>
      <c r="X185">
        <v>0.03</v>
      </c>
      <c r="Y185">
        <v>0</v>
      </c>
      <c r="Z185">
        <v>134.65</v>
      </c>
      <c r="AA185">
        <v>13.5</v>
      </c>
      <c r="AB185">
        <v>0</v>
      </c>
      <c r="AC185">
        <v>0</v>
      </c>
      <c r="AD185">
        <v>1</v>
      </c>
      <c r="AE185">
        <v>0</v>
      </c>
      <c r="AF185" t="s">
        <v>3</v>
      </c>
      <c r="AG185">
        <v>0.03</v>
      </c>
      <c r="AH185">
        <v>2</v>
      </c>
      <c r="AI185">
        <v>37378922</v>
      </c>
      <c r="AJ185">
        <v>184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</row>
    <row r="186" spans="1:44">
      <c r="A186">
        <f>ROW(Source!A244)</f>
        <v>244</v>
      </c>
      <c r="B186">
        <v>37378923</v>
      </c>
      <c r="C186">
        <v>35847482</v>
      </c>
      <c r="D186">
        <v>29174500</v>
      </c>
      <c r="E186">
        <v>1</v>
      </c>
      <c r="F186">
        <v>1</v>
      </c>
      <c r="G186">
        <v>1</v>
      </c>
      <c r="H186">
        <v>2</v>
      </c>
      <c r="I186" t="s">
        <v>552</v>
      </c>
      <c r="J186" t="s">
        <v>553</v>
      </c>
      <c r="K186" t="s">
        <v>554</v>
      </c>
      <c r="L186">
        <v>1368</v>
      </c>
      <c r="N186">
        <v>1011</v>
      </c>
      <c r="O186" t="s">
        <v>367</v>
      </c>
      <c r="P186" t="s">
        <v>367</v>
      </c>
      <c r="Q186">
        <v>1</v>
      </c>
      <c r="X186">
        <v>4.0999999999999996</v>
      </c>
      <c r="Y186">
        <v>0</v>
      </c>
      <c r="Z186">
        <v>1.95</v>
      </c>
      <c r="AA186">
        <v>0</v>
      </c>
      <c r="AB186">
        <v>0</v>
      </c>
      <c r="AC186">
        <v>0</v>
      </c>
      <c r="AD186">
        <v>1</v>
      </c>
      <c r="AE186">
        <v>0</v>
      </c>
      <c r="AF186" t="s">
        <v>3</v>
      </c>
      <c r="AG186">
        <v>4.0999999999999996</v>
      </c>
      <c r="AH186">
        <v>2</v>
      </c>
      <c r="AI186">
        <v>37378923</v>
      </c>
      <c r="AJ186">
        <v>185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</row>
    <row r="187" spans="1:44">
      <c r="A187">
        <f>ROW(Source!A244)</f>
        <v>244</v>
      </c>
      <c r="B187">
        <v>37378924</v>
      </c>
      <c r="C187">
        <v>35847482</v>
      </c>
      <c r="D187">
        <v>29174913</v>
      </c>
      <c r="E187">
        <v>1</v>
      </c>
      <c r="F187">
        <v>1</v>
      </c>
      <c r="G187">
        <v>1</v>
      </c>
      <c r="H187">
        <v>2</v>
      </c>
      <c r="I187" t="s">
        <v>381</v>
      </c>
      <c r="J187" t="s">
        <v>382</v>
      </c>
      <c r="K187" t="s">
        <v>383</v>
      </c>
      <c r="L187">
        <v>1368</v>
      </c>
      <c r="N187">
        <v>1011</v>
      </c>
      <c r="O187" t="s">
        <v>367</v>
      </c>
      <c r="P187" t="s">
        <v>367</v>
      </c>
      <c r="Q187">
        <v>1</v>
      </c>
      <c r="X187">
        <v>0.02</v>
      </c>
      <c r="Y187">
        <v>0</v>
      </c>
      <c r="Z187">
        <v>87.17</v>
      </c>
      <c r="AA187">
        <v>11.6</v>
      </c>
      <c r="AB187">
        <v>0</v>
      </c>
      <c r="AC187">
        <v>0</v>
      </c>
      <c r="AD187">
        <v>1</v>
      </c>
      <c r="AE187">
        <v>0</v>
      </c>
      <c r="AF187" t="s">
        <v>3</v>
      </c>
      <c r="AG187">
        <v>0.02</v>
      </c>
      <c r="AH187">
        <v>2</v>
      </c>
      <c r="AI187">
        <v>37378924</v>
      </c>
      <c r="AJ187">
        <v>186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</row>
    <row r="188" spans="1:44">
      <c r="A188">
        <f>ROW(Source!A244)</f>
        <v>244</v>
      </c>
      <c r="B188">
        <v>37378925</v>
      </c>
      <c r="C188">
        <v>35847482</v>
      </c>
      <c r="D188">
        <v>29114684</v>
      </c>
      <c r="E188">
        <v>1</v>
      </c>
      <c r="F188">
        <v>1</v>
      </c>
      <c r="G188">
        <v>1</v>
      </c>
      <c r="H188">
        <v>3</v>
      </c>
      <c r="I188" t="s">
        <v>555</v>
      </c>
      <c r="J188" t="s">
        <v>556</v>
      </c>
      <c r="K188" t="s">
        <v>557</v>
      </c>
      <c r="L188">
        <v>1348</v>
      </c>
      <c r="N188">
        <v>1009</v>
      </c>
      <c r="O188" t="s">
        <v>41</v>
      </c>
      <c r="P188" t="s">
        <v>41</v>
      </c>
      <c r="Q188">
        <v>1000</v>
      </c>
      <c r="X188">
        <v>1.6000000000000001E-4</v>
      </c>
      <c r="Y188">
        <v>29800</v>
      </c>
      <c r="Z188">
        <v>0</v>
      </c>
      <c r="AA188">
        <v>0</v>
      </c>
      <c r="AB188">
        <v>0</v>
      </c>
      <c r="AC188">
        <v>0</v>
      </c>
      <c r="AD188">
        <v>1</v>
      </c>
      <c r="AE188">
        <v>0</v>
      </c>
      <c r="AF188" t="s">
        <v>3</v>
      </c>
      <c r="AG188">
        <v>1.6000000000000001E-4</v>
      </c>
      <c r="AH188">
        <v>2</v>
      </c>
      <c r="AI188">
        <v>37378925</v>
      </c>
      <c r="AJ188">
        <v>187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</row>
    <row r="189" spans="1:44">
      <c r="A189">
        <f>ROW(Source!A244)</f>
        <v>244</v>
      </c>
      <c r="B189">
        <v>37378926</v>
      </c>
      <c r="C189">
        <v>35847482</v>
      </c>
      <c r="D189">
        <v>29114688</v>
      </c>
      <c r="E189">
        <v>1</v>
      </c>
      <c r="F189">
        <v>1</v>
      </c>
      <c r="G189">
        <v>1</v>
      </c>
      <c r="H189">
        <v>3</v>
      </c>
      <c r="I189" t="s">
        <v>558</v>
      </c>
      <c r="J189" t="s">
        <v>559</v>
      </c>
      <c r="K189" t="s">
        <v>560</v>
      </c>
      <c r="L189">
        <v>1348</v>
      </c>
      <c r="N189">
        <v>1009</v>
      </c>
      <c r="O189" t="s">
        <v>41</v>
      </c>
      <c r="P189" t="s">
        <v>41</v>
      </c>
      <c r="Q189">
        <v>1000</v>
      </c>
      <c r="X189">
        <v>2.9999999999999997E-4</v>
      </c>
      <c r="Y189">
        <v>12430</v>
      </c>
      <c r="Z189">
        <v>0</v>
      </c>
      <c r="AA189">
        <v>0</v>
      </c>
      <c r="AB189">
        <v>0</v>
      </c>
      <c r="AC189">
        <v>0</v>
      </c>
      <c r="AD189">
        <v>1</v>
      </c>
      <c r="AE189">
        <v>0</v>
      </c>
      <c r="AF189" t="s">
        <v>3</v>
      </c>
      <c r="AG189">
        <v>2.9999999999999997E-4</v>
      </c>
      <c r="AH189">
        <v>2</v>
      </c>
      <c r="AI189">
        <v>37378926</v>
      </c>
      <c r="AJ189">
        <v>188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</row>
    <row r="190" spans="1:44">
      <c r="A190">
        <f>ROW(Source!A244)</f>
        <v>244</v>
      </c>
      <c r="B190">
        <v>37378927</v>
      </c>
      <c r="C190">
        <v>35847482</v>
      </c>
      <c r="D190">
        <v>29114470</v>
      </c>
      <c r="E190">
        <v>1</v>
      </c>
      <c r="F190">
        <v>1</v>
      </c>
      <c r="G190">
        <v>1</v>
      </c>
      <c r="H190">
        <v>3</v>
      </c>
      <c r="I190" t="s">
        <v>561</v>
      </c>
      <c r="J190" t="s">
        <v>562</v>
      </c>
      <c r="K190" t="s">
        <v>563</v>
      </c>
      <c r="L190">
        <v>1355</v>
      </c>
      <c r="N190">
        <v>1010</v>
      </c>
      <c r="O190" t="s">
        <v>46</v>
      </c>
      <c r="P190" t="s">
        <v>46</v>
      </c>
      <c r="Q190">
        <v>100</v>
      </c>
      <c r="X190">
        <v>1.02</v>
      </c>
      <c r="Y190">
        <v>86.24</v>
      </c>
      <c r="Z190">
        <v>0</v>
      </c>
      <c r="AA190">
        <v>0</v>
      </c>
      <c r="AB190">
        <v>0</v>
      </c>
      <c r="AC190">
        <v>0</v>
      </c>
      <c r="AD190">
        <v>1</v>
      </c>
      <c r="AE190">
        <v>0</v>
      </c>
      <c r="AF190" t="s">
        <v>3</v>
      </c>
      <c r="AG190">
        <v>1.02</v>
      </c>
      <c r="AH190">
        <v>2</v>
      </c>
      <c r="AI190">
        <v>37378927</v>
      </c>
      <c r="AJ190">
        <v>189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</row>
    <row r="191" spans="1:44">
      <c r="A191">
        <f>ROW(Source!A244)</f>
        <v>244</v>
      </c>
      <c r="B191">
        <v>37378928</v>
      </c>
      <c r="C191">
        <v>35847482</v>
      </c>
      <c r="D191">
        <v>29171808</v>
      </c>
      <c r="E191">
        <v>1</v>
      </c>
      <c r="F191">
        <v>1</v>
      </c>
      <c r="G191">
        <v>1</v>
      </c>
      <c r="H191">
        <v>3</v>
      </c>
      <c r="I191" t="s">
        <v>564</v>
      </c>
      <c r="J191" t="s">
        <v>565</v>
      </c>
      <c r="K191" t="s">
        <v>566</v>
      </c>
      <c r="L191">
        <v>1374</v>
      </c>
      <c r="N191">
        <v>1013</v>
      </c>
      <c r="O191" t="s">
        <v>567</v>
      </c>
      <c r="P191" t="s">
        <v>567</v>
      </c>
      <c r="Q191">
        <v>1</v>
      </c>
      <c r="X191">
        <v>6.97</v>
      </c>
      <c r="Y191">
        <v>1</v>
      </c>
      <c r="Z191">
        <v>0</v>
      </c>
      <c r="AA191">
        <v>0</v>
      </c>
      <c r="AB191">
        <v>0</v>
      </c>
      <c r="AC191">
        <v>0</v>
      </c>
      <c r="AD191">
        <v>1</v>
      </c>
      <c r="AE191">
        <v>0</v>
      </c>
      <c r="AF191" t="s">
        <v>3</v>
      </c>
      <c r="AG191">
        <v>6.97</v>
      </c>
      <c r="AH191">
        <v>2</v>
      </c>
      <c r="AI191">
        <v>37378928</v>
      </c>
      <c r="AJ191">
        <v>191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</row>
    <row r="192" spans="1:44">
      <c r="A192">
        <f>ROW(Source!A246)</f>
        <v>246</v>
      </c>
      <c r="B192">
        <v>36150426</v>
      </c>
      <c r="C192">
        <v>35847492</v>
      </c>
      <c r="D192">
        <v>29364679</v>
      </c>
      <c r="E192">
        <v>1</v>
      </c>
      <c r="F192">
        <v>1</v>
      </c>
      <c r="G192">
        <v>1</v>
      </c>
      <c r="H192">
        <v>1</v>
      </c>
      <c r="I192" t="s">
        <v>547</v>
      </c>
      <c r="J192" t="s">
        <v>3</v>
      </c>
      <c r="K192" t="s">
        <v>548</v>
      </c>
      <c r="L192">
        <v>1369</v>
      </c>
      <c r="N192">
        <v>1013</v>
      </c>
      <c r="O192" t="s">
        <v>361</v>
      </c>
      <c r="P192" t="s">
        <v>361</v>
      </c>
      <c r="Q192">
        <v>1</v>
      </c>
      <c r="X192">
        <v>34.56</v>
      </c>
      <c r="Y192">
        <v>0</v>
      </c>
      <c r="Z192">
        <v>0</v>
      </c>
      <c r="AA192">
        <v>0</v>
      </c>
      <c r="AB192">
        <v>323.88</v>
      </c>
      <c r="AC192">
        <v>0</v>
      </c>
      <c r="AD192">
        <v>1</v>
      </c>
      <c r="AE192">
        <v>1</v>
      </c>
      <c r="AF192" t="s">
        <v>3</v>
      </c>
      <c r="AG192">
        <v>34.56</v>
      </c>
      <c r="AH192">
        <v>2</v>
      </c>
      <c r="AI192">
        <v>36150426</v>
      </c>
      <c r="AJ192">
        <v>192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</row>
    <row r="193" spans="1:44">
      <c r="A193">
        <f>ROW(Source!A246)</f>
        <v>246</v>
      </c>
      <c r="B193">
        <v>36150427</v>
      </c>
      <c r="C193">
        <v>35847492</v>
      </c>
      <c r="D193">
        <v>121548</v>
      </c>
      <c r="E193">
        <v>1</v>
      </c>
      <c r="F193">
        <v>1</v>
      </c>
      <c r="G193">
        <v>1</v>
      </c>
      <c r="H193">
        <v>1</v>
      </c>
      <c r="I193" t="s">
        <v>213</v>
      </c>
      <c r="J193" t="s">
        <v>3</v>
      </c>
      <c r="K193" t="s">
        <v>362</v>
      </c>
      <c r="L193">
        <v>608254</v>
      </c>
      <c r="N193">
        <v>1013</v>
      </c>
      <c r="O193" t="s">
        <v>363</v>
      </c>
      <c r="P193" t="s">
        <v>363</v>
      </c>
      <c r="Q193">
        <v>1</v>
      </c>
      <c r="X193">
        <v>0.03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1</v>
      </c>
      <c r="AE193">
        <v>2</v>
      </c>
      <c r="AF193" t="s">
        <v>3</v>
      </c>
      <c r="AG193">
        <v>0.03</v>
      </c>
      <c r="AH193">
        <v>2</v>
      </c>
      <c r="AI193">
        <v>36150427</v>
      </c>
      <c r="AJ193">
        <v>193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</row>
    <row r="194" spans="1:44">
      <c r="A194">
        <f>ROW(Source!A246)</f>
        <v>246</v>
      </c>
      <c r="B194">
        <v>36150428</v>
      </c>
      <c r="C194">
        <v>35847492</v>
      </c>
      <c r="D194">
        <v>29172362</v>
      </c>
      <c r="E194">
        <v>1</v>
      </c>
      <c r="F194">
        <v>1</v>
      </c>
      <c r="G194">
        <v>1</v>
      </c>
      <c r="H194">
        <v>2</v>
      </c>
      <c r="I194" t="s">
        <v>549</v>
      </c>
      <c r="J194" t="s">
        <v>568</v>
      </c>
      <c r="K194" t="s">
        <v>551</v>
      </c>
      <c r="L194">
        <v>1368</v>
      </c>
      <c r="N194">
        <v>1011</v>
      </c>
      <c r="O194" t="s">
        <v>367</v>
      </c>
      <c r="P194" t="s">
        <v>367</v>
      </c>
      <c r="Q194">
        <v>1</v>
      </c>
      <c r="X194">
        <v>0.03</v>
      </c>
      <c r="Y194">
        <v>0</v>
      </c>
      <c r="Z194">
        <v>134.65</v>
      </c>
      <c r="AA194">
        <v>13.5</v>
      </c>
      <c r="AB194">
        <v>0</v>
      </c>
      <c r="AC194">
        <v>0</v>
      </c>
      <c r="AD194">
        <v>1</v>
      </c>
      <c r="AE194">
        <v>0</v>
      </c>
      <c r="AF194" t="s">
        <v>3</v>
      </c>
      <c r="AG194">
        <v>0.03</v>
      </c>
      <c r="AH194">
        <v>2</v>
      </c>
      <c r="AI194">
        <v>36150428</v>
      </c>
      <c r="AJ194">
        <v>194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</row>
    <row r="195" spans="1:44">
      <c r="A195">
        <f>ROW(Source!A246)</f>
        <v>246</v>
      </c>
      <c r="B195">
        <v>36150429</v>
      </c>
      <c r="C195">
        <v>35847492</v>
      </c>
      <c r="D195">
        <v>29174500</v>
      </c>
      <c r="E195">
        <v>1</v>
      </c>
      <c r="F195">
        <v>1</v>
      </c>
      <c r="G195">
        <v>1</v>
      </c>
      <c r="H195">
        <v>2</v>
      </c>
      <c r="I195" t="s">
        <v>552</v>
      </c>
      <c r="J195" t="s">
        <v>569</v>
      </c>
      <c r="K195" t="s">
        <v>554</v>
      </c>
      <c r="L195">
        <v>1368</v>
      </c>
      <c r="N195">
        <v>1011</v>
      </c>
      <c r="O195" t="s">
        <v>367</v>
      </c>
      <c r="P195" t="s">
        <v>367</v>
      </c>
      <c r="Q195">
        <v>1</v>
      </c>
      <c r="X195">
        <v>4.0999999999999996</v>
      </c>
      <c r="Y195">
        <v>0</v>
      </c>
      <c r="Z195">
        <v>1.95</v>
      </c>
      <c r="AA195">
        <v>0</v>
      </c>
      <c r="AB195">
        <v>0</v>
      </c>
      <c r="AC195">
        <v>0</v>
      </c>
      <c r="AD195">
        <v>1</v>
      </c>
      <c r="AE195">
        <v>0</v>
      </c>
      <c r="AF195" t="s">
        <v>3</v>
      </c>
      <c r="AG195">
        <v>4.0999999999999996</v>
      </c>
      <c r="AH195">
        <v>2</v>
      </c>
      <c r="AI195">
        <v>36150429</v>
      </c>
      <c r="AJ195">
        <v>195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</row>
    <row r="196" spans="1:44">
      <c r="A196">
        <f>ROW(Source!A246)</f>
        <v>246</v>
      </c>
      <c r="B196">
        <v>36150430</v>
      </c>
      <c r="C196">
        <v>35847492</v>
      </c>
      <c r="D196">
        <v>29174913</v>
      </c>
      <c r="E196">
        <v>1</v>
      </c>
      <c r="F196">
        <v>1</v>
      </c>
      <c r="G196">
        <v>1</v>
      </c>
      <c r="H196">
        <v>2</v>
      </c>
      <c r="I196" t="s">
        <v>381</v>
      </c>
      <c r="J196" t="s">
        <v>480</v>
      </c>
      <c r="K196" t="s">
        <v>383</v>
      </c>
      <c r="L196">
        <v>1368</v>
      </c>
      <c r="N196">
        <v>1011</v>
      </c>
      <c r="O196" t="s">
        <v>367</v>
      </c>
      <c r="P196" t="s">
        <v>367</v>
      </c>
      <c r="Q196">
        <v>1</v>
      </c>
      <c r="X196">
        <v>0.02</v>
      </c>
      <c r="Y196">
        <v>0</v>
      </c>
      <c r="Z196">
        <v>87.17</v>
      </c>
      <c r="AA196">
        <v>11.6</v>
      </c>
      <c r="AB196">
        <v>0</v>
      </c>
      <c r="AC196">
        <v>0</v>
      </c>
      <c r="AD196">
        <v>1</v>
      </c>
      <c r="AE196">
        <v>0</v>
      </c>
      <c r="AF196" t="s">
        <v>3</v>
      </c>
      <c r="AG196">
        <v>0.02</v>
      </c>
      <c r="AH196">
        <v>2</v>
      </c>
      <c r="AI196">
        <v>36150430</v>
      </c>
      <c r="AJ196">
        <v>196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</row>
    <row r="197" spans="1:44">
      <c r="A197">
        <f>ROW(Source!A246)</f>
        <v>246</v>
      </c>
      <c r="B197">
        <v>36150431</v>
      </c>
      <c r="C197">
        <v>35847492</v>
      </c>
      <c r="D197">
        <v>29114684</v>
      </c>
      <c r="E197">
        <v>1</v>
      </c>
      <c r="F197">
        <v>1</v>
      </c>
      <c r="G197">
        <v>1</v>
      </c>
      <c r="H197">
        <v>3</v>
      </c>
      <c r="I197" t="s">
        <v>555</v>
      </c>
      <c r="J197" t="s">
        <v>570</v>
      </c>
      <c r="K197" t="s">
        <v>557</v>
      </c>
      <c r="L197">
        <v>1348</v>
      </c>
      <c r="N197">
        <v>1009</v>
      </c>
      <c r="O197" t="s">
        <v>41</v>
      </c>
      <c r="P197" t="s">
        <v>41</v>
      </c>
      <c r="Q197">
        <v>1000</v>
      </c>
      <c r="X197">
        <v>1.6000000000000001E-4</v>
      </c>
      <c r="Y197">
        <v>29800</v>
      </c>
      <c r="Z197">
        <v>0</v>
      </c>
      <c r="AA197">
        <v>0</v>
      </c>
      <c r="AB197">
        <v>0</v>
      </c>
      <c r="AC197">
        <v>0</v>
      </c>
      <c r="AD197">
        <v>1</v>
      </c>
      <c r="AE197">
        <v>0</v>
      </c>
      <c r="AF197" t="s">
        <v>3</v>
      </c>
      <c r="AG197">
        <v>1.6000000000000001E-4</v>
      </c>
      <c r="AH197">
        <v>2</v>
      </c>
      <c r="AI197">
        <v>36150431</v>
      </c>
      <c r="AJ197">
        <v>197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</row>
    <row r="198" spans="1:44">
      <c r="A198">
        <f>ROW(Source!A246)</f>
        <v>246</v>
      </c>
      <c r="B198">
        <v>36150432</v>
      </c>
      <c r="C198">
        <v>35847492</v>
      </c>
      <c r="D198">
        <v>29114688</v>
      </c>
      <c r="E198">
        <v>1</v>
      </c>
      <c r="F198">
        <v>1</v>
      </c>
      <c r="G198">
        <v>1</v>
      </c>
      <c r="H198">
        <v>3</v>
      </c>
      <c r="I198" t="s">
        <v>558</v>
      </c>
      <c r="J198" t="s">
        <v>571</v>
      </c>
      <c r="K198" t="s">
        <v>560</v>
      </c>
      <c r="L198">
        <v>1348</v>
      </c>
      <c r="N198">
        <v>1009</v>
      </c>
      <c r="O198" t="s">
        <v>41</v>
      </c>
      <c r="P198" t="s">
        <v>41</v>
      </c>
      <c r="Q198">
        <v>1000</v>
      </c>
      <c r="X198">
        <v>2.9999999999999997E-4</v>
      </c>
      <c r="Y198">
        <v>12430</v>
      </c>
      <c r="Z198">
        <v>0</v>
      </c>
      <c r="AA198">
        <v>0</v>
      </c>
      <c r="AB198">
        <v>0</v>
      </c>
      <c r="AC198">
        <v>0</v>
      </c>
      <c r="AD198">
        <v>1</v>
      </c>
      <c r="AE198">
        <v>0</v>
      </c>
      <c r="AF198" t="s">
        <v>3</v>
      </c>
      <c r="AG198">
        <v>2.9999999999999997E-4</v>
      </c>
      <c r="AH198">
        <v>2</v>
      </c>
      <c r="AI198">
        <v>36150432</v>
      </c>
      <c r="AJ198">
        <v>198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</row>
    <row r="199" spans="1:44">
      <c r="A199">
        <f>ROW(Source!A246)</f>
        <v>246</v>
      </c>
      <c r="B199">
        <v>36150433</v>
      </c>
      <c r="C199">
        <v>35847492</v>
      </c>
      <c r="D199">
        <v>29110838</v>
      </c>
      <c r="E199">
        <v>1</v>
      </c>
      <c r="F199">
        <v>1</v>
      </c>
      <c r="G199">
        <v>1</v>
      </c>
      <c r="H199">
        <v>3</v>
      </c>
      <c r="I199" t="s">
        <v>572</v>
      </c>
      <c r="J199" t="s">
        <v>573</v>
      </c>
      <c r="K199" t="s">
        <v>574</v>
      </c>
      <c r="L199">
        <v>1346</v>
      </c>
      <c r="N199">
        <v>1009</v>
      </c>
      <c r="O199" t="s">
        <v>151</v>
      </c>
      <c r="P199" t="s">
        <v>151</v>
      </c>
      <c r="Q199">
        <v>1</v>
      </c>
      <c r="X199">
        <v>0.11</v>
      </c>
      <c r="Y199">
        <v>30.5</v>
      </c>
      <c r="Z199">
        <v>0</v>
      </c>
      <c r="AA199">
        <v>0</v>
      </c>
      <c r="AB199">
        <v>0</v>
      </c>
      <c r="AC199">
        <v>0</v>
      </c>
      <c r="AD199">
        <v>1</v>
      </c>
      <c r="AE199">
        <v>0</v>
      </c>
      <c r="AF199" t="s">
        <v>3</v>
      </c>
      <c r="AG199">
        <v>0.11</v>
      </c>
      <c r="AH199">
        <v>2</v>
      </c>
      <c r="AI199">
        <v>36150433</v>
      </c>
      <c r="AJ199">
        <v>199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</row>
    <row r="200" spans="1:44">
      <c r="A200">
        <f>ROW(Source!A246)</f>
        <v>246</v>
      </c>
      <c r="B200">
        <v>36150434</v>
      </c>
      <c r="C200">
        <v>35847492</v>
      </c>
      <c r="D200">
        <v>29114470</v>
      </c>
      <c r="E200">
        <v>1</v>
      </c>
      <c r="F200">
        <v>1</v>
      </c>
      <c r="G200">
        <v>1</v>
      </c>
      <c r="H200">
        <v>3</v>
      </c>
      <c r="I200" t="s">
        <v>561</v>
      </c>
      <c r="J200" t="s">
        <v>575</v>
      </c>
      <c r="K200" t="s">
        <v>563</v>
      </c>
      <c r="L200">
        <v>1355</v>
      </c>
      <c r="N200">
        <v>1010</v>
      </c>
      <c r="O200" t="s">
        <v>46</v>
      </c>
      <c r="P200" t="s">
        <v>46</v>
      </c>
      <c r="Q200">
        <v>100</v>
      </c>
      <c r="X200">
        <v>1.02</v>
      </c>
      <c r="Y200">
        <v>86.24</v>
      </c>
      <c r="Z200">
        <v>0</v>
      </c>
      <c r="AA200">
        <v>0</v>
      </c>
      <c r="AB200">
        <v>0</v>
      </c>
      <c r="AC200">
        <v>0</v>
      </c>
      <c r="AD200">
        <v>1</v>
      </c>
      <c r="AE200">
        <v>0</v>
      </c>
      <c r="AF200" t="s">
        <v>3</v>
      </c>
      <c r="AG200">
        <v>1.02</v>
      </c>
      <c r="AH200">
        <v>2</v>
      </c>
      <c r="AI200">
        <v>36150434</v>
      </c>
      <c r="AJ200">
        <v>200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</row>
    <row r="201" spans="1:44">
      <c r="A201">
        <f>ROW(Source!A246)</f>
        <v>246</v>
      </c>
      <c r="B201">
        <v>36150435</v>
      </c>
      <c r="C201">
        <v>35847492</v>
      </c>
      <c r="D201">
        <v>29171808</v>
      </c>
      <c r="E201">
        <v>1</v>
      </c>
      <c r="F201">
        <v>1</v>
      </c>
      <c r="G201">
        <v>1</v>
      </c>
      <c r="H201">
        <v>3</v>
      </c>
      <c r="I201" t="s">
        <v>564</v>
      </c>
      <c r="J201" t="s">
        <v>565</v>
      </c>
      <c r="K201" t="s">
        <v>566</v>
      </c>
      <c r="L201">
        <v>1374</v>
      </c>
      <c r="N201">
        <v>1013</v>
      </c>
      <c r="O201" t="s">
        <v>567</v>
      </c>
      <c r="P201" t="s">
        <v>567</v>
      </c>
      <c r="Q201">
        <v>1</v>
      </c>
      <c r="X201">
        <v>6.86</v>
      </c>
      <c r="Y201">
        <v>1</v>
      </c>
      <c r="Z201">
        <v>0</v>
      </c>
      <c r="AA201">
        <v>0</v>
      </c>
      <c r="AB201">
        <v>0</v>
      </c>
      <c r="AC201">
        <v>0</v>
      </c>
      <c r="AD201">
        <v>1</v>
      </c>
      <c r="AE201">
        <v>0</v>
      </c>
      <c r="AF201" t="s">
        <v>3</v>
      </c>
      <c r="AG201">
        <v>6.86</v>
      </c>
      <c r="AH201">
        <v>2</v>
      </c>
      <c r="AI201">
        <v>36150435</v>
      </c>
      <c r="AJ201">
        <v>202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</row>
    <row r="202" spans="1:44">
      <c r="A202">
        <f>ROW(Source!A248)</f>
        <v>248</v>
      </c>
      <c r="B202">
        <v>36150409</v>
      </c>
      <c r="C202">
        <v>35847517</v>
      </c>
      <c r="D202">
        <v>18410280</v>
      </c>
      <c r="E202">
        <v>1</v>
      </c>
      <c r="F202">
        <v>1</v>
      </c>
      <c r="G202">
        <v>1</v>
      </c>
      <c r="H202">
        <v>1</v>
      </c>
      <c r="I202" t="s">
        <v>576</v>
      </c>
      <c r="J202" t="s">
        <v>3</v>
      </c>
      <c r="K202" t="s">
        <v>577</v>
      </c>
      <c r="L202">
        <v>1369</v>
      </c>
      <c r="N202">
        <v>1013</v>
      </c>
      <c r="O202" t="s">
        <v>361</v>
      </c>
      <c r="P202" t="s">
        <v>361</v>
      </c>
      <c r="Q202">
        <v>1</v>
      </c>
      <c r="X202">
        <v>16.29</v>
      </c>
      <c r="Y202">
        <v>0</v>
      </c>
      <c r="Z202">
        <v>0</v>
      </c>
      <c r="AA202">
        <v>0</v>
      </c>
      <c r="AB202">
        <v>310.5</v>
      </c>
      <c r="AC202">
        <v>0</v>
      </c>
      <c r="AD202">
        <v>1</v>
      </c>
      <c r="AE202">
        <v>1</v>
      </c>
      <c r="AF202" t="s">
        <v>3</v>
      </c>
      <c r="AG202">
        <v>16.29</v>
      </c>
      <c r="AH202">
        <v>2</v>
      </c>
      <c r="AI202">
        <v>36150409</v>
      </c>
      <c r="AJ202">
        <v>203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</row>
    <row r="203" spans="1:44">
      <c r="A203">
        <f>ROW(Source!A248)</f>
        <v>248</v>
      </c>
      <c r="B203">
        <v>36150410</v>
      </c>
      <c r="C203">
        <v>35847517</v>
      </c>
      <c r="D203">
        <v>121548</v>
      </c>
      <c r="E203">
        <v>1</v>
      </c>
      <c r="F203">
        <v>1</v>
      </c>
      <c r="G203">
        <v>1</v>
      </c>
      <c r="H203">
        <v>1</v>
      </c>
      <c r="I203" t="s">
        <v>213</v>
      </c>
      <c r="J203" t="s">
        <v>3</v>
      </c>
      <c r="K203" t="s">
        <v>362</v>
      </c>
      <c r="L203">
        <v>608254</v>
      </c>
      <c r="N203">
        <v>1013</v>
      </c>
      <c r="O203" t="s">
        <v>363</v>
      </c>
      <c r="P203" t="s">
        <v>363</v>
      </c>
      <c r="Q203">
        <v>1</v>
      </c>
      <c r="X203">
        <v>0.01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1</v>
      </c>
      <c r="AE203">
        <v>2</v>
      </c>
      <c r="AF203" t="s">
        <v>3</v>
      </c>
      <c r="AG203">
        <v>0.01</v>
      </c>
      <c r="AH203">
        <v>2</v>
      </c>
      <c r="AI203">
        <v>36150410</v>
      </c>
      <c r="AJ203">
        <v>204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</row>
    <row r="204" spans="1:44">
      <c r="A204">
        <f>ROW(Source!A248)</f>
        <v>248</v>
      </c>
      <c r="B204">
        <v>36150411</v>
      </c>
      <c r="C204">
        <v>35847517</v>
      </c>
      <c r="D204">
        <v>29172556</v>
      </c>
      <c r="E204">
        <v>1</v>
      </c>
      <c r="F204">
        <v>1</v>
      </c>
      <c r="G204">
        <v>1</v>
      </c>
      <c r="H204">
        <v>2</v>
      </c>
      <c r="I204" t="s">
        <v>364</v>
      </c>
      <c r="J204" t="s">
        <v>372</v>
      </c>
      <c r="K204" t="s">
        <v>366</v>
      </c>
      <c r="L204">
        <v>1368</v>
      </c>
      <c r="N204">
        <v>1011</v>
      </c>
      <c r="O204" t="s">
        <v>367</v>
      </c>
      <c r="P204" t="s">
        <v>367</v>
      </c>
      <c r="Q204">
        <v>1</v>
      </c>
      <c r="X204">
        <v>0.01</v>
      </c>
      <c r="Y204">
        <v>0</v>
      </c>
      <c r="Z204">
        <v>31.26</v>
      </c>
      <c r="AA204">
        <v>13.5</v>
      </c>
      <c r="AB204">
        <v>0</v>
      </c>
      <c r="AC204">
        <v>0</v>
      </c>
      <c r="AD204">
        <v>1</v>
      </c>
      <c r="AE204">
        <v>0</v>
      </c>
      <c r="AF204" t="s">
        <v>3</v>
      </c>
      <c r="AG204">
        <v>0.01</v>
      </c>
      <c r="AH204">
        <v>2</v>
      </c>
      <c r="AI204">
        <v>36150411</v>
      </c>
      <c r="AJ204">
        <v>205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</row>
    <row r="205" spans="1:44">
      <c r="A205">
        <f>ROW(Source!A248)</f>
        <v>248</v>
      </c>
      <c r="B205">
        <v>36150412</v>
      </c>
      <c r="C205">
        <v>35847517</v>
      </c>
      <c r="D205">
        <v>29173472</v>
      </c>
      <c r="E205">
        <v>1</v>
      </c>
      <c r="F205">
        <v>1</v>
      </c>
      <c r="G205">
        <v>1</v>
      </c>
      <c r="H205">
        <v>2</v>
      </c>
      <c r="I205" t="s">
        <v>396</v>
      </c>
      <c r="J205" t="s">
        <v>500</v>
      </c>
      <c r="K205" t="s">
        <v>398</v>
      </c>
      <c r="L205">
        <v>1368</v>
      </c>
      <c r="N205">
        <v>1011</v>
      </c>
      <c r="O205" t="s">
        <v>367</v>
      </c>
      <c r="P205" t="s">
        <v>367</v>
      </c>
      <c r="Q205">
        <v>1</v>
      </c>
      <c r="X205">
        <v>6.08</v>
      </c>
      <c r="Y205">
        <v>0</v>
      </c>
      <c r="Z205">
        <v>3</v>
      </c>
      <c r="AA205">
        <v>0</v>
      </c>
      <c r="AB205">
        <v>0</v>
      </c>
      <c r="AC205">
        <v>0</v>
      </c>
      <c r="AD205">
        <v>1</v>
      </c>
      <c r="AE205">
        <v>0</v>
      </c>
      <c r="AF205" t="s">
        <v>3</v>
      </c>
      <c r="AG205">
        <v>6.08</v>
      </c>
      <c r="AH205">
        <v>2</v>
      </c>
      <c r="AI205">
        <v>36150412</v>
      </c>
      <c r="AJ205">
        <v>206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</row>
    <row r="206" spans="1:44">
      <c r="A206">
        <f>ROW(Source!A248)</f>
        <v>248</v>
      </c>
      <c r="B206">
        <v>36150413</v>
      </c>
      <c r="C206">
        <v>35847517</v>
      </c>
      <c r="D206">
        <v>29174580</v>
      </c>
      <c r="E206">
        <v>1</v>
      </c>
      <c r="F206">
        <v>1</v>
      </c>
      <c r="G206">
        <v>1</v>
      </c>
      <c r="H206">
        <v>2</v>
      </c>
      <c r="I206" t="s">
        <v>402</v>
      </c>
      <c r="J206" t="s">
        <v>578</v>
      </c>
      <c r="K206" t="s">
        <v>404</v>
      </c>
      <c r="L206">
        <v>1368</v>
      </c>
      <c r="N206">
        <v>1011</v>
      </c>
      <c r="O206" t="s">
        <v>367</v>
      </c>
      <c r="P206" t="s">
        <v>367</v>
      </c>
      <c r="Q206">
        <v>1</v>
      </c>
      <c r="X206">
        <v>6.08</v>
      </c>
      <c r="Y206">
        <v>0</v>
      </c>
      <c r="Z206">
        <v>2.08</v>
      </c>
      <c r="AA206">
        <v>0</v>
      </c>
      <c r="AB206">
        <v>0</v>
      </c>
      <c r="AC206">
        <v>0</v>
      </c>
      <c r="AD206">
        <v>1</v>
      </c>
      <c r="AE206">
        <v>0</v>
      </c>
      <c r="AF206" t="s">
        <v>3</v>
      </c>
      <c r="AG206">
        <v>6.08</v>
      </c>
      <c r="AH206">
        <v>2</v>
      </c>
      <c r="AI206">
        <v>36150413</v>
      </c>
      <c r="AJ206">
        <v>207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</row>
    <row r="207" spans="1:44">
      <c r="A207">
        <f>ROW(Source!A248)</f>
        <v>248</v>
      </c>
      <c r="B207">
        <v>36150414</v>
      </c>
      <c r="C207">
        <v>35847517</v>
      </c>
      <c r="D207">
        <v>29114688</v>
      </c>
      <c r="E207">
        <v>1</v>
      </c>
      <c r="F207">
        <v>1</v>
      </c>
      <c r="G207">
        <v>1</v>
      </c>
      <c r="H207">
        <v>3</v>
      </c>
      <c r="I207" t="s">
        <v>558</v>
      </c>
      <c r="J207" t="s">
        <v>571</v>
      </c>
      <c r="K207" t="s">
        <v>560</v>
      </c>
      <c r="L207">
        <v>1348</v>
      </c>
      <c r="N207">
        <v>1009</v>
      </c>
      <c r="O207" t="s">
        <v>41</v>
      </c>
      <c r="P207" t="s">
        <v>41</v>
      </c>
      <c r="Q207">
        <v>1000</v>
      </c>
      <c r="X207">
        <v>1E-3</v>
      </c>
      <c r="Y207">
        <v>12430</v>
      </c>
      <c r="Z207">
        <v>0</v>
      </c>
      <c r="AA207">
        <v>0</v>
      </c>
      <c r="AB207">
        <v>0</v>
      </c>
      <c r="AC207">
        <v>0</v>
      </c>
      <c r="AD207">
        <v>1</v>
      </c>
      <c r="AE207">
        <v>0</v>
      </c>
      <c r="AF207" t="s">
        <v>3</v>
      </c>
      <c r="AG207">
        <v>1E-3</v>
      </c>
      <c r="AH207">
        <v>2</v>
      </c>
      <c r="AI207">
        <v>36150414</v>
      </c>
      <c r="AJ207">
        <v>208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</row>
    <row r="208" spans="1:44">
      <c r="A208">
        <f>ROW(Source!A248)</f>
        <v>248</v>
      </c>
      <c r="B208">
        <v>36150415</v>
      </c>
      <c r="C208">
        <v>35847517</v>
      </c>
      <c r="D208">
        <v>29114472</v>
      </c>
      <c r="E208">
        <v>1</v>
      </c>
      <c r="F208">
        <v>1</v>
      </c>
      <c r="G208">
        <v>1</v>
      </c>
      <c r="H208">
        <v>3</v>
      </c>
      <c r="I208" t="s">
        <v>579</v>
      </c>
      <c r="J208" t="s">
        <v>580</v>
      </c>
      <c r="K208" t="s">
        <v>581</v>
      </c>
      <c r="L208">
        <v>1358</v>
      </c>
      <c r="N208">
        <v>1010</v>
      </c>
      <c r="O208" t="s">
        <v>264</v>
      </c>
      <c r="P208" t="s">
        <v>264</v>
      </c>
      <c r="Q208">
        <v>10</v>
      </c>
      <c r="X208">
        <v>20</v>
      </c>
      <c r="Y208">
        <v>1.79</v>
      </c>
      <c r="Z208">
        <v>0</v>
      </c>
      <c r="AA208">
        <v>0</v>
      </c>
      <c r="AB208">
        <v>0</v>
      </c>
      <c r="AC208">
        <v>0</v>
      </c>
      <c r="AD208">
        <v>1</v>
      </c>
      <c r="AE208">
        <v>0</v>
      </c>
      <c r="AF208" t="s">
        <v>3</v>
      </c>
      <c r="AG208">
        <v>20</v>
      </c>
      <c r="AH208">
        <v>2</v>
      </c>
      <c r="AI208">
        <v>36150415</v>
      </c>
      <c r="AJ208">
        <v>209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</row>
    <row r="209" spans="1:44">
      <c r="A209">
        <f>ROW(Source!A248)</f>
        <v>248</v>
      </c>
      <c r="B209">
        <v>36150416</v>
      </c>
      <c r="C209">
        <v>35847517</v>
      </c>
      <c r="D209">
        <v>29171808</v>
      </c>
      <c r="E209">
        <v>1</v>
      </c>
      <c r="F209">
        <v>1</v>
      </c>
      <c r="G209">
        <v>1</v>
      </c>
      <c r="H209">
        <v>3</v>
      </c>
      <c r="I209" t="s">
        <v>564</v>
      </c>
      <c r="J209" t="s">
        <v>565</v>
      </c>
      <c r="K209" t="s">
        <v>566</v>
      </c>
      <c r="L209">
        <v>1374</v>
      </c>
      <c r="N209">
        <v>1013</v>
      </c>
      <c r="O209" t="s">
        <v>567</v>
      </c>
      <c r="P209" t="s">
        <v>567</v>
      </c>
      <c r="Q209">
        <v>1</v>
      </c>
      <c r="X209">
        <v>3.1</v>
      </c>
      <c r="Y209">
        <v>1</v>
      </c>
      <c r="Z209">
        <v>0</v>
      </c>
      <c r="AA209">
        <v>0</v>
      </c>
      <c r="AB209">
        <v>0</v>
      </c>
      <c r="AC209">
        <v>0</v>
      </c>
      <c r="AD209">
        <v>1</v>
      </c>
      <c r="AE209">
        <v>0</v>
      </c>
      <c r="AF209" t="s">
        <v>3</v>
      </c>
      <c r="AG209">
        <v>3.1</v>
      </c>
      <c r="AH209">
        <v>2</v>
      </c>
      <c r="AI209">
        <v>36150416</v>
      </c>
      <c r="AJ209">
        <v>211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</row>
    <row r="210" spans="1:44">
      <c r="A210">
        <f>ROW(Source!A250)</f>
        <v>250</v>
      </c>
      <c r="B210">
        <v>36517866</v>
      </c>
      <c r="C210">
        <v>35847526</v>
      </c>
      <c r="D210">
        <v>29361034</v>
      </c>
      <c r="E210">
        <v>1</v>
      </c>
      <c r="F210">
        <v>1</v>
      </c>
      <c r="G210">
        <v>1</v>
      </c>
      <c r="H210">
        <v>1</v>
      </c>
      <c r="I210" t="s">
        <v>582</v>
      </c>
      <c r="J210" t="s">
        <v>3</v>
      </c>
      <c r="K210" t="s">
        <v>583</v>
      </c>
      <c r="L210">
        <v>1369</v>
      </c>
      <c r="N210">
        <v>1013</v>
      </c>
      <c r="O210" t="s">
        <v>361</v>
      </c>
      <c r="P210" t="s">
        <v>361</v>
      </c>
      <c r="Q210">
        <v>1</v>
      </c>
      <c r="X210">
        <v>2.82</v>
      </c>
      <c r="Y210">
        <v>0</v>
      </c>
      <c r="Z210">
        <v>0</v>
      </c>
      <c r="AA210">
        <v>0</v>
      </c>
      <c r="AB210">
        <v>311.94</v>
      </c>
      <c r="AC210">
        <v>0</v>
      </c>
      <c r="AD210">
        <v>1</v>
      </c>
      <c r="AE210">
        <v>1</v>
      </c>
      <c r="AF210" t="s">
        <v>3</v>
      </c>
      <c r="AG210">
        <v>2.82</v>
      </c>
      <c r="AH210">
        <v>2</v>
      </c>
      <c r="AI210">
        <v>36517866</v>
      </c>
      <c r="AJ210">
        <v>212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</row>
    <row r="211" spans="1:44">
      <c r="A211">
        <f>ROW(Source!A250)</f>
        <v>250</v>
      </c>
      <c r="B211">
        <v>36517867</v>
      </c>
      <c r="C211">
        <v>35847526</v>
      </c>
      <c r="D211">
        <v>121548</v>
      </c>
      <c r="E211">
        <v>1</v>
      </c>
      <c r="F211">
        <v>1</v>
      </c>
      <c r="G211">
        <v>1</v>
      </c>
      <c r="H211">
        <v>1</v>
      </c>
      <c r="I211" t="s">
        <v>213</v>
      </c>
      <c r="J211" t="s">
        <v>3</v>
      </c>
      <c r="K211" t="s">
        <v>362</v>
      </c>
      <c r="L211">
        <v>608254</v>
      </c>
      <c r="N211">
        <v>1013</v>
      </c>
      <c r="O211" t="s">
        <v>363</v>
      </c>
      <c r="P211" t="s">
        <v>363</v>
      </c>
      <c r="Q211">
        <v>1</v>
      </c>
      <c r="X211">
        <v>0.01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1</v>
      </c>
      <c r="AE211">
        <v>2</v>
      </c>
      <c r="AF211" t="s">
        <v>3</v>
      </c>
      <c r="AG211">
        <v>0.01</v>
      </c>
      <c r="AH211">
        <v>2</v>
      </c>
      <c r="AI211">
        <v>36517867</v>
      </c>
      <c r="AJ211">
        <v>213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</row>
    <row r="212" spans="1:44">
      <c r="A212">
        <f>ROW(Source!A250)</f>
        <v>250</v>
      </c>
      <c r="B212">
        <v>36517868</v>
      </c>
      <c r="C212">
        <v>35847526</v>
      </c>
      <c r="D212">
        <v>29172362</v>
      </c>
      <c r="E212">
        <v>1</v>
      </c>
      <c r="F212">
        <v>1</v>
      </c>
      <c r="G212">
        <v>1</v>
      </c>
      <c r="H212">
        <v>2</v>
      </c>
      <c r="I212" t="s">
        <v>549</v>
      </c>
      <c r="J212" t="s">
        <v>550</v>
      </c>
      <c r="K212" t="s">
        <v>551</v>
      </c>
      <c r="L212">
        <v>1368</v>
      </c>
      <c r="N212">
        <v>1011</v>
      </c>
      <c r="O212" t="s">
        <v>367</v>
      </c>
      <c r="P212" t="s">
        <v>367</v>
      </c>
      <c r="Q212">
        <v>1</v>
      </c>
      <c r="X212">
        <v>0.01</v>
      </c>
      <c r="Y212">
        <v>0</v>
      </c>
      <c r="Z212">
        <v>134.65</v>
      </c>
      <c r="AA212">
        <v>13.5</v>
      </c>
      <c r="AB212">
        <v>0</v>
      </c>
      <c r="AC212">
        <v>0</v>
      </c>
      <c r="AD212">
        <v>1</v>
      </c>
      <c r="AE212">
        <v>0</v>
      </c>
      <c r="AF212" t="s">
        <v>3</v>
      </c>
      <c r="AG212">
        <v>0.01</v>
      </c>
      <c r="AH212">
        <v>2</v>
      </c>
      <c r="AI212">
        <v>36517868</v>
      </c>
      <c r="AJ212">
        <v>214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</row>
    <row r="213" spans="1:44">
      <c r="A213">
        <f>ROW(Source!A250)</f>
        <v>250</v>
      </c>
      <c r="B213">
        <v>36517869</v>
      </c>
      <c r="C213">
        <v>35847526</v>
      </c>
      <c r="D213">
        <v>29174913</v>
      </c>
      <c r="E213">
        <v>1</v>
      </c>
      <c r="F213">
        <v>1</v>
      </c>
      <c r="G213">
        <v>1</v>
      </c>
      <c r="H213">
        <v>2</v>
      </c>
      <c r="I213" t="s">
        <v>381</v>
      </c>
      <c r="J213" t="s">
        <v>382</v>
      </c>
      <c r="K213" t="s">
        <v>383</v>
      </c>
      <c r="L213">
        <v>1368</v>
      </c>
      <c r="N213">
        <v>1011</v>
      </c>
      <c r="O213" t="s">
        <v>367</v>
      </c>
      <c r="P213" t="s">
        <v>367</v>
      </c>
      <c r="Q213">
        <v>1</v>
      </c>
      <c r="X213">
        <v>0.01</v>
      </c>
      <c r="Y213">
        <v>0</v>
      </c>
      <c r="Z213">
        <v>87.17</v>
      </c>
      <c r="AA213">
        <v>11.6</v>
      </c>
      <c r="AB213">
        <v>0</v>
      </c>
      <c r="AC213">
        <v>0</v>
      </c>
      <c r="AD213">
        <v>1</v>
      </c>
      <c r="AE213">
        <v>0</v>
      </c>
      <c r="AF213" t="s">
        <v>3</v>
      </c>
      <c r="AG213">
        <v>0.01</v>
      </c>
      <c r="AH213">
        <v>2</v>
      </c>
      <c r="AI213">
        <v>36517869</v>
      </c>
      <c r="AJ213">
        <v>215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</row>
    <row r="214" spans="1:44">
      <c r="A214">
        <f>ROW(Source!A250)</f>
        <v>250</v>
      </c>
      <c r="B214">
        <v>36517870</v>
      </c>
      <c r="C214">
        <v>35847526</v>
      </c>
      <c r="D214">
        <v>29110426</v>
      </c>
      <c r="E214">
        <v>1</v>
      </c>
      <c r="F214">
        <v>1</v>
      </c>
      <c r="G214">
        <v>1</v>
      </c>
      <c r="H214">
        <v>3</v>
      </c>
      <c r="I214" t="s">
        <v>584</v>
      </c>
      <c r="J214" t="s">
        <v>585</v>
      </c>
      <c r="K214" t="s">
        <v>586</v>
      </c>
      <c r="L214">
        <v>1346</v>
      </c>
      <c r="N214">
        <v>1009</v>
      </c>
      <c r="O214" t="s">
        <v>151</v>
      </c>
      <c r="P214" t="s">
        <v>151</v>
      </c>
      <c r="Q214">
        <v>1</v>
      </c>
      <c r="X214">
        <v>0.05</v>
      </c>
      <c r="Y214">
        <v>28.67</v>
      </c>
      <c r="Z214">
        <v>0</v>
      </c>
      <c r="AA214">
        <v>0</v>
      </c>
      <c r="AB214">
        <v>0</v>
      </c>
      <c r="AC214">
        <v>0</v>
      </c>
      <c r="AD214">
        <v>1</v>
      </c>
      <c r="AE214">
        <v>0</v>
      </c>
      <c r="AF214" t="s">
        <v>3</v>
      </c>
      <c r="AG214">
        <v>0.05</v>
      </c>
      <c r="AH214">
        <v>2</v>
      </c>
      <c r="AI214">
        <v>36517870</v>
      </c>
      <c r="AJ214">
        <v>216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</row>
    <row r="215" spans="1:44">
      <c r="A215">
        <f>ROW(Source!A250)</f>
        <v>250</v>
      </c>
      <c r="B215">
        <v>36517871</v>
      </c>
      <c r="C215">
        <v>35847526</v>
      </c>
      <c r="D215">
        <v>29110793</v>
      </c>
      <c r="E215">
        <v>1</v>
      </c>
      <c r="F215">
        <v>1</v>
      </c>
      <c r="G215">
        <v>1</v>
      </c>
      <c r="H215">
        <v>3</v>
      </c>
      <c r="I215" t="s">
        <v>587</v>
      </c>
      <c r="J215" t="s">
        <v>588</v>
      </c>
      <c r="K215" t="s">
        <v>589</v>
      </c>
      <c r="L215">
        <v>1308</v>
      </c>
      <c r="N215">
        <v>1003</v>
      </c>
      <c r="O215" t="s">
        <v>242</v>
      </c>
      <c r="P215" t="s">
        <v>242</v>
      </c>
      <c r="Q215">
        <v>100</v>
      </c>
      <c r="X215">
        <v>0.05</v>
      </c>
      <c r="Y215">
        <v>120.36</v>
      </c>
      <c r="Z215">
        <v>0</v>
      </c>
      <c r="AA215">
        <v>0</v>
      </c>
      <c r="AB215">
        <v>0</v>
      </c>
      <c r="AC215">
        <v>0</v>
      </c>
      <c r="AD215">
        <v>1</v>
      </c>
      <c r="AE215">
        <v>0</v>
      </c>
      <c r="AF215" t="s">
        <v>3</v>
      </c>
      <c r="AG215">
        <v>0.05</v>
      </c>
      <c r="AH215">
        <v>2</v>
      </c>
      <c r="AI215">
        <v>36517871</v>
      </c>
      <c r="AJ215">
        <v>217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</row>
    <row r="216" spans="1:44">
      <c r="A216">
        <f>ROW(Source!A250)</f>
        <v>250</v>
      </c>
      <c r="B216">
        <v>36517872</v>
      </c>
      <c r="C216">
        <v>35847526</v>
      </c>
      <c r="D216">
        <v>29110838</v>
      </c>
      <c r="E216">
        <v>1</v>
      </c>
      <c r="F216">
        <v>1</v>
      </c>
      <c r="G216">
        <v>1</v>
      </c>
      <c r="H216">
        <v>3</v>
      </c>
      <c r="I216" t="s">
        <v>572</v>
      </c>
      <c r="J216" t="s">
        <v>590</v>
      </c>
      <c r="K216" t="s">
        <v>574</v>
      </c>
      <c r="L216">
        <v>1346</v>
      </c>
      <c r="N216">
        <v>1009</v>
      </c>
      <c r="O216" t="s">
        <v>151</v>
      </c>
      <c r="P216" t="s">
        <v>151</v>
      </c>
      <c r="Q216">
        <v>1</v>
      </c>
      <c r="X216">
        <v>0.16</v>
      </c>
      <c r="Y216">
        <v>30.5</v>
      </c>
      <c r="Z216">
        <v>0</v>
      </c>
      <c r="AA216">
        <v>0</v>
      </c>
      <c r="AB216">
        <v>0</v>
      </c>
      <c r="AC216">
        <v>0</v>
      </c>
      <c r="AD216">
        <v>1</v>
      </c>
      <c r="AE216">
        <v>0</v>
      </c>
      <c r="AF216" t="s">
        <v>3</v>
      </c>
      <c r="AG216">
        <v>0.16</v>
      </c>
      <c r="AH216">
        <v>2</v>
      </c>
      <c r="AI216">
        <v>36517872</v>
      </c>
      <c r="AJ216">
        <v>218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</row>
    <row r="217" spans="1:44">
      <c r="A217">
        <f>ROW(Source!A250)</f>
        <v>250</v>
      </c>
      <c r="B217">
        <v>36517873</v>
      </c>
      <c r="C217">
        <v>35847526</v>
      </c>
      <c r="D217">
        <v>29171808</v>
      </c>
      <c r="E217">
        <v>1</v>
      </c>
      <c r="F217">
        <v>1</v>
      </c>
      <c r="G217">
        <v>1</v>
      </c>
      <c r="H217">
        <v>3</v>
      </c>
      <c r="I217" t="s">
        <v>564</v>
      </c>
      <c r="J217" t="s">
        <v>565</v>
      </c>
      <c r="K217" t="s">
        <v>566</v>
      </c>
      <c r="L217">
        <v>1374</v>
      </c>
      <c r="N217">
        <v>1013</v>
      </c>
      <c r="O217" t="s">
        <v>567</v>
      </c>
      <c r="P217" t="s">
        <v>567</v>
      </c>
      <c r="Q217">
        <v>1</v>
      </c>
      <c r="X217">
        <v>0.53</v>
      </c>
      <c r="Y217">
        <v>1</v>
      </c>
      <c r="Z217">
        <v>0</v>
      </c>
      <c r="AA217">
        <v>0</v>
      </c>
      <c r="AB217">
        <v>0</v>
      </c>
      <c r="AC217">
        <v>0</v>
      </c>
      <c r="AD217">
        <v>1</v>
      </c>
      <c r="AE217">
        <v>0</v>
      </c>
      <c r="AF217" t="s">
        <v>3</v>
      </c>
      <c r="AG217">
        <v>0.53</v>
      </c>
      <c r="AH217">
        <v>2</v>
      </c>
      <c r="AI217">
        <v>36517873</v>
      </c>
      <c r="AJ217">
        <v>220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Смета 12 гр. ТЕР МО</vt:lpstr>
      <vt:lpstr>Дефектная ведомость</vt:lpstr>
      <vt:lpstr>Source</vt:lpstr>
      <vt:lpstr>SourceObSm</vt:lpstr>
      <vt:lpstr>SmtRes</vt:lpstr>
      <vt:lpstr>EtalonRes</vt:lpstr>
      <vt:lpstr>'Дефектная ведомость'!Заголовки_для_печати</vt:lpstr>
      <vt:lpstr>'Смета 12 гр. ТЕР МО'!Заголовки_для_печати</vt:lpstr>
      <vt:lpstr>'Дефектная ведомость'!Область_печати</vt:lpstr>
      <vt:lpstr>'Смета 12 гр. ТЕР МО'!Область_печати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Олеся</cp:lastModifiedBy>
  <dcterms:created xsi:type="dcterms:W3CDTF">2021-08-31T06:18:06Z</dcterms:created>
  <dcterms:modified xsi:type="dcterms:W3CDTF">2021-08-31T06:36:26Z</dcterms:modified>
</cp:coreProperties>
</file>