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Смета 12 гр. ТЕР МО" sheetId="5" r:id="rId1"/>
    <sheet name="RV_DATA" sheetId="7" state="hidden" r:id="rId2"/>
    <sheet name="Расчет стоимости ресурсов" sheetId="6" r:id="rId3"/>
    <sheet name="Дефектная ведомость" sheetId="8" r:id="rId4"/>
    <sheet name="Source" sheetId="1" r:id="rId5"/>
    <sheet name="SourceObSm" sheetId="2" r:id="rId6"/>
    <sheet name="SmtRes" sheetId="3" r:id="rId7"/>
    <sheet name="EtalonRes" sheetId="4" r:id="rId8"/>
  </sheets>
  <definedNames>
    <definedName name="_xlnm.Print_Titles" localSheetId="3">'Дефектная ведомость'!$18:$18</definedName>
    <definedName name="_xlnm.Print_Titles" localSheetId="2">'Расчет стоимости ресурсов'!$4:$7</definedName>
    <definedName name="_xlnm.Print_Titles" localSheetId="0">'Смета 12 гр. ТЕР МО'!$32:$32</definedName>
    <definedName name="_xlnm.Print_Area" localSheetId="3">'Дефектная ведомость'!$A$1:$E$35</definedName>
    <definedName name="_xlnm.Print_Area" localSheetId="2">'Расчет стоимости ресурсов'!$A$1:$F$74</definedName>
    <definedName name="_xlnm.Print_Area" localSheetId="0">'Смета 12 гр. ТЕР МО'!$A$1:$L$157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8" l="1"/>
  <c r="K144" i="5" l="1"/>
  <c r="K143" i="5"/>
  <c r="K142" i="5"/>
  <c r="D30" i="8" l="1"/>
  <c r="C30" i="8"/>
  <c r="B30" i="8"/>
  <c r="A30" i="8"/>
  <c r="D29" i="8"/>
  <c r="C29" i="8"/>
  <c r="B29" i="8"/>
  <c r="A29" i="8"/>
  <c r="D28" i="8"/>
  <c r="C28" i="8"/>
  <c r="B28" i="8"/>
  <c r="A28" i="8"/>
  <c r="D27" i="8"/>
  <c r="C27" i="8"/>
  <c r="B27" i="8"/>
  <c r="A27" i="8"/>
  <c r="D26" i="8"/>
  <c r="C26" i="8"/>
  <c r="B26" i="8"/>
  <c r="A26" i="8"/>
  <c r="D25" i="8"/>
  <c r="C25" i="8"/>
  <c r="B25" i="8"/>
  <c r="A25" i="8"/>
  <c r="D24" i="8"/>
  <c r="C24" i="8"/>
  <c r="B24" i="8"/>
  <c r="A24" i="8"/>
  <c r="D23" i="8"/>
  <c r="C23" i="8"/>
  <c r="B23" i="8"/>
  <c r="A23" i="8"/>
  <c r="D22" i="8"/>
  <c r="C22" i="8"/>
  <c r="B22" i="8"/>
  <c r="A22" i="8"/>
  <c r="D21" i="8"/>
  <c r="C21" i="8"/>
  <c r="B21" i="8"/>
  <c r="A21" i="8"/>
  <c r="D20" i="8"/>
  <c r="C20" i="8"/>
  <c r="B20" i="8"/>
  <c r="A20" i="8"/>
  <c r="A19" i="8"/>
  <c r="A11" i="8"/>
  <c r="A1" i="8"/>
  <c r="D44" i="6"/>
  <c r="D40" i="6"/>
  <c r="E54" i="6"/>
  <c r="E25" i="6"/>
  <c r="D31" i="6"/>
  <c r="E22" i="6"/>
  <c r="D27" i="6"/>
  <c r="E32" i="6"/>
  <c r="F12" i="6"/>
  <c r="D10" i="6"/>
  <c r="E15" i="6"/>
  <c r="A8" i="6"/>
  <c r="A3" i="6"/>
  <c r="U94" i="7"/>
  <c r="T94" i="7"/>
  <c r="R94" i="7"/>
  <c r="Q94" i="7"/>
  <c r="S94" i="7"/>
  <c r="P94" i="7"/>
  <c r="O94" i="7"/>
  <c r="M94" i="7"/>
  <c r="L94" i="7"/>
  <c r="N94" i="7"/>
  <c r="K94" i="7"/>
  <c r="J94" i="7"/>
  <c r="I94" i="7"/>
  <c r="H94" i="7"/>
  <c r="G94" i="7"/>
  <c r="F94" i="7"/>
  <c r="E94" i="7"/>
  <c r="U93" i="7"/>
  <c r="T93" i="7"/>
  <c r="R93" i="7"/>
  <c r="Q93" i="7"/>
  <c r="S93" i="7"/>
  <c r="P93" i="7"/>
  <c r="L93" i="7"/>
  <c r="N93" i="7"/>
  <c r="K93" i="7"/>
  <c r="J93" i="7"/>
  <c r="I93" i="7"/>
  <c r="H93" i="7"/>
  <c r="G93" i="7"/>
  <c r="F93" i="7"/>
  <c r="E93" i="7"/>
  <c r="U92" i="7"/>
  <c r="Q92" i="7"/>
  <c r="S92" i="7"/>
  <c r="P92" i="7"/>
  <c r="L92" i="7"/>
  <c r="O92" i="7" s="1"/>
  <c r="N92" i="7"/>
  <c r="K92" i="7"/>
  <c r="E29" i="6" s="1"/>
  <c r="J92" i="7"/>
  <c r="I92" i="7"/>
  <c r="D29" i="6" s="1"/>
  <c r="H92" i="7"/>
  <c r="G92" i="7"/>
  <c r="F92" i="7"/>
  <c r="E92" i="7"/>
  <c r="U91" i="7"/>
  <c r="R91" i="7"/>
  <c r="Q91" i="7"/>
  <c r="T91" i="7" s="1"/>
  <c r="S91" i="7"/>
  <c r="P91" i="7"/>
  <c r="O91" i="7"/>
  <c r="M91" i="7"/>
  <c r="L91" i="7"/>
  <c r="N91" i="7"/>
  <c r="K91" i="7"/>
  <c r="J91" i="7"/>
  <c r="I91" i="7"/>
  <c r="H91" i="7"/>
  <c r="G91" i="7"/>
  <c r="F91" i="7"/>
  <c r="E91" i="7"/>
  <c r="U90" i="7"/>
  <c r="T90" i="7"/>
  <c r="R90" i="7"/>
  <c r="Q90" i="7"/>
  <c r="S90" i="7"/>
  <c r="P90" i="7"/>
  <c r="O90" i="7"/>
  <c r="M90" i="7"/>
  <c r="L90" i="7"/>
  <c r="N90" i="7"/>
  <c r="K90" i="7"/>
  <c r="J90" i="7"/>
  <c r="I90" i="7"/>
  <c r="H90" i="7"/>
  <c r="G90" i="7"/>
  <c r="F90" i="7"/>
  <c r="E90" i="7"/>
  <c r="U89" i="7"/>
  <c r="T89" i="7"/>
  <c r="R89" i="7"/>
  <c r="Q89" i="7"/>
  <c r="S89" i="7"/>
  <c r="P89" i="7"/>
  <c r="L89" i="7"/>
  <c r="N89" i="7"/>
  <c r="K89" i="7"/>
  <c r="E11" i="6" s="1"/>
  <c r="J89" i="7"/>
  <c r="I89" i="7"/>
  <c r="D11" i="6" s="1"/>
  <c r="H89" i="7"/>
  <c r="G89" i="7"/>
  <c r="F89" i="7"/>
  <c r="E89" i="7"/>
  <c r="U88" i="7"/>
  <c r="Q88" i="7"/>
  <c r="S88" i="7"/>
  <c r="P88" i="7"/>
  <c r="M88" i="7"/>
  <c r="F25" i="6" s="1"/>
  <c r="L88" i="7"/>
  <c r="O88" i="7" s="1"/>
  <c r="N88" i="7"/>
  <c r="K88" i="7"/>
  <c r="J88" i="7"/>
  <c r="I88" i="7"/>
  <c r="D25" i="6" s="1"/>
  <c r="H88" i="7"/>
  <c r="G88" i="7"/>
  <c r="F88" i="7"/>
  <c r="E88" i="7"/>
  <c r="U87" i="7"/>
  <c r="Q87" i="7"/>
  <c r="S87" i="7"/>
  <c r="P87" i="7"/>
  <c r="O87" i="7"/>
  <c r="M87" i="7"/>
  <c r="F31" i="6" s="1"/>
  <c r="L87" i="7"/>
  <c r="N87" i="7"/>
  <c r="K87" i="7"/>
  <c r="E31" i="6" s="1"/>
  <c r="J87" i="7"/>
  <c r="I87" i="7"/>
  <c r="H87" i="7"/>
  <c r="G87" i="7"/>
  <c r="F87" i="7"/>
  <c r="E87" i="7"/>
  <c r="U86" i="7"/>
  <c r="T86" i="7"/>
  <c r="R86" i="7"/>
  <c r="Q86" i="7"/>
  <c r="S86" i="7"/>
  <c r="P86" i="7"/>
  <c r="O86" i="7"/>
  <c r="M86" i="7"/>
  <c r="F33" i="6" s="1"/>
  <c r="L86" i="7"/>
  <c r="N86" i="7"/>
  <c r="K86" i="7"/>
  <c r="E33" i="6" s="1"/>
  <c r="J86" i="7"/>
  <c r="I86" i="7"/>
  <c r="D33" i="6" s="1"/>
  <c r="H86" i="7"/>
  <c r="G86" i="7"/>
  <c r="F86" i="7"/>
  <c r="E86" i="7"/>
  <c r="U85" i="7"/>
  <c r="T85" i="7"/>
  <c r="R85" i="7"/>
  <c r="Q85" i="7"/>
  <c r="S85" i="7"/>
  <c r="P85" i="7"/>
  <c r="L85" i="7"/>
  <c r="N85" i="7"/>
  <c r="K85" i="7"/>
  <c r="E46" i="6" s="1"/>
  <c r="J85" i="7"/>
  <c r="I85" i="7"/>
  <c r="D46" i="6" s="1"/>
  <c r="H85" i="7"/>
  <c r="G85" i="7"/>
  <c r="F85" i="7"/>
  <c r="E85" i="7"/>
  <c r="U84" i="7"/>
  <c r="Q84" i="7"/>
  <c r="S84" i="7"/>
  <c r="P84" i="7"/>
  <c r="L84" i="7"/>
  <c r="O84" i="7" s="1"/>
  <c r="N84" i="7"/>
  <c r="K84" i="7"/>
  <c r="E56" i="6" s="1"/>
  <c r="J84" i="7"/>
  <c r="I84" i="7"/>
  <c r="D56" i="6" s="1"/>
  <c r="H84" i="7"/>
  <c r="G84" i="7"/>
  <c r="F84" i="7"/>
  <c r="E84" i="7"/>
  <c r="U83" i="7"/>
  <c r="R83" i="7"/>
  <c r="Q83" i="7"/>
  <c r="T83" i="7" s="1"/>
  <c r="S83" i="7"/>
  <c r="P83" i="7"/>
  <c r="O83" i="7"/>
  <c r="M83" i="7"/>
  <c r="L83" i="7"/>
  <c r="N83" i="7"/>
  <c r="K83" i="7"/>
  <c r="J83" i="7"/>
  <c r="I83" i="7"/>
  <c r="H83" i="7"/>
  <c r="G83" i="7"/>
  <c r="F83" i="7"/>
  <c r="E83" i="7"/>
  <c r="U82" i="7"/>
  <c r="T82" i="7"/>
  <c r="R82" i="7"/>
  <c r="Q82" i="7"/>
  <c r="S82" i="7"/>
  <c r="P82" i="7"/>
  <c r="O82" i="7"/>
  <c r="M82" i="7"/>
  <c r="L82" i="7"/>
  <c r="N82" i="7"/>
  <c r="K82" i="7"/>
  <c r="E12" i="6" s="1"/>
  <c r="J82" i="7"/>
  <c r="I82" i="7"/>
  <c r="D12" i="6" s="1"/>
  <c r="H82" i="7"/>
  <c r="G82" i="7"/>
  <c r="F82" i="7"/>
  <c r="E82" i="7"/>
  <c r="U81" i="7"/>
  <c r="T81" i="7"/>
  <c r="R81" i="7"/>
  <c r="Q81" i="7"/>
  <c r="S81" i="7"/>
  <c r="P81" i="7"/>
  <c r="L81" i="7"/>
  <c r="N81" i="7"/>
  <c r="K81" i="7"/>
  <c r="E20" i="6" s="1"/>
  <c r="J81" i="7"/>
  <c r="I81" i="7"/>
  <c r="D20" i="6" s="1"/>
  <c r="H81" i="7"/>
  <c r="G81" i="7"/>
  <c r="F81" i="7"/>
  <c r="E81" i="7"/>
  <c r="U80" i="7"/>
  <c r="Q80" i="7"/>
  <c r="S80" i="7"/>
  <c r="P80" i="7"/>
  <c r="M80" i="7"/>
  <c r="F22" i="6" s="1"/>
  <c r="L80" i="7"/>
  <c r="O80" i="7" s="1"/>
  <c r="N80" i="7"/>
  <c r="K80" i="7"/>
  <c r="J80" i="7"/>
  <c r="I80" i="7"/>
  <c r="D22" i="6" s="1"/>
  <c r="H80" i="7"/>
  <c r="G80" i="7"/>
  <c r="F80" i="7"/>
  <c r="E80" i="7"/>
  <c r="U79" i="7"/>
  <c r="Q79" i="7"/>
  <c r="S79" i="7"/>
  <c r="P79" i="7"/>
  <c r="O79" i="7"/>
  <c r="M79" i="7"/>
  <c r="F27" i="6" s="1"/>
  <c r="L79" i="7"/>
  <c r="N79" i="7"/>
  <c r="K79" i="7"/>
  <c r="E27" i="6" s="1"/>
  <c r="J79" i="7"/>
  <c r="I79" i="7"/>
  <c r="H79" i="7"/>
  <c r="G79" i="7"/>
  <c r="F79" i="7"/>
  <c r="E79" i="7"/>
  <c r="U78" i="7"/>
  <c r="T78" i="7"/>
  <c r="R78" i="7"/>
  <c r="Q78" i="7"/>
  <c r="S78" i="7"/>
  <c r="P78" i="7"/>
  <c r="O78" i="7"/>
  <c r="M78" i="7"/>
  <c r="L78" i="7"/>
  <c r="N78" i="7"/>
  <c r="K78" i="7"/>
  <c r="J78" i="7"/>
  <c r="I78" i="7"/>
  <c r="H78" i="7"/>
  <c r="G78" i="7"/>
  <c r="F78" i="7"/>
  <c r="E78" i="7"/>
  <c r="U77" i="7"/>
  <c r="T77" i="7"/>
  <c r="R77" i="7"/>
  <c r="Q77" i="7"/>
  <c r="S77" i="7"/>
  <c r="P77" i="7"/>
  <c r="L77" i="7"/>
  <c r="N77" i="7"/>
  <c r="K77" i="7"/>
  <c r="E38" i="6" s="1"/>
  <c r="J77" i="7"/>
  <c r="I77" i="7"/>
  <c r="D38" i="6" s="1"/>
  <c r="H77" i="7"/>
  <c r="G77" i="7"/>
  <c r="F77" i="7"/>
  <c r="E77" i="7"/>
  <c r="U76" i="7"/>
  <c r="Q76" i="7"/>
  <c r="S76" i="7"/>
  <c r="P76" i="7"/>
  <c r="L76" i="7"/>
  <c r="O76" i="7" s="1"/>
  <c r="N76" i="7"/>
  <c r="K76" i="7"/>
  <c r="J76" i="7"/>
  <c r="I76" i="7"/>
  <c r="H76" i="7"/>
  <c r="G76" i="7"/>
  <c r="F76" i="7"/>
  <c r="E76" i="7"/>
  <c r="U75" i="7"/>
  <c r="R75" i="7"/>
  <c r="Q75" i="7"/>
  <c r="T75" i="7" s="1"/>
  <c r="S75" i="7"/>
  <c r="P75" i="7"/>
  <c r="O75" i="7"/>
  <c r="M75" i="7"/>
  <c r="F42" i="6" s="1"/>
  <c r="L75" i="7"/>
  <c r="N75" i="7"/>
  <c r="K75" i="7"/>
  <c r="E42" i="6" s="1"/>
  <c r="J75" i="7"/>
  <c r="I75" i="7"/>
  <c r="D42" i="6" s="1"/>
  <c r="H75" i="7"/>
  <c r="G75" i="7"/>
  <c r="F75" i="7"/>
  <c r="E75" i="7"/>
  <c r="U74" i="7"/>
  <c r="T74" i="7"/>
  <c r="R74" i="7"/>
  <c r="Q74" i="7"/>
  <c r="S74" i="7"/>
  <c r="P74" i="7"/>
  <c r="O74" i="7"/>
  <c r="M74" i="7"/>
  <c r="F44" i="6" s="1"/>
  <c r="L74" i="7"/>
  <c r="N74" i="7"/>
  <c r="K74" i="7"/>
  <c r="E44" i="6" s="1"/>
  <c r="J74" i="7"/>
  <c r="I74" i="7"/>
  <c r="H74" i="7"/>
  <c r="G74" i="7"/>
  <c r="F74" i="7"/>
  <c r="E74" i="7"/>
  <c r="U73" i="7"/>
  <c r="T73" i="7"/>
  <c r="R73" i="7"/>
  <c r="Q73" i="7"/>
  <c r="S73" i="7"/>
  <c r="P73" i="7"/>
  <c r="L73" i="7"/>
  <c r="N73" i="7"/>
  <c r="K73" i="7"/>
  <c r="E45" i="6" s="1"/>
  <c r="J73" i="7"/>
  <c r="I73" i="7"/>
  <c r="D45" i="6" s="1"/>
  <c r="H73" i="7"/>
  <c r="G73" i="7"/>
  <c r="F73" i="7"/>
  <c r="E73" i="7"/>
  <c r="U72" i="7"/>
  <c r="Q72" i="7"/>
  <c r="R72" i="7" s="1"/>
  <c r="S72" i="7"/>
  <c r="P72" i="7"/>
  <c r="L72" i="7"/>
  <c r="O72" i="7" s="1"/>
  <c r="N72" i="7"/>
  <c r="K72" i="7"/>
  <c r="E49" i="6" s="1"/>
  <c r="J72" i="7"/>
  <c r="I72" i="7"/>
  <c r="D49" i="6" s="1"/>
  <c r="H72" i="7"/>
  <c r="G72" i="7"/>
  <c r="F72" i="7"/>
  <c r="E72" i="7"/>
  <c r="U71" i="7"/>
  <c r="R71" i="7"/>
  <c r="Q71" i="7"/>
  <c r="T71" i="7" s="1"/>
  <c r="S71" i="7"/>
  <c r="P71" i="7"/>
  <c r="O71" i="7"/>
  <c r="L71" i="7"/>
  <c r="M71" i="7" s="1"/>
  <c r="N71" i="7"/>
  <c r="K71" i="7"/>
  <c r="J71" i="7"/>
  <c r="I71" i="7"/>
  <c r="H71" i="7"/>
  <c r="G71" i="7"/>
  <c r="F71" i="7"/>
  <c r="E71" i="7"/>
  <c r="U70" i="7"/>
  <c r="T70" i="7"/>
  <c r="Q70" i="7"/>
  <c r="R70" i="7" s="1"/>
  <c r="S70" i="7"/>
  <c r="P70" i="7"/>
  <c r="O70" i="7"/>
  <c r="M70" i="7"/>
  <c r="F63" i="6" s="1"/>
  <c r="L70" i="7"/>
  <c r="N70" i="7"/>
  <c r="K70" i="7"/>
  <c r="E63" i="6" s="1"/>
  <c r="J70" i="7"/>
  <c r="I70" i="7"/>
  <c r="D63" i="6" s="1"/>
  <c r="H70" i="7"/>
  <c r="G70" i="7"/>
  <c r="F70" i="7"/>
  <c r="E70" i="7"/>
  <c r="U69" i="7"/>
  <c r="T69" i="7"/>
  <c r="R69" i="7"/>
  <c r="Q69" i="7"/>
  <c r="S69" i="7"/>
  <c r="P69" i="7"/>
  <c r="L69" i="7"/>
  <c r="N69" i="7"/>
  <c r="K69" i="7"/>
  <c r="E10" i="6" s="1"/>
  <c r="J69" i="7"/>
  <c r="I69" i="7"/>
  <c r="H69" i="7"/>
  <c r="G69" i="7"/>
  <c r="F69" i="7"/>
  <c r="E69" i="7"/>
  <c r="U68" i="7"/>
  <c r="Q68" i="7"/>
  <c r="R68" i="7" s="1"/>
  <c r="S68" i="7"/>
  <c r="P68" i="7"/>
  <c r="L68" i="7"/>
  <c r="O68" i="7" s="1"/>
  <c r="N68" i="7"/>
  <c r="K68" i="7"/>
  <c r="E34" i="6" s="1"/>
  <c r="J68" i="7"/>
  <c r="I68" i="7"/>
  <c r="D34" i="6" s="1"/>
  <c r="H68" i="7"/>
  <c r="G68" i="7"/>
  <c r="F68" i="7"/>
  <c r="E68" i="7"/>
  <c r="U67" i="7"/>
  <c r="R67" i="7"/>
  <c r="Q67" i="7"/>
  <c r="T67" i="7" s="1"/>
  <c r="S67" i="7"/>
  <c r="P67" i="7"/>
  <c r="O67" i="7"/>
  <c r="L67" i="7"/>
  <c r="M67" i="7" s="1"/>
  <c r="N67" i="7"/>
  <c r="K67" i="7"/>
  <c r="J67" i="7"/>
  <c r="I67" i="7"/>
  <c r="H67" i="7"/>
  <c r="G67" i="7"/>
  <c r="F67" i="7"/>
  <c r="E67" i="7"/>
  <c r="U66" i="7"/>
  <c r="T66" i="7"/>
  <c r="Q66" i="7"/>
  <c r="R66" i="7" s="1"/>
  <c r="S66" i="7"/>
  <c r="P66" i="7"/>
  <c r="O66" i="7"/>
  <c r="M66" i="7"/>
  <c r="L66" i="7"/>
  <c r="N66" i="7"/>
  <c r="K66" i="7"/>
  <c r="J66" i="7"/>
  <c r="I66" i="7"/>
  <c r="H66" i="7"/>
  <c r="G66" i="7"/>
  <c r="F66" i="7"/>
  <c r="E66" i="7"/>
  <c r="U65" i="7"/>
  <c r="T65" i="7"/>
  <c r="R65" i="7"/>
  <c r="Q65" i="7"/>
  <c r="S65" i="7"/>
  <c r="P65" i="7"/>
  <c r="L65" i="7"/>
  <c r="N65" i="7"/>
  <c r="K65" i="7"/>
  <c r="E24" i="6" s="1"/>
  <c r="J65" i="7"/>
  <c r="I65" i="7"/>
  <c r="D24" i="6" s="1"/>
  <c r="H65" i="7"/>
  <c r="G65" i="7"/>
  <c r="F65" i="7"/>
  <c r="E65" i="7"/>
  <c r="U64" i="7"/>
  <c r="Q64" i="7"/>
  <c r="R64" i="7" s="1"/>
  <c r="S64" i="7"/>
  <c r="P64" i="7"/>
  <c r="L64" i="7"/>
  <c r="O64" i="7" s="1"/>
  <c r="N64" i="7"/>
  <c r="K64" i="7"/>
  <c r="J64" i="7"/>
  <c r="I64" i="7"/>
  <c r="D32" i="6" s="1"/>
  <c r="H64" i="7"/>
  <c r="G64" i="7"/>
  <c r="F64" i="7"/>
  <c r="E64" i="7"/>
  <c r="U63" i="7"/>
  <c r="R63" i="7"/>
  <c r="Q63" i="7"/>
  <c r="T63" i="7" s="1"/>
  <c r="S63" i="7"/>
  <c r="P63" i="7"/>
  <c r="O63" i="7"/>
  <c r="L63" i="7"/>
  <c r="M63" i="7" s="1"/>
  <c r="N63" i="7"/>
  <c r="K63" i="7"/>
  <c r="J63" i="7"/>
  <c r="I63" i="7"/>
  <c r="H63" i="7"/>
  <c r="G63" i="7"/>
  <c r="F63" i="7"/>
  <c r="E63" i="7"/>
  <c r="U62" i="7"/>
  <c r="T62" i="7"/>
  <c r="Q62" i="7"/>
  <c r="R62" i="7" s="1"/>
  <c r="S62" i="7"/>
  <c r="P62" i="7"/>
  <c r="O62" i="7"/>
  <c r="M62" i="7"/>
  <c r="L62" i="7"/>
  <c r="N62" i="7"/>
  <c r="K62" i="7"/>
  <c r="J62" i="7"/>
  <c r="I62" i="7"/>
  <c r="H62" i="7"/>
  <c r="G62" i="7"/>
  <c r="F62" i="7"/>
  <c r="E62" i="7"/>
  <c r="U61" i="7"/>
  <c r="T61" i="7"/>
  <c r="R61" i="7"/>
  <c r="Q61" i="7"/>
  <c r="S61" i="7"/>
  <c r="P61" i="7"/>
  <c r="L61" i="7"/>
  <c r="N61" i="7"/>
  <c r="K61" i="7"/>
  <c r="J61" i="7"/>
  <c r="I61" i="7"/>
  <c r="H61" i="7"/>
  <c r="G61" i="7"/>
  <c r="F61" i="7"/>
  <c r="E61" i="7"/>
  <c r="U60" i="7"/>
  <c r="Q60" i="7"/>
  <c r="R60" i="7" s="1"/>
  <c r="S60" i="7"/>
  <c r="P60" i="7"/>
  <c r="L60" i="7"/>
  <c r="O60" i="7" s="1"/>
  <c r="N60" i="7"/>
  <c r="K60" i="7"/>
  <c r="J60" i="7"/>
  <c r="I60" i="7"/>
  <c r="H60" i="7"/>
  <c r="G60" i="7"/>
  <c r="F60" i="7"/>
  <c r="E60" i="7"/>
  <c r="U59" i="7"/>
  <c r="R59" i="7"/>
  <c r="Q59" i="7"/>
  <c r="T59" i="7" s="1"/>
  <c r="S59" i="7"/>
  <c r="P59" i="7"/>
  <c r="O59" i="7"/>
  <c r="L59" i="7"/>
  <c r="M59" i="7" s="1"/>
  <c r="F64" i="6" s="1"/>
  <c r="N59" i="7"/>
  <c r="K59" i="7"/>
  <c r="E64" i="6" s="1"/>
  <c r="J59" i="7"/>
  <c r="I59" i="7"/>
  <c r="D64" i="6" s="1"/>
  <c r="H59" i="7"/>
  <c r="G59" i="7"/>
  <c r="F59" i="7"/>
  <c r="E59" i="7"/>
  <c r="U58" i="7"/>
  <c r="T58" i="7"/>
  <c r="Q58" i="7"/>
  <c r="R58" i="7" s="1"/>
  <c r="S58" i="7"/>
  <c r="P58" i="7"/>
  <c r="O58" i="7"/>
  <c r="M58" i="7"/>
  <c r="F70" i="6" s="1"/>
  <c r="L58" i="7"/>
  <c r="N58" i="7"/>
  <c r="K58" i="7"/>
  <c r="E70" i="6" s="1"/>
  <c r="J58" i="7"/>
  <c r="I58" i="7"/>
  <c r="D70" i="6" s="1"/>
  <c r="H58" i="7"/>
  <c r="G58" i="7"/>
  <c r="F58" i="7"/>
  <c r="E58" i="7"/>
  <c r="U57" i="7"/>
  <c r="T57" i="7"/>
  <c r="R57" i="7"/>
  <c r="Q57" i="7"/>
  <c r="S57" i="7"/>
  <c r="P57" i="7"/>
  <c r="L57" i="7"/>
  <c r="N57" i="7"/>
  <c r="K57" i="7"/>
  <c r="J57" i="7"/>
  <c r="I57" i="7"/>
  <c r="H57" i="7"/>
  <c r="G57" i="7"/>
  <c r="F57" i="7"/>
  <c r="E57" i="7"/>
  <c r="U56" i="7"/>
  <c r="Q56" i="7"/>
  <c r="R56" i="7" s="1"/>
  <c r="S56" i="7"/>
  <c r="P56" i="7"/>
  <c r="L56" i="7"/>
  <c r="O56" i="7" s="1"/>
  <c r="N56" i="7"/>
  <c r="K56" i="7"/>
  <c r="E17" i="6" s="1"/>
  <c r="J56" i="7"/>
  <c r="I56" i="7"/>
  <c r="D17" i="6" s="1"/>
  <c r="H56" i="7"/>
  <c r="G56" i="7"/>
  <c r="F56" i="7"/>
  <c r="E56" i="7"/>
  <c r="U55" i="7"/>
  <c r="R55" i="7"/>
  <c r="Q55" i="7"/>
  <c r="T55" i="7" s="1"/>
  <c r="S55" i="7"/>
  <c r="P55" i="7"/>
  <c r="O55" i="7"/>
  <c r="L55" i="7"/>
  <c r="M55" i="7" s="1"/>
  <c r="F23" i="6" s="1"/>
  <c r="N55" i="7"/>
  <c r="K55" i="7"/>
  <c r="E23" i="6" s="1"/>
  <c r="J55" i="7"/>
  <c r="I55" i="7"/>
  <c r="D23" i="6" s="1"/>
  <c r="H55" i="7"/>
  <c r="G55" i="7"/>
  <c r="F55" i="7"/>
  <c r="E55" i="7"/>
  <c r="U54" i="7"/>
  <c r="T54" i="7"/>
  <c r="Q54" i="7"/>
  <c r="R54" i="7" s="1"/>
  <c r="S54" i="7"/>
  <c r="P54" i="7"/>
  <c r="L54" i="7"/>
  <c r="N54" i="7"/>
  <c r="K54" i="7"/>
  <c r="E48" i="6" s="1"/>
  <c r="J54" i="7"/>
  <c r="I54" i="7"/>
  <c r="D48" i="6" s="1"/>
  <c r="H54" i="7"/>
  <c r="G54" i="7"/>
  <c r="F54" i="7"/>
  <c r="E54" i="7"/>
  <c r="U53" i="7"/>
  <c r="Q53" i="7"/>
  <c r="S53" i="7"/>
  <c r="P53" i="7"/>
  <c r="M53" i="7"/>
  <c r="F52" i="6" s="1"/>
  <c r="L53" i="7"/>
  <c r="O53" i="7" s="1"/>
  <c r="N53" i="7"/>
  <c r="K53" i="7"/>
  <c r="E52" i="6" s="1"/>
  <c r="J53" i="7"/>
  <c r="I53" i="7"/>
  <c r="D52" i="6" s="1"/>
  <c r="H53" i="7"/>
  <c r="G53" i="7"/>
  <c r="F53" i="7"/>
  <c r="E53" i="7"/>
  <c r="U52" i="7"/>
  <c r="R52" i="7"/>
  <c r="Q52" i="7"/>
  <c r="T52" i="7" s="1"/>
  <c r="S52" i="7"/>
  <c r="P52" i="7"/>
  <c r="O52" i="7"/>
  <c r="M52" i="7"/>
  <c r="F53" i="6" s="1"/>
  <c r="L52" i="7"/>
  <c r="N52" i="7"/>
  <c r="K52" i="7"/>
  <c r="E53" i="6" s="1"/>
  <c r="J52" i="7"/>
  <c r="I52" i="7"/>
  <c r="D53" i="6" s="1"/>
  <c r="H52" i="7"/>
  <c r="G52" i="7"/>
  <c r="F52" i="7"/>
  <c r="E52" i="7"/>
  <c r="U51" i="7"/>
  <c r="T51" i="7"/>
  <c r="R51" i="7"/>
  <c r="Q51" i="7"/>
  <c r="S51" i="7"/>
  <c r="P51" i="7"/>
  <c r="O51" i="7"/>
  <c r="L51" i="7"/>
  <c r="M51" i="7" s="1"/>
  <c r="N51" i="7"/>
  <c r="K51" i="7"/>
  <c r="J51" i="7"/>
  <c r="I51" i="7"/>
  <c r="H51" i="7"/>
  <c r="G51" i="7"/>
  <c r="F51" i="7"/>
  <c r="E51" i="7"/>
  <c r="U50" i="7"/>
  <c r="T50" i="7"/>
  <c r="Q50" i="7"/>
  <c r="R50" i="7" s="1"/>
  <c r="S50" i="7"/>
  <c r="P50" i="7"/>
  <c r="L50" i="7"/>
  <c r="N50" i="7"/>
  <c r="K50" i="7"/>
  <c r="E57" i="6" s="1"/>
  <c r="J50" i="7"/>
  <c r="I50" i="7"/>
  <c r="D57" i="6" s="1"/>
  <c r="H50" i="7"/>
  <c r="G50" i="7"/>
  <c r="F50" i="7"/>
  <c r="E50" i="7"/>
  <c r="U49" i="7"/>
  <c r="Q49" i="7"/>
  <c r="S49" i="7"/>
  <c r="P49" i="7"/>
  <c r="M49" i="7"/>
  <c r="F58" i="6" s="1"/>
  <c r="L49" i="7"/>
  <c r="O49" i="7" s="1"/>
  <c r="N49" i="7"/>
  <c r="K49" i="7"/>
  <c r="E58" i="6" s="1"/>
  <c r="J49" i="7"/>
  <c r="I49" i="7"/>
  <c r="D58" i="6" s="1"/>
  <c r="H49" i="7"/>
  <c r="G49" i="7"/>
  <c r="F49" i="7"/>
  <c r="E49" i="7"/>
  <c r="U48" i="7"/>
  <c r="R48" i="7"/>
  <c r="Q48" i="7"/>
  <c r="T48" i="7" s="1"/>
  <c r="S48" i="7"/>
  <c r="P48" i="7"/>
  <c r="O48" i="7"/>
  <c r="M48" i="7"/>
  <c r="F61" i="6" s="1"/>
  <c r="L48" i="7"/>
  <c r="N48" i="7"/>
  <c r="K48" i="7"/>
  <c r="E61" i="6" s="1"/>
  <c r="J48" i="7"/>
  <c r="I48" i="7"/>
  <c r="D61" i="6" s="1"/>
  <c r="H48" i="7"/>
  <c r="G48" i="7"/>
  <c r="F48" i="7"/>
  <c r="E48" i="7"/>
  <c r="U47" i="7"/>
  <c r="T47" i="7"/>
  <c r="R47" i="7"/>
  <c r="Q47" i="7"/>
  <c r="S47" i="7"/>
  <c r="P47" i="7"/>
  <c r="O47" i="7"/>
  <c r="L47" i="7"/>
  <c r="M47" i="7" s="1"/>
  <c r="N47" i="7"/>
  <c r="K47" i="7"/>
  <c r="J47" i="7"/>
  <c r="I47" i="7"/>
  <c r="H47" i="7"/>
  <c r="G47" i="7"/>
  <c r="F47" i="7"/>
  <c r="E47" i="7"/>
  <c r="U46" i="7"/>
  <c r="T46" i="7"/>
  <c r="Q46" i="7"/>
  <c r="R46" i="7" s="1"/>
  <c r="S46" i="7"/>
  <c r="P46" i="7"/>
  <c r="L46" i="7"/>
  <c r="N46" i="7"/>
  <c r="K46" i="7"/>
  <c r="E65" i="6" s="1"/>
  <c r="J46" i="7"/>
  <c r="I46" i="7"/>
  <c r="D65" i="6" s="1"/>
  <c r="H46" i="7"/>
  <c r="G46" i="7"/>
  <c r="F46" i="7"/>
  <c r="E46" i="7"/>
  <c r="U45" i="7"/>
  <c r="Q45" i="7"/>
  <c r="S45" i="7"/>
  <c r="P45" i="7"/>
  <c r="L45" i="7"/>
  <c r="O45" i="7" s="1"/>
  <c r="N45" i="7"/>
  <c r="K45" i="7"/>
  <c r="E66" i="6" s="1"/>
  <c r="J45" i="7"/>
  <c r="I45" i="7"/>
  <c r="D66" i="6" s="1"/>
  <c r="H45" i="7"/>
  <c r="G45" i="7"/>
  <c r="F45" i="7"/>
  <c r="E45" i="7"/>
  <c r="U44" i="7"/>
  <c r="R44" i="7"/>
  <c r="Q44" i="7"/>
  <c r="T44" i="7" s="1"/>
  <c r="S44" i="7"/>
  <c r="P44" i="7"/>
  <c r="O44" i="7"/>
  <c r="M44" i="7"/>
  <c r="F68" i="6" s="1"/>
  <c r="L44" i="7"/>
  <c r="N44" i="7"/>
  <c r="K44" i="7"/>
  <c r="E68" i="6" s="1"/>
  <c r="J44" i="7"/>
  <c r="I44" i="7"/>
  <c r="D68" i="6" s="1"/>
  <c r="H44" i="7"/>
  <c r="G44" i="7"/>
  <c r="F44" i="7"/>
  <c r="E44" i="7"/>
  <c r="U43" i="7"/>
  <c r="T43" i="7"/>
  <c r="R43" i="7"/>
  <c r="Q43" i="7"/>
  <c r="S43" i="7"/>
  <c r="P43" i="7"/>
  <c r="O43" i="7"/>
  <c r="L43" i="7"/>
  <c r="M43" i="7" s="1"/>
  <c r="F69" i="6" s="1"/>
  <c r="N43" i="7"/>
  <c r="K43" i="7"/>
  <c r="E69" i="6" s="1"/>
  <c r="J43" i="7"/>
  <c r="I43" i="7"/>
  <c r="D69" i="6" s="1"/>
  <c r="H43" i="7"/>
  <c r="G43" i="7"/>
  <c r="F43" i="7"/>
  <c r="E43" i="7"/>
  <c r="U42" i="7"/>
  <c r="T42" i="7"/>
  <c r="Q42" i="7"/>
  <c r="R42" i="7" s="1"/>
  <c r="S42" i="7"/>
  <c r="P42" i="7"/>
  <c r="L42" i="7"/>
  <c r="N42" i="7"/>
  <c r="K42" i="7"/>
  <c r="J42" i="7"/>
  <c r="I42" i="7"/>
  <c r="H42" i="7"/>
  <c r="G42" i="7"/>
  <c r="F42" i="7"/>
  <c r="E42" i="7"/>
  <c r="U41" i="7"/>
  <c r="Q41" i="7"/>
  <c r="S41" i="7"/>
  <c r="P41" i="7"/>
  <c r="L41" i="7"/>
  <c r="O41" i="7" s="1"/>
  <c r="N41" i="7"/>
  <c r="K41" i="7"/>
  <c r="E14" i="6" s="1"/>
  <c r="J41" i="7"/>
  <c r="I41" i="7"/>
  <c r="D14" i="6" s="1"/>
  <c r="H41" i="7"/>
  <c r="G41" i="7"/>
  <c r="F41" i="7"/>
  <c r="E41" i="7"/>
  <c r="U40" i="7"/>
  <c r="R40" i="7"/>
  <c r="Q40" i="7"/>
  <c r="T40" i="7" s="1"/>
  <c r="S40" i="7"/>
  <c r="P40" i="7"/>
  <c r="O40" i="7"/>
  <c r="M40" i="7"/>
  <c r="L40" i="7"/>
  <c r="N40" i="7"/>
  <c r="K40" i="7"/>
  <c r="J40" i="7"/>
  <c r="I40" i="7"/>
  <c r="H40" i="7"/>
  <c r="G40" i="7"/>
  <c r="F40" i="7"/>
  <c r="E40" i="7"/>
  <c r="U39" i="7"/>
  <c r="T39" i="7"/>
  <c r="R39" i="7"/>
  <c r="Q39" i="7"/>
  <c r="S39" i="7"/>
  <c r="P39" i="7"/>
  <c r="O39" i="7"/>
  <c r="L39" i="7"/>
  <c r="M39" i="7" s="1"/>
  <c r="N39" i="7"/>
  <c r="K39" i="7"/>
  <c r="J39" i="7"/>
  <c r="I39" i="7"/>
  <c r="H39" i="7"/>
  <c r="G39" i="7"/>
  <c r="F39" i="7"/>
  <c r="E39" i="7"/>
  <c r="U38" i="7"/>
  <c r="T38" i="7"/>
  <c r="Q38" i="7"/>
  <c r="R38" i="7" s="1"/>
  <c r="S38" i="7"/>
  <c r="P38" i="7"/>
  <c r="L38" i="7"/>
  <c r="N38" i="7"/>
  <c r="K38" i="7"/>
  <c r="E40" i="6" s="1"/>
  <c r="J38" i="7"/>
  <c r="I38" i="7"/>
  <c r="H38" i="7"/>
  <c r="G38" i="7"/>
  <c r="F38" i="7"/>
  <c r="E38" i="7"/>
  <c r="U37" i="7"/>
  <c r="Q37" i="7"/>
  <c r="S37" i="7"/>
  <c r="P37" i="7"/>
  <c r="L37" i="7"/>
  <c r="O37" i="7" s="1"/>
  <c r="N37" i="7"/>
  <c r="K37" i="7"/>
  <c r="E43" i="6" s="1"/>
  <c r="J37" i="7"/>
  <c r="I37" i="7"/>
  <c r="D43" i="6" s="1"/>
  <c r="H37" i="7"/>
  <c r="G37" i="7"/>
  <c r="F37" i="7"/>
  <c r="E37" i="7"/>
  <c r="U36" i="7"/>
  <c r="R36" i="7"/>
  <c r="Q36" i="7"/>
  <c r="T36" i="7" s="1"/>
  <c r="S36" i="7"/>
  <c r="P36" i="7"/>
  <c r="O36" i="7"/>
  <c r="M36" i="7"/>
  <c r="F50" i="6" s="1"/>
  <c r="L36" i="7"/>
  <c r="N36" i="7"/>
  <c r="K36" i="7"/>
  <c r="E50" i="6" s="1"/>
  <c r="J36" i="7"/>
  <c r="I36" i="7"/>
  <c r="D50" i="6" s="1"/>
  <c r="H36" i="7"/>
  <c r="G36" i="7"/>
  <c r="F36" i="7"/>
  <c r="E36" i="7"/>
  <c r="U35" i="7"/>
  <c r="T35" i="7"/>
  <c r="R35" i="7"/>
  <c r="Q35" i="7"/>
  <c r="S35" i="7"/>
  <c r="P35" i="7"/>
  <c r="O35" i="7"/>
  <c r="L35" i="7"/>
  <c r="M35" i="7" s="1"/>
  <c r="N35" i="7"/>
  <c r="K35" i="7"/>
  <c r="J35" i="7"/>
  <c r="I35" i="7"/>
  <c r="H35" i="7"/>
  <c r="G35" i="7"/>
  <c r="F35" i="7"/>
  <c r="E35" i="7"/>
  <c r="U34" i="7"/>
  <c r="T34" i="7"/>
  <c r="Q34" i="7"/>
  <c r="R34" i="7" s="1"/>
  <c r="S34" i="7"/>
  <c r="P34" i="7"/>
  <c r="L34" i="7"/>
  <c r="N34" i="7"/>
  <c r="K34" i="7"/>
  <c r="E59" i="6" s="1"/>
  <c r="J34" i="7"/>
  <c r="I34" i="7"/>
  <c r="D59" i="6" s="1"/>
  <c r="H34" i="7"/>
  <c r="G34" i="7"/>
  <c r="F34" i="7"/>
  <c r="E34" i="7"/>
  <c r="U33" i="7"/>
  <c r="Q33" i="7"/>
  <c r="S33" i="7"/>
  <c r="P33" i="7"/>
  <c r="L33" i="7"/>
  <c r="O33" i="7" s="1"/>
  <c r="N33" i="7"/>
  <c r="K33" i="7"/>
  <c r="E60" i="6" s="1"/>
  <c r="J33" i="7"/>
  <c r="I33" i="7"/>
  <c r="D60" i="6" s="1"/>
  <c r="H33" i="7"/>
  <c r="G33" i="7"/>
  <c r="F33" i="7"/>
  <c r="E33" i="7"/>
  <c r="U32" i="7"/>
  <c r="R32" i="7"/>
  <c r="Q32" i="7"/>
  <c r="T32" i="7" s="1"/>
  <c r="S32" i="7"/>
  <c r="P32" i="7"/>
  <c r="O32" i="7"/>
  <c r="M32" i="7"/>
  <c r="L32" i="7"/>
  <c r="N32" i="7"/>
  <c r="K32" i="7"/>
  <c r="E62" i="6" s="1"/>
  <c r="J32" i="7"/>
  <c r="I32" i="7"/>
  <c r="H32" i="7"/>
  <c r="G32" i="7"/>
  <c r="F32" i="7"/>
  <c r="E32" i="7"/>
  <c r="U31" i="7"/>
  <c r="T31" i="7"/>
  <c r="R31" i="7"/>
  <c r="Q31" i="7"/>
  <c r="S31" i="7"/>
  <c r="P31" i="7"/>
  <c r="O31" i="7"/>
  <c r="L31" i="7"/>
  <c r="M31" i="7" s="1"/>
  <c r="N31" i="7"/>
  <c r="K31" i="7"/>
  <c r="J31" i="7"/>
  <c r="I31" i="7"/>
  <c r="H31" i="7"/>
  <c r="G31" i="7"/>
  <c r="F31" i="7"/>
  <c r="E31" i="7"/>
  <c r="U30" i="7"/>
  <c r="T30" i="7"/>
  <c r="Q30" i="7"/>
  <c r="R30" i="7" s="1"/>
  <c r="S30" i="7"/>
  <c r="P30" i="7"/>
  <c r="L30" i="7"/>
  <c r="N30" i="7"/>
  <c r="K30" i="7"/>
  <c r="J30" i="7"/>
  <c r="I30" i="7"/>
  <c r="D15" i="6" s="1"/>
  <c r="H30" i="7"/>
  <c r="G30" i="7"/>
  <c r="F30" i="7"/>
  <c r="E30" i="7"/>
  <c r="U29" i="7"/>
  <c r="Q29" i="7"/>
  <c r="S29" i="7"/>
  <c r="P29" i="7"/>
  <c r="L29" i="7"/>
  <c r="O29" i="7" s="1"/>
  <c r="N29" i="7"/>
  <c r="K29" i="7"/>
  <c r="J29" i="7"/>
  <c r="I29" i="7"/>
  <c r="H29" i="7"/>
  <c r="G29" i="7"/>
  <c r="F29" i="7"/>
  <c r="E29" i="7"/>
  <c r="U28" i="7"/>
  <c r="R28" i="7"/>
  <c r="Q28" i="7"/>
  <c r="T28" i="7" s="1"/>
  <c r="S28" i="7"/>
  <c r="P28" i="7"/>
  <c r="O28" i="7"/>
  <c r="M28" i="7"/>
  <c r="L28" i="7"/>
  <c r="N28" i="7"/>
  <c r="K28" i="7"/>
  <c r="J28" i="7"/>
  <c r="I28" i="7"/>
  <c r="H28" i="7"/>
  <c r="G28" i="7"/>
  <c r="F28" i="7"/>
  <c r="E28" i="7"/>
  <c r="U27" i="7"/>
  <c r="T27" i="7"/>
  <c r="R27" i="7"/>
  <c r="Q27" i="7"/>
  <c r="S27" i="7"/>
  <c r="P27" i="7"/>
  <c r="O27" i="7"/>
  <c r="L27" i="7"/>
  <c r="M27" i="7" s="1"/>
  <c r="F39" i="6" s="1"/>
  <c r="N27" i="7"/>
  <c r="K27" i="7"/>
  <c r="E39" i="6" s="1"/>
  <c r="J27" i="7"/>
  <c r="I27" i="7"/>
  <c r="D39" i="6" s="1"/>
  <c r="H27" i="7"/>
  <c r="G27" i="7"/>
  <c r="F27" i="7"/>
  <c r="E27" i="7"/>
  <c r="U26" i="7"/>
  <c r="T26" i="7"/>
  <c r="Q26" i="7"/>
  <c r="R26" i="7" s="1"/>
  <c r="S26" i="7"/>
  <c r="P26" i="7"/>
  <c r="M26" i="7"/>
  <c r="L26" i="7"/>
  <c r="O26" i="7" s="1"/>
  <c r="N26" i="7"/>
  <c r="K26" i="7"/>
  <c r="E41" i="6" s="1"/>
  <c r="J26" i="7"/>
  <c r="I26" i="7"/>
  <c r="D41" i="6" s="1"/>
  <c r="H26" i="7"/>
  <c r="G26" i="7"/>
  <c r="F26" i="7"/>
  <c r="E26" i="7"/>
  <c r="U25" i="7"/>
  <c r="Q25" i="7"/>
  <c r="T25" i="7" s="1"/>
  <c r="S25" i="7"/>
  <c r="P25" i="7"/>
  <c r="M25" i="7"/>
  <c r="L25" i="7"/>
  <c r="O25" i="7" s="1"/>
  <c r="N25" i="7"/>
  <c r="K25" i="7"/>
  <c r="E47" i="6" s="1"/>
  <c r="J25" i="7"/>
  <c r="I25" i="7"/>
  <c r="D47" i="6" s="1"/>
  <c r="H25" i="7"/>
  <c r="G25" i="7"/>
  <c r="F25" i="7"/>
  <c r="E25" i="7"/>
  <c r="U24" i="7"/>
  <c r="R24" i="7"/>
  <c r="Q24" i="7"/>
  <c r="T24" i="7" s="1"/>
  <c r="S24" i="7"/>
  <c r="P24" i="7"/>
  <c r="O24" i="7"/>
  <c r="M24" i="7"/>
  <c r="F67" i="6" s="1"/>
  <c r="L24" i="7"/>
  <c r="N24" i="7"/>
  <c r="K24" i="7"/>
  <c r="E67" i="6" s="1"/>
  <c r="J24" i="7"/>
  <c r="I24" i="7"/>
  <c r="D67" i="6" s="1"/>
  <c r="H24" i="7"/>
  <c r="G24" i="7"/>
  <c r="F24" i="7"/>
  <c r="E24" i="7"/>
  <c r="U23" i="7"/>
  <c r="T23" i="7"/>
  <c r="R23" i="7"/>
  <c r="Q23" i="7"/>
  <c r="S23" i="7"/>
  <c r="P23" i="7"/>
  <c r="L23" i="7"/>
  <c r="M23" i="7" s="1"/>
  <c r="N23" i="7"/>
  <c r="K23" i="7"/>
  <c r="J23" i="7"/>
  <c r="I23" i="7"/>
  <c r="H23" i="7"/>
  <c r="G23" i="7"/>
  <c r="F23" i="7"/>
  <c r="E23" i="7"/>
  <c r="U22" i="7"/>
  <c r="T22" i="7"/>
  <c r="Q22" i="7"/>
  <c r="R22" i="7" s="1"/>
  <c r="S22" i="7"/>
  <c r="P22" i="7"/>
  <c r="M22" i="7"/>
  <c r="L22" i="7"/>
  <c r="O22" i="7" s="1"/>
  <c r="N22" i="7"/>
  <c r="K22" i="7"/>
  <c r="J22" i="7"/>
  <c r="I22" i="7"/>
  <c r="H22" i="7"/>
  <c r="G22" i="7"/>
  <c r="F22" i="7"/>
  <c r="E22" i="7"/>
  <c r="U21" i="7"/>
  <c r="Q21" i="7"/>
  <c r="T21" i="7" s="1"/>
  <c r="S21" i="7"/>
  <c r="P21" i="7"/>
  <c r="M21" i="7"/>
  <c r="L21" i="7"/>
  <c r="O21" i="7" s="1"/>
  <c r="N21" i="7"/>
  <c r="K21" i="7"/>
  <c r="J21" i="7"/>
  <c r="I21" i="7"/>
  <c r="H21" i="7"/>
  <c r="G21" i="7"/>
  <c r="F21" i="7"/>
  <c r="E21" i="7"/>
  <c r="U20" i="7"/>
  <c r="R20" i="7"/>
  <c r="Q20" i="7"/>
  <c r="T20" i="7" s="1"/>
  <c r="S20" i="7"/>
  <c r="P20" i="7"/>
  <c r="O20" i="7"/>
  <c r="M20" i="7"/>
  <c r="L20" i="7"/>
  <c r="N20" i="7"/>
  <c r="K20" i="7"/>
  <c r="E21" i="6" s="1"/>
  <c r="J20" i="7"/>
  <c r="I20" i="7"/>
  <c r="H20" i="7"/>
  <c r="G20" i="7"/>
  <c r="F20" i="7"/>
  <c r="E20" i="7"/>
  <c r="U19" i="7"/>
  <c r="T19" i="7"/>
  <c r="R19" i="7"/>
  <c r="Q19" i="7"/>
  <c r="S19" i="7"/>
  <c r="P19" i="7"/>
  <c r="L19" i="7"/>
  <c r="M19" i="7" s="1"/>
  <c r="F26" i="6" s="1"/>
  <c r="N19" i="7"/>
  <c r="K19" i="7"/>
  <c r="E26" i="6" s="1"/>
  <c r="J19" i="7"/>
  <c r="I19" i="7"/>
  <c r="D26" i="6" s="1"/>
  <c r="H19" i="7"/>
  <c r="G19" i="7"/>
  <c r="F19" i="7"/>
  <c r="E19" i="7"/>
  <c r="U18" i="7"/>
  <c r="T18" i="7"/>
  <c r="Q18" i="7"/>
  <c r="R18" i="7" s="1"/>
  <c r="S18" i="7"/>
  <c r="P18" i="7"/>
  <c r="M18" i="7"/>
  <c r="F28" i="6" s="1"/>
  <c r="L18" i="7"/>
  <c r="O18" i="7" s="1"/>
  <c r="N18" i="7"/>
  <c r="K18" i="7"/>
  <c r="E28" i="6" s="1"/>
  <c r="J18" i="7"/>
  <c r="I18" i="7"/>
  <c r="D28" i="6" s="1"/>
  <c r="H18" i="7"/>
  <c r="G18" i="7"/>
  <c r="F18" i="7"/>
  <c r="E18" i="7"/>
  <c r="U17" i="7"/>
  <c r="Q17" i="7"/>
  <c r="T17" i="7" s="1"/>
  <c r="S17" i="7"/>
  <c r="P17" i="7"/>
  <c r="M17" i="7"/>
  <c r="F30" i="6" s="1"/>
  <c r="L17" i="7"/>
  <c r="O17" i="7" s="1"/>
  <c r="N17" i="7"/>
  <c r="K17" i="7"/>
  <c r="E30" i="6" s="1"/>
  <c r="J17" i="7"/>
  <c r="I17" i="7"/>
  <c r="D30" i="6" s="1"/>
  <c r="H17" i="7"/>
  <c r="G17" i="7"/>
  <c r="F17" i="7"/>
  <c r="E17" i="7"/>
  <c r="U16" i="7"/>
  <c r="R16" i="7"/>
  <c r="Q16" i="7"/>
  <c r="T16" i="7" s="1"/>
  <c r="S16" i="7"/>
  <c r="P16" i="7"/>
  <c r="O16" i="7"/>
  <c r="M16" i="7"/>
  <c r="L16" i="7"/>
  <c r="N16" i="7"/>
  <c r="K16" i="7"/>
  <c r="E35" i="6" s="1"/>
  <c r="J16" i="7"/>
  <c r="I16" i="7"/>
  <c r="D35" i="6" s="1"/>
  <c r="H16" i="7"/>
  <c r="G16" i="7"/>
  <c r="F16" i="7"/>
  <c r="E16" i="7"/>
  <c r="U15" i="7"/>
  <c r="T15" i="7"/>
  <c r="R15" i="7"/>
  <c r="Q15" i="7"/>
  <c r="S15" i="7"/>
  <c r="P15" i="7"/>
  <c r="L15" i="7"/>
  <c r="M15" i="7" s="1"/>
  <c r="F51" i="6" s="1"/>
  <c r="N15" i="7"/>
  <c r="K15" i="7"/>
  <c r="E51" i="6" s="1"/>
  <c r="J15" i="7"/>
  <c r="I15" i="7"/>
  <c r="D51" i="6" s="1"/>
  <c r="H15" i="7"/>
  <c r="G15" i="7"/>
  <c r="F15" i="7"/>
  <c r="E15" i="7"/>
  <c r="U14" i="7"/>
  <c r="T14" i="7"/>
  <c r="Q14" i="7"/>
  <c r="R14" i="7" s="1"/>
  <c r="S14" i="7"/>
  <c r="P14" i="7"/>
  <c r="M14" i="7"/>
  <c r="L14" i="7"/>
  <c r="O14" i="7" s="1"/>
  <c r="N14" i="7"/>
  <c r="K14" i="7"/>
  <c r="J14" i="7"/>
  <c r="I14" i="7"/>
  <c r="D54" i="6" s="1"/>
  <c r="H14" i="7"/>
  <c r="G14" i="7"/>
  <c r="F14" i="7"/>
  <c r="E14" i="7"/>
  <c r="U13" i="7"/>
  <c r="Q13" i="7"/>
  <c r="T13" i="7" s="1"/>
  <c r="S13" i="7"/>
  <c r="P13" i="7"/>
  <c r="M13" i="7"/>
  <c r="L13" i="7"/>
  <c r="O13" i="7" s="1"/>
  <c r="N13" i="7"/>
  <c r="K13" i="7"/>
  <c r="E55" i="6" s="1"/>
  <c r="J13" i="7"/>
  <c r="I13" i="7"/>
  <c r="D55" i="6" s="1"/>
  <c r="H13" i="7"/>
  <c r="G13" i="7"/>
  <c r="F13" i="7"/>
  <c r="E13" i="7"/>
  <c r="U12" i="7"/>
  <c r="R12" i="7"/>
  <c r="Q12" i="7"/>
  <c r="T12" i="7" s="1"/>
  <c r="S12" i="7"/>
  <c r="P12" i="7"/>
  <c r="O12" i="7"/>
  <c r="M12" i="7"/>
  <c r="L12" i="7"/>
  <c r="N12" i="7"/>
  <c r="K12" i="7"/>
  <c r="J12" i="7"/>
  <c r="I12" i="7"/>
  <c r="H12" i="7"/>
  <c r="G12" i="7"/>
  <c r="F12" i="7"/>
  <c r="E12" i="7"/>
  <c r="U11" i="7"/>
  <c r="T11" i="7"/>
  <c r="R11" i="7"/>
  <c r="Q11" i="7"/>
  <c r="S11" i="7"/>
  <c r="P11" i="7"/>
  <c r="L11" i="7"/>
  <c r="M11" i="7" s="1"/>
  <c r="F16" i="6" s="1"/>
  <c r="N11" i="7"/>
  <c r="K11" i="7"/>
  <c r="E16" i="6" s="1"/>
  <c r="J11" i="7"/>
  <c r="I11" i="7"/>
  <c r="D16" i="6" s="1"/>
  <c r="H11" i="7"/>
  <c r="G11" i="7"/>
  <c r="F11" i="7"/>
  <c r="E11" i="7"/>
  <c r="U10" i="7"/>
  <c r="T10" i="7"/>
  <c r="Q10" i="7"/>
  <c r="R10" i="7" s="1"/>
  <c r="S10" i="7"/>
  <c r="P10" i="7"/>
  <c r="M10" i="7"/>
  <c r="L10" i="7"/>
  <c r="O10" i="7" s="1"/>
  <c r="N10" i="7"/>
  <c r="K10" i="7"/>
  <c r="E71" i="6" s="1"/>
  <c r="J10" i="7"/>
  <c r="I10" i="7"/>
  <c r="H10" i="7"/>
  <c r="G10" i="7"/>
  <c r="F10" i="7"/>
  <c r="E10" i="7"/>
  <c r="U9" i="7"/>
  <c r="Q9" i="7"/>
  <c r="T9" i="7" s="1"/>
  <c r="S9" i="7"/>
  <c r="P9" i="7"/>
  <c r="M9" i="7"/>
  <c r="L9" i="7"/>
  <c r="O9" i="7" s="1"/>
  <c r="N9" i="7"/>
  <c r="K9" i="7"/>
  <c r="J9" i="7"/>
  <c r="I9" i="7"/>
  <c r="H9" i="7"/>
  <c r="G9" i="7"/>
  <c r="F9" i="7"/>
  <c r="E9" i="7"/>
  <c r="U8" i="7"/>
  <c r="R8" i="7"/>
  <c r="Q8" i="7"/>
  <c r="T8" i="7" s="1"/>
  <c r="S8" i="7"/>
  <c r="P8" i="7"/>
  <c r="O8" i="7"/>
  <c r="M8" i="7"/>
  <c r="F13" i="6" s="1"/>
  <c r="L8" i="7"/>
  <c r="N8" i="7"/>
  <c r="K8" i="7"/>
  <c r="E13" i="6" s="1"/>
  <c r="J8" i="7"/>
  <c r="I8" i="7"/>
  <c r="D13" i="6" s="1"/>
  <c r="H8" i="7"/>
  <c r="G8" i="7"/>
  <c r="F8" i="7"/>
  <c r="E8" i="7"/>
  <c r="U7" i="7"/>
  <c r="T7" i="7"/>
  <c r="R7" i="7"/>
  <c r="Q7" i="7"/>
  <c r="S7" i="7"/>
  <c r="P7" i="7"/>
  <c r="L7" i="7"/>
  <c r="M7" i="7" s="1"/>
  <c r="N7" i="7"/>
  <c r="K7" i="7"/>
  <c r="E72" i="6" s="1"/>
  <c r="J7" i="7"/>
  <c r="I7" i="7"/>
  <c r="D72" i="6" s="1"/>
  <c r="H7" i="7"/>
  <c r="G7" i="7"/>
  <c r="F7" i="7"/>
  <c r="E7" i="7"/>
  <c r="G6" i="7"/>
  <c r="A6" i="7"/>
  <c r="AF140" i="5"/>
  <c r="I155" i="5"/>
  <c r="I152" i="5"/>
  <c r="D155" i="5"/>
  <c r="D152" i="5"/>
  <c r="I24" i="5"/>
  <c r="I23" i="5"/>
  <c r="G23" i="5" s="1"/>
  <c r="I22" i="5"/>
  <c r="I21" i="5"/>
  <c r="I20" i="5"/>
  <c r="I19" i="5"/>
  <c r="I18" i="5"/>
  <c r="A136" i="5"/>
  <c r="L134" i="5"/>
  <c r="Q134" i="5" s="1"/>
  <c r="Z134" i="5"/>
  <c r="Y134" i="5"/>
  <c r="W134" i="5"/>
  <c r="L133" i="5"/>
  <c r="G133" i="5"/>
  <c r="E133" i="5"/>
  <c r="J132" i="5"/>
  <c r="E132" i="5"/>
  <c r="J131" i="5"/>
  <c r="E131" i="5"/>
  <c r="K130" i="5"/>
  <c r="J130" i="5"/>
  <c r="H130" i="5"/>
  <c r="G130" i="5"/>
  <c r="F130" i="5"/>
  <c r="K129" i="5"/>
  <c r="J129" i="5"/>
  <c r="H129" i="5"/>
  <c r="R129" i="5" s="1"/>
  <c r="G129" i="5"/>
  <c r="F129" i="5"/>
  <c r="K128" i="5"/>
  <c r="J128" i="5"/>
  <c r="H128" i="5"/>
  <c r="G128" i="5"/>
  <c r="F128" i="5"/>
  <c r="K127" i="5"/>
  <c r="J127" i="5"/>
  <c r="H127" i="5"/>
  <c r="G127" i="5"/>
  <c r="F127" i="5"/>
  <c r="C126" i="5"/>
  <c r="V125" i="5"/>
  <c r="K132" i="5" s="1"/>
  <c r="T125" i="5"/>
  <c r="K131" i="5" s="1"/>
  <c r="U125" i="5"/>
  <c r="H132" i="5" s="1"/>
  <c r="S125" i="5"/>
  <c r="H131" i="5" s="1"/>
  <c r="F125" i="5"/>
  <c r="E125" i="5"/>
  <c r="D125" i="5"/>
  <c r="I125" i="5"/>
  <c r="C125" i="5"/>
  <c r="B125" i="5"/>
  <c r="A125" i="5"/>
  <c r="Q124" i="5"/>
  <c r="L124" i="5"/>
  <c r="Z124" i="5"/>
  <c r="Y124" i="5"/>
  <c r="W124" i="5"/>
  <c r="L123" i="5"/>
  <c r="G123" i="5"/>
  <c r="E123" i="5"/>
  <c r="J122" i="5"/>
  <c r="E122" i="5"/>
  <c r="J121" i="5"/>
  <c r="E121" i="5"/>
  <c r="K120" i="5"/>
  <c r="J120" i="5"/>
  <c r="H120" i="5"/>
  <c r="G120" i="5"/>
  <c r="F120" i="5"/>
  <c r="K119" i="5"/>
  <c r="J119" i="5"/>
  <c r="H119" i="5"/>
  <c r="R119" i="5" s="1"/>
  <c r="G119" i="5"/>
  <c r="F119" i="5"/>
  <c r="K118" i="5"/>
  <c r="J118" i="5"/>
  <c r="H118" i="5"/>
  <c r="G118" i="5"/>
  <c r="F118" i="5"/>
  <c r="K117" i="5"/>
  <c r="J117" i="5"/>
  <c r="H117" i="5"/>
  <c r="R117" i="5" s="1"/>
  <c r="G117" i="5"/>
  <c r="F117" i="5"/>
  <c r="C116" i="5"/>
  <c r="V115" i="5"/>
  <c r="K122" i="5" s="1"/>
  <c r="T115" i="5"/>
  <c r="K121" i="5" s="1"/>
  <c r="U115" i="5"/>
  <c r="H122" i="5" s="1"/>
  <c r="S115" i="5"/>
  <c r="H121" i="5" s="1"/>
  <c r="F115" i="5"/>
  <c r="E115" i="5"/>
  <c r="D115" i="5"/>
  <c r="I115" i="5"/>
  <c r="C115" i="5"/>
  <c r="B115" i="5"/>
  <c r="A115" i="5"/>
  <c r="L114" i="5"/>
  <c r="Q114" i="5" s="1"/>
  <c r="Z114" i="5"/>
  <c r="Y114" i="5"/>
  <c r="X114" i="5"/>
  <c r="L113" i="5"/>
  <c r="G113" i="5"/>
  <c r="E113" i="5"/>
  <c r="J112" i="5"/>
  <c r="F112" i="5"/>
  <c r="E112" i="5"/>
  <c r="J111" i="5"/>
  <c r="F111" i="5"/>
  <c r="E111" i="5"/>
  <c r="K110" i="5"/>
  <c r="J110" i="5"/>
  <c r="H110" i="5"/>
  <c r="G110" i="5"/>
  <c r="F110" i="5"/>
  <c r="K109" i="5"/>
  <c r="J109" i="5"/>
  <c r="H109" i="5"/>
  <c r="R109" i="5" s="1"/>
  <c r="G109" i="5"/>
  <c r="F109" i="5"/>
  <c r="K108" i="5"/>
  <c r="J108" i="5"/>
  <c r="H108" i="5"/>
  <c r="G108" i="5"/>
  <c r="F108" i="5"/>
  <c r="K107" i="5"/>
  <c r="J107" i="5"/>
  <c r="H107" i="5"/>
  <c r="G107" i="5"/>
  <c r="F107" i="5"/>
  <c r="C106" i="5"/>
  <c r="V105" i="5"/>
  <c r="K112" i="5" s="1"/>
  <c r="T105" i="5"/>
  <c r="K111" i="5" s="1"/>
  <c r="U105" i="5"/>
  <c r="H112" i="5" s="1"/>
  <c r="S105" i="5"/>
  <c r="H111" i="5" s="1"/>
  <c r="F105" i="5"/>
  <c r="E105" i="5"/>
  <c r="D105" i="5"/>
  <c r="I105" i="5"/>
  <c r="C105" i="5"/>
  <c r="A105" i="5"/>
  <c r="Q104" i="5"/>
  <c r="L104" i="5"/>
  <c r="Z104" i="5"/>
  <c r="Y104" i="5"/>
  <c r="X104" i="5"/>
  <c r="L103" i="5"/>
  <c r="G103" i="5"/>
  <c r="E103" i="5"/>
  <c r="J102" i="5"/>
  <c r="F102" i="5"/>
  <c r="E102" i="5"/>
  <c r="J101" i="5"/>
  <c r="F101" i="5"/>
  <c r="E101" i="5"/>
  <c r="K100" i="5"/>
  <c r="J100" i="5"/>
  <c r="H100" i="5"/>
  <c r="G100" i="5"/>
  <c r="F100" i="5"/>
  <c r="K99" i="5"/>
  <c r="J99" i="5"/>
  <c r="R99" i="5"/>
  <c r="H99" i="5"/>
  <c r="G99" i="5"/>
  <c r="F99" i="5"/>
  <c r="C98" i="5"/>
  <c r="V97" i="5"/>
  <c r="K102" i="5" s="1"/>
  <c r="T97" i="5"/>
  <c r="K101" i="5" s="1"/>
  <c r="U97" i="5"/>
  <c r="H102" i="5" s="1"/>
  <c r="S97" i="5"/>
  <c r="H101" i="5" s="1"/>
  <c r="F97" i="5"/>
  <c r="E97" i="5"/>
  <c r="D97" i="5"/>
  <c r="I97" i="5"/>
  <c r="C97" i="5"/>
  <c r="B97" i="5"/>
  <c r="A97" i="5"/>
  <c r="Q96" i="5"/>
  <c r="L96" i="5"/>
  <c r="Z96" i="5"/>
  <c r="Y96" i="5"/>
  <c r="W96" i="5"/>
  <c r="L95" i="5"/>
  <c r="G95" i="5"/>
  <c r="E95" i="5"/>
  <c r="J94" i="5"/>
  <c r="E94" i="5"/>
  <c r="J93" i="5"/>
  <c r="E93" i="5"/>
  <c r="K92" i="5"/>
  <c r="J92" i="5"/>
  <c r="H92" i="5"/>
  <c r="G92" i="5"/>
  <c r="F92" i="5"/>
  <c r="K91" i="5"/>
  <c r="J91" i="5"/>
  <c r="R91" i="5"/>
  <c r="H91" i="5"/>
  <c r="G91" i="5"/>
  <c r="F91" i="5"/>
  <c r="K90" i="5"/>
  <c r="J90" i="5"/>
  <c r="H90" i="5"/>
  <c r="G90" i="5"/>
  <c r="F90" i="5"/>
  <c r="K89" i="5"/>
  <c r="J89" i="5"/>
  <c r="H89" i="5"/>
  <c r="G89" i="5"/>
  <c r="F89" i="5"/>
  <c r="C88" i="5"/>
  <c r="V87" i="5"/>
  <c r="K94" i="5" s="1"/>
  <c r="T87" i="5"/>
  <c r="K93" i="5" s="1"/>
  <c r="U87" i="5"/>
  <c r="H94" i="5" s="1"/>
  <c r="S87" i="5"/>
  <c r="H93" i="5" s="1"/>
  <c r="F87" i="5"/>
  <c r="E87" i="5"/>
  <c r="D87" i="5"/>
  <c r="I87" i="5"/>
  <c r="C87" i="5"/>
  <c r="B87" i="5"/>
  <c r="A87" i="5"/>
  <c r="L86" i="5"/>
  <c r="Q86" i="5" s="1"/>
  <c r="Z86" i="5"/>
  <c r="Y86" i="5"/>
  <c r="W86" i="5"/>
  <c r="L85" i="5"/>
  <c r="G85" i="5"/>
  <c r="E85" i="5"/>
  <c r="J84" i="5"/>
  <c r="E84" i="5"/>
  <c r="J83" i="5"/>
  <c r="E83" i="5"/>
  <c r="K82" i="5"/>
  <c r="J82" i="5"/>
  <c r="H82" i="5"/>
  <c r="G82" i="5"/>
  <c r="F82" i="5"/>
  <c r="K81" i="5"/>
  <c r="J81" i="5"/>
  <c r="H81" i="5"/>
  <c r="R81" i="5" s="1"/>
  <c r="G81" i="5"/>
  <c r="F81" i="5"/>
  <c r="K80" i="5"/>
  <c r="J80" i="5"/>
  <c r="H80" i="5"/>
  <c r="G80" i="5"/>
  <c r="F80" i="5"/>
  <c r="K79" i="5"/>
  <c r="J79" i="5"/>
  <c r="H79" i="5"/>
  <c r="R79" i="5" s="1"/>
  <c r="G79" i="5"/>
  <c r="F79" i="5"/>
  <c r="V78" i="5"/>
  <c r="K84" i="5" s="1"/>
  <c r="T78" i="5"/>
  <c r="K83" i="5" s="1"/>
  <c r="U78" i="5"/>
  <c r="H84" i="5" s="1"/>
  <c r="S78" i="5"/>
  <c r="H83" i="5" s="1"/>
  <c r="F78" i="5"/>
  <c r="E78" i="5"/>
  <c r="D78" i="5"/>
  <c r="I78" i="5"/>
  <c r="C78" i="5"/>
  <c r="B78" i="5"/>
  <c r="A78" i="5"/>
  <c r="L77" i="5"/>
  <c r="Q77" i="5" s="1"/>
  <c r="Z77" i="5"/>
  <c r="Y77" i="5"/>
  <c r="W77" i="5"/>
  <c r="L76" i="5"/>
  <c r="G76" i="5"/>
  <c r="E76" i="5"/>
  <c r="J75" i="5"/>
  <c r="E75" i="5"/>
  <c r="J74" i="5"/>
  <c r="E74" i="5"/>
  <c r="K73" i="5"/>
  <c r="J73" i="5"/>
  <c r="H73" i="5"/>
  <c r="G73" i="5"/>
  <c r="F73" i="5"/>
  <c r="K72" i="5"/>
  <c r="J72" i="5"/>
  <c r="H72" i="5"/>
  <c r="R72" i="5" s="1"/>
  <c r="G72" i="5"/>
  <c r="F72" i="5"/>
  <c r="K71" i="5"/>
  <c r="J71" i="5"/>
  <c r="H71" i="5"/>
  <c r="G71" i="5"/>
  <c r="F71" i="5"/>
  <c r="K70" i="5"/>
  <c r="J70" i="5"/>
  <c r="H70" i="5"/>
  <c r="R70" i="5" s="1"/>
  <c r="G70" i="5"/>
  <c r="F70" i="5"/>
  <c r="C69" i="5"/>
  <c r="V68" i="5"/>
  <c r="K75" i="5" s="1"/>
  <c r="T68" i="5"/>
  <c r="K74" i="5" s="1"/>
  <c r="U68" i="5"/>
  <c r="H75" i="5" s="1"/>
  <c r="S68" i="5"/>
  <c r="H74" i="5" s="1"/>
  <c r="F68" i="5"/>
  <c r="E68" i="5"/>
  <c r="D68" i="5"/>
  <c r="I68" i="5"/>
  <c r="C68" i="5"/>
  <c r="B68" i="5"/>
  <c r="A68" i="5"/>
  <c r="L67" i="5"/>
  <c r="Q67" i="5" s="1"/>
  <c r="Z67" i="5"/>
  <c r="Y67" i="5"/>
  <c r="W67" i="5"/>
  <c r="L66" i="5"/>
  <c r="G66" i="5"/>
  <c r="E66" i="5"/>
  <c r="J65" i="5"/>
  <c r="E65" i="5"/>
  <c r="J64" i="5"/>
  <c r="E64" i="5"/>
  <c r="K63" i="5"/>
  <c r="J63" i="5"/>
  <c r="H63" i="5"/>
  <c r="G63" i="5"/>
  <c r="F63" i="5"/>
  <c r="K62" i="5"/>
  <c r="J62" i="5"/>
  <c r="H62" i="5"/>
  <c r="R62" i="5" s="1"/>
  <c r="G62" i="5"/>
  <c r="F62" i="5"/>
  <c r="K61" i="5"/>
  <c r="J61" i="5"/>
  <c r="H61" i="5"/>
  <c r="G61" i="5"/>
  <c r="F61" i="5"/>
  <c r="K60" i="5"/>
  <c r="J60" i="5"/>
  <c r="H60" i="5"/>
  <c r="G60" i="5"/>
  <c r="F60" i="5"/>
  <c r="C59" i="5"/>
  <c r="V58" i="5"/>
  <c r="K65" i="5" s="1"/>
  <c r="T58" i="5"/>
  <c r="K64" i="5" s="1"/>
  <c r="U58" i="5"/>
  <c r="H65" i="5" s="1"/>
  <c r="S58" i="5"/>
  <c r="H64" i="5" s="1"/>
  <c r="F58" i="5"/>
  <c r="E58" i="5"/>
  <c r="D58" i="5"/>
  <c r="I58" i="5"/>
  <c r="C58" i="5"/>
  <c r="B58" i="5"/>
  <c r="A58" i="5"/>
  <c r="L57" i="5"/>
  <c r="Q57" i="5" s="1"/>
  <c r="Z57" i="5"/>
  <c r="Y57" i="5"/>
  <c r="W57" i="5"/>
  <c r="L56" i="5"/>
  <c r="G56" i="5"/>
  <c r="E56" i="5"/>
  <c r="J55" i="5"/>
  <c r="E55" i="5"/>
  <c r="J54" i="5"/>
  <c r="E54" i="5"/>
  <c r="K53" i="5"/>
  <c r="J53" i="5"/>
  <c r="H53" i="5"/>
  <c r="G53" i="5"/>
  <c r="F53" i="5"/>
  <c r="K52" i="5"/>
  <c r="J52" i="5"/>
  <c r="H52" i="5"/>
  <c r="R52" i="5" s="1"/>
  <c r="G52" i="5"/>
  <c r="F52" i="5"/>
  <c r="K51" i="5"/>
  <c r="J51" i="5"/>
  <c r="H51" i="5"/>
  <c r="G51" i="5"/>
  <c r="F51" i="5"/>
  <c r="K50" i="5"/>
  <c r="J50" i="5"/>
  <c r="H50" i="5"/>
  <c r="R50" i="5" s="1"/>
  <c r="G50" i="5"/>
  <c r="F50" i="5"/>
  <c r="V49" i="5"/>
  <c r="K55" i="5" s="1"/>
  <c r="T49" i="5"/>
  <c r="K54" i="5" s="1"/>
  <c r="U49" i="5"/>
  <c r="H55" i="5" s="1"/>
  <c r="S49" i="5"/>
  <c r="H54" i="5" s="1"/>
  <c r="F49" i="5"/>
  <c r="E49" i="5"/>
  <c r="D49" i="5"/>
  <c r="I49" i="5"/>
  <c r="C49" i="5"/>
  <c r="B49" i="5"/>
  <c r="A49" i="5"/>
  <c r="L48" i="5"/>
  <c r="Q48" i="5" s="1"/>
  <c r="Z48" i="5"/>
  <c r="Y48" i="5"/>
  <c r="W48" i="5"/>
  <c r="L47" i="5"/>
  <c r="G47" i="5"/>
  <c r="E47" i="5"/>
  <c r="J46" i="5"/>
  <c r="E46" i="5"/>
  <c r="J45" i="5"/>
  <c r="E45" i="5"/>
  <c r="K44" i="5"/>
  <c r="J44" i="5"/>
  <c r="H44" i="5"/>
  <c r="G44" i="5"/>
  <c r="F44" i="5"/>
  <c r="K43" i="5"/>
  <c r="J43" i="5"/>
  <c r="H43" i="5"/>
  <c r="G43" i="5"/>
  <c r="F43" i="5"/>
  <c r="V42" i="5"/>
  <c r="K46" i="5" s="1"/>
  <c r="T42" i="5"/>
  <c r="K45" i="5" s="1"/>
  <c r="U42" i="5"/>
  <c r="H46" i="5" s="1"/>
  <c r="S42" i="5"/>
  <c r="H45" i="5" s="1"/>
  <c r="F42" i="5"/>
  <c r="E42" i="5"/>
  <c r="D42" i="5"/>
  <c r="I42" i="5"/>
  <c r="C42" i="5"/>
  <c r="B42" i="5"/>
  <c r="A42" i="5"/>
  <c r="L41" i="5"/>
  <c r="Q41" i="5" s="1"/>
  <c r="Z41" i="5"/>
  <c r="Y41" i="5"/>
  <c r="W41" i="5"/>
  <c r="L40" i="5"/>
  <c r="G40" i="5"/>
  <c r="E40" i="5"/>
  <c r="J39" i="5"/>
  <c r="E39" i="5"/>
  <c r="J38" i="5"/>
  <c r="E38" i="5"/>
  <c r="K37" i="5"/>
  <c r="J37" i="5"/>
  <c r="H37" i="5"/>
  <c r="G37" i="5"/>
  <c r="F37" i="5"/>
  <c r="K36" i="5"/>
  <c r="J36" i="5"/>
  <c r="H36" i="5"/>
  <c r="R36" i="5" s="1"/>
  <c r="G36" i="5"/>
  <c r="F36" i="5"/>
  <c r="V35" i="5"/>
  <c r="K39" i="5" s="1"/>
  <c r="T35" i="5"/>
  <c r="K38" i="5" s="1"/>
  <c r="U35" i="5"/>
  <c r="H39" i="5" s="1"/>
  <c r="S35" i="5"/>
  <c r="H38" i="5" s="1"/>
  <c r="F35" i="5"/>
  <c r="E35" i="5"/>
  <c r="D35" i="5"/>
  <c r="I35" i="5"/>
  <c r="C35" i="5"/>
  <c r="B35" i="5"/>
  <c r="A35" i="5"/>
  <c r="A34" i="5"/>
  <c r="A14" i="5"/>
  <c r="B7" i="5"/>
  <c r="H5" i="5"/>
  <c r="A1" i="5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" i="3"/>
  <c r="CY1" i="3"/>
  <c r="CZ1" i="3"/>
  <c r="DA1" i="3"/>
  <c r="DB1" i="3"/>
  <c r="DC1" i="3"/>
  <c r="A2" i="3"/>
  <c r="CY2" i="3"/>
  <c r="CZ2" i="3"/>
  <c r="DA2" i="3"/>
  <c r="DB2" i="3"/>
  <c r="DC2" i="3"/>
  <c r="A3" i="3"/>
  <c r="CY3" i="3"/>
  <c r="CZ3" i="3"/>
  <c r="DA3" i="3"/>
  <c r="DB3" i="3"/>
  <c r="DC3" i="3"/>
  <c r="A4" i="3"/>
  <c r="CY4" i="3"/>
  <c r="CZ4" i="3"/>
  <c r="DA4" i="3"/>
  <c r="DB4" i="3"/>
  <c r="DC4" i="3"/>
  <c r="A5" i="3"/>
  <c r="CY5" i="3"/>
  <c r="CZ5" i="3"/>
  <c r="DB5" i="3" s="1"/>
  <c r="DA5" i="3"/>
  <c r="DC5" i="3"/>
  <c r="A6" i="3"/>
  <c r="CY6" i="3"/>
  <c r="CZ6" i="3"/>
  <c r="DB6" i="3" s="1"/>
  <c r="DA6" i="3"/>
  <c r="DC6" i="3"/>
  <c r="A7" i="3"/>
  <c r="CY7" i="3"/>
  <c r="CZ7" i="3"/>
  <c r="DA7" i="3"/>
  <c r="DB7" i="3"/>
  <c r="DC7" i="3"/>
  <c r="A8" i="3"/>
  <c r="CY8" i="3"/>
  <c r="CZ8" i="3"/>
  <c r="DA8" i="3"/>
  <c r="DB8" i="3"/>
  <c r="DC8" i="3"/>
  <c r="A9" i="3"/>
  <c r="CY9" i="3"/>
  <c r="CZ9" i="3"/>
  <c r="DB9" i="3" s="1"/>
  <c r="DA9" i="3"/>
  <c r="DC9" i="3"/>
  <c r="A10" i="3"/>
  <c r="CY10" i="3"/>
  <c r="CZ10" i="3"/>
  <c r="DB10" i="3" s="1"/>
  <c r="DA10" i="3"/>
  <c r="DC10" i="3"/>
  <c r="A11" i="3"/>
  <c r="CY11" i="3"/>
  <c r="CZ11" i="3"/>
  <c r="DA11" i="3"/>
  <c r="DB11" i="3"/>
  <c r="DC11" i="3"/>
  <c r="A12" i="3"/>
  <c r="CY12" i="3"/>
  <c r="CZ12" i="3"/>
  <c r="DA12" i="3"/>
  <c r="DB12" i="3"/>
  <c r="DC12" i="3"/>
  <c r="A13" i="3"/>
  <c r="CY13" i="3"/>
  <c r="CZ13" i="3"/>
  <c r="DB13" i="3" s="1"/>
  <c r="DA13" i="3"/>
  <c r="DC13" i="3"/>
  <c r="A14" i="3"/>
  <c r="CY14" i="3"/>
  <c r="CZ14" i="3"/>
  <c r="DB14" i="3" s="1"/>
  <c r="DA14" i="3"/>
  <c r="DC14" i="3"/>
  <c r="A15" i="3"/>
  <c r="CY15" i="3"/>
  <c r="CZ15" i="3"/>
  <c r="DA15" i="3"/>
  <c r="DB15" i="3"/>
  <c r="DC15" i="3"/>
  <c r="A16" i="3"/>
  <c r="CY16" i="3"/>
  <c r="CZ16" i="3"/>
  <c r="DA16" i="3"/>
  <c r="DB16" i="3"/>
  <c r="DC16" i="3"/>
  <c r="A17" i="3"/>
  <c r="CY17" i="3"/>
  <c r="CZ17" i="3"/>
  <c r="DB17" i="3" s="1"/>
  <c r="DA17" i="3"/>
  <c r="DC17" i="3"/>
  <c r="A18" i="3"/>
  <c r="CY18" i="3"/>
  <c r="CZ18" i="3"/>
  <c r="DB18" i="3" s="1"/>
  <c r="DA18" i="3"/>
  <c r="DC18" i="3"/>
  <c r="A19" i="3"/>
  <c r="CY19" i="3"/>
  <c r="CZ19" i="3"/>
  <c r="DA19" i="3"/>
  <c r="DB19" i="3"/>
  <c r="DC19" i="3"/>
  <c r="A20" i="3"/>
  <c r="CY20" i="3"/>
  <c r="CZ20" i="3"/>
  <c r="DA20" i="3"/>
  <c r="DB20" i="3"/>
  <c r="DC20" i="3"/>
  <c r="A21" i="3"/>
  <c r="CY21" i="3"/>
  <c r="CZ21" i="3"/>
  <c r="DB21" i="3" s="1"/>
  <c r="DA21" i="3"/>
  <c r="DC21" i="3"/>
  <c r="A22" i="3"/>
  <c r="CY22" i="3"/>
  <c r="CZ22" i="3"/>
  <c r="DB22" i="3" s="1"/>
  <c r="DA22" i="3"/>
  <c r="DC22" i="3"/>
  <c r="A23" i="3"/>
  <c r="CY23" i="3"/>
  <c r="CZ23" i="3"/>
  <c r="DA23" i="3"/>
  <c r="DB23" i="3"/>
  <c r="DC23" i="3"/>
  <c r="A24" i="3"/>
  <c r="CY24" i="3"/>
  <c r="CZ24" i="3"/>
  <c r="DA24" i="3"/>
  <c r="DB24" i="3"/>
  <c r="DC24" i="3"/>
  <c r="A25" i="3"/>
  <c r="CY25" i="3"/>
  <c r="CZ25" i="3"/>
  <c r="DB25" i="3" s="1"/>
  <c r="DA25" i="3"/>
  <c r="DC25" i="3"/>
  <c r="A26" i="3"/>
  <c r="CY26" i="3"/>
  <c r="CZ26" i="3"/>
  <c r="DB26" i="3" s="1"/>
  <c r="DA26" i="3"/>
  <c r="DC26" i="3"/>
  <c r="A27" i="3"/>
  <c r="CY27" i="3"/>
  <c r="CZ27" i="3"/>
  <c r="DA27" i="3"/>
  <c r="DB27" i="3"/>
  <c r="DC27" i="3"/>
  <c r="A28" i="3"/>
  <c r="CY28" i="3"/>
  <c r="CZ28" i="3"/>
  <c r="DA28" i="3"/>
  <c r="DB28" i="3"/>
  <c r="DC28" i="3"/>
  <c r="A29" i="3"/>
  <c r="CY29" i="3"/>
  <c r="CZ29" i="3"/>
  <c r="DB29" i="3" s="1"/>
  <c r="DA29" i="3"/>
  <c r="DC29" i="3"/>
  <c r="A30" i="3"/>
  <c r="CY30" i="3"/>
  <c r="CZ30" i="3"/>
  <c r="DB30" i="3" s="1"/>
  <c r="DA30" i="3"/>
  <c r="DC30" i="3"/>
  <c r="A31" i="3"/>
  <c r="CY31" i="3"/>
  <c r="CZ31" i="3"/>
  <c r="DA31" i="3"/>
  <c r="DB31" i="3"/>
  <c r="DC31" i="3"/>
  <c r="A32" i="3"/>
  <c r="CY32" i="3"/>
  <c r="CZ32" i="3"/>
  <c r="DA32" i="3"/>
  <c r="DB32" i="3"/>
  <c r="DC32" i="3"/>
  <c r="A33" i="3"/>
  <c r="CY33" i="3"/>
  <c r="CZ33" i="3"/>
  <c r="DB33" i="3" s="1"/>
  <c r="DA33" i="3"/>
  <c r="DC33" i="3"/>
  <c r="A34" i="3"/>
  <c r="CY34" i="3"/>
  <c r="CZ34" i="3"/>
  <c r="DB34" i="3" s="1"/>
  <c r="DA34" i="3"/>
  <c r="DC34" i="3"/>
  <c r="A35" i="3"/>
  <c r="CY35" i="3"/>
  <c r="CZ35" i="3"/>
  <c r="DA35" i="3"/>
  <c r="DB35" i="3"/>
  <c r="DC35" i="3"/>
  <c r="A36" i="3"/>
  <c r="CY36" i="3"/>
  <c r="CZ36" i="3"/>
  <c r="DA36" i="3"/>
  <c r="DB36" i="3"/>
  <c r="DC36" i="3"/>
  <c r="A37" i="3"/>
  <c r="CY37" i="3"/>
  <c r="CZ37" i="3"/>
  <c r="DB37" i="3" s="1"/>
  <c r="DA37" i="3"/>
  <c r="DC37" i="3"/>
  <c r="A38" i="3"/>
  <c r="CY38" i="3"/>
  <c r="CZ38" i="3"/>
  <c r="DB38" i="3" s="1"/>
  <c r="DA38" i="3"/>
  <c r="DC38" i="3"/>
  <c r="A39" i="3"/>
  <c r="CY39" i="3"/>
  <c r="CZ39" i="3"/>
  <c r="DA39" i="3"/>
  <c r="DB39" i="3"/>
  <c r="DC39" i="3"/>
  <c r="A40" i="3"/>
  <c r="CY40" i="3"/>
  <c r="CZ40" i="3"/>
  <c r="DA40" i="3"/>
  <c r="DB40" i="3"/>
  <c r="DC40" i="3"/>
  <c r="A41" i="3"/>
  <c r="CY41" i="3"/>
  <c r="CZ41" i="3"/>
  <c r="DB41" i="3" s="1"/>
  <c r="DA41" i="3"/>
  <c r="DC41" i="3"/>
  <c r="A42" i="3"/>
  <c r="CY42" i="3"/>
  <c r="CZ42" i="3"/>
  <c r="DB42" i="3" s="1"/>
  <c r="DA42" i="3"/>
  <c r="DC42" i="3"/>
  <c r="A43" i="3"/>
  <c r="CY43" i="3"/>
  <c r="CZ43" i="3"/>
  <c r="DA43" i="3"/>
  <c r="DB43" i="3"/>
  <c r="DC43" i="3"/>
  <c r="A44" i="3"/>
  <c r="CY44" i="3"/>
  <c r="CZ44" i="3"/>
  <c r="DA44" i="3"/>
  <c r="DB44" i="3"/>
  <c r="DC44" i="3"/>
  <c r="A45" i="3"/>
  <c r="CY45" i="3"/>
  <c r="CZ45" i="3"/>
  <c r="DB45" i="3" s="1"/>
  <c r="DA45" i="3"/>
  <c r="DC45" i="3"/>
  <c r="A46" i="3"/>
  <c r="CY46" i="3"/>
  <c r="CZ46" i="3"/>
  <c r="DB46" i="3" s="1"/>
  <c r="DA46" i="3"/>
  <c r="DC46" i="3"/>
  <c r="A47" i="3"/>
  <c r="CY47" i="3"/>
  <c r="CZ47" i="3"/>
  <c r="DA47" i="3"/>
  <c r="DB47" i="3"/>
  <c r="DC47" i="3"/>
  <c r="A48" i="3"/>
  <c r="CY48" i="3"/>
  <c r="CZ48" i="3"/>
  <c r="DA48" i="3"/>
  <c r="DB48" i="3"/>
  <c r="DC48" i="3"/>
  <c r="A49" i="3"/>
  <c r="CY49" i="3"/>
  <c r="CZ49" i="3"/>
  <c r="DB49" i="3" s="1"/>
  <c r="DA49" i="3"/>
  <c r="DC49" i="3"/>
  <c r="A50" i="3"/>
  <c r="CY50" i="3"/>
  <c r="CZ50" i="3"/>
  <c r="DB50" i="3" s="1"/>
  <c r="DA50" i="3"/>
  <c r="DC50" i="3"/>
  <c r="A51" i="3"/>
  <c r="CY51" i="3"/>
  <c r="CZ51" i="3"/>
  <c r="DA51" i="3"/>
  <c r="DB51" i="3"/>
  <c r="DC51" i="3"/>
  <c r="A52" i="3"/>
  <c r="CY52" i="3"/>
  <c r="CZ52" i="3"/>
  <c r="DA52" i="3"/>
  <c r="DB52" i="3"/>
  <c r="DC52" i="3"/>
  <c r="A53" i="3"/>
  <c r="CY53" i="3"/>
  <c r="CZ53" i="3"/>
  <c r="DB53" i="3" s="1"/>
  <c r="DA53" i="3"/>
  <c r="DC53" i="3"/>
  <c r="A54" i="3"/>
  <c r="CY54" i="3"/>
  <c r="CZ54" i="3"/>
  <c r="DB54" i="3" s="1"/>
  <c r="DA54" i="3"/>
  <c r="DC54" i="3"/>
  <c r="A55" i="3"/>
  <c r="CY55" i="3"/>
  <c r="CZ55" i="3"/>
  <c r="DA55" i="3"/>
  <c r="DB55" i="3"/>
  <c r="DC55" i="3"/>
  <c r="A56" i="3"/>
  <c r="CY56" i="3"/>
  <c r="CZ56" i="3"/>
  <c r="DA56" i="3"/>
  <c r="DB56" i="3"/>
  <c r="DC56" i="3"/>
  <c r="A57" i="3"/>
  <c r="CY57" i="3"/>
  <c r="CZ57" i="3"/>
  <c r="DB57" i="3" s="1"/>
  <c r="DA57" i="3"/>
  <c r="DC57" i="3"/>
  <c r="A58" i="3"/>
  <c r="CY58" i="3"/>
  <c r="CZ58" i="3"/>
  <c r="DB58" i="3" s="1"/>
  <c r="DA58" i="3"/>
  <c r="DC58" i="3"/>
  <c r="A59" i="3"/>
  <c r="CY59" i="3"/>
  <c r="CZ59" i="3"/>
  <c r="DA59" i="3"/>
  <c r="DB59" i="3"/>
  <c r="DC59" i="3"/>
  <c r="A60" i="3"/>
  <c r="CY60" i="3"/>
  <c r="CZ60" i="3"/>
  <c r="DA60" i="3"/>
  <c r="DB60" i="3"/>
  <c r="DC60" i="3"/>
  <c r="A61" i="3"/>
  <c r="CY61" i="3"/>
  <c r="CZ61" i="3"/>
  <c r="DB61" i="3" s="1"/>
  <c r="DA61" i="3"/>
  <c r="DC61" i="3"/>
  <c r="A62" i="3"/>
  <c r="CY62" i="3"/>
  <c r="CZ62" i="3"/>
  <c r="DB62" i="3" s="1"/>
  <c r="DA62" i="3"/>
  <c r="DC62" i="3"/>
  <c r="A63" i="3"/>
  <c r="CY63" i="3"/>
  <c r="CZ63" i="3"/>
  <c r="DA63" i="3"/>
  <c r="DB63" i="3"/>
  <c r="DC63" i="3"/>
  <c r="A64" i="3"/>
  <c r="CY64" i="3"/>
  <c r="CZ64" i="3"/>
  <c r="DA64" i="3"/>
  <c r="DB64" i="3"/>
  <c r="DC64" i="3"/>
  <c r="A65" i="3"/>
  <c r="CY65" i="3"/>
  <c r="CZ65" i="3"/>
  <c r="DB65" i="3" s="1"/>
  <c r="DA65" i="3"/>
  <c r="DC65" i="3"/>
  <c r="A66" i="3"/>
  <c r="CY66" i="3"/>
  <c r="CZ66" i="3"/>
  <c r="DB66" i="3" s="1"/>
  <c r="DA66" i="3"/>
  <c r="DC66" i="3"/>
  <c r="A67" i="3"/>
  <c r="CY67" i="3"/>
  <c r="CZ67" i="3"/>
  <c r="DA67" i="3"/>
  <c r="DB67" i="3"/>
  <c r="DC67" i="3"/>
  <c r="A68" i="3"/>
  <c r="CY68" i="3"/>
  <c r="CZ68" i="3"/>
  <c r="DA68" i="3"/>
  <c r="DB68" i="3"/>
  <c r="DC68" i="3"/>
  <c r="A69" i="3"/>
  <c r="CY69" i="3"/>
  <c r="CZ69" i="3"/>
  <c r="DB69" i="3" s="1"/>
  <c r="DA69" i="3"/>
  <c r="DC69" i="3"/>
  <c r="A70" i="3"/>
  <c r="CY70" i="3"/>
  <c r="CZ70" i="3"/>
  <c r="DB70" i="3" s="1"/>
  <c r="DA70" i="3"/>
  <c r="DC70" i="3"/>
  <c r="A71" i="3"/>
  <c r="CY71" i="3"/>
  <c r="CZ71" i="3"/>
  <c r="DA71" i="3"/>
  <c r="DB71" i="3"/>
  <c r="DC71" i="3"/>
  <c r="A72" i="3"/>
  <c r="CY72" i="3"/>
  <c r="CZ72" i="3"/>
  <c r="DA72" i="3"/>
  <c r="DB72" i="3"/>
  <c r="DC72" i="3"/>
  <c r="A73" i="3"/>
  <c r="CY73" i="3"/>
  <c r="CZ73" i="3"/>
  <c r="DB73" i="3" s="1"/>
  <c r="DA73" i="3"/>
  <c r="DC73" i="3"/>
  <c r="A74" i="3"/>
  <c r="CY74" i="3"/>
  <c r="CZ74" i="3"/>
  <c r="DB74" i="3" s="1"/>
  <c r="DA74" i="3"/>
  <c r="DC74" i="3"/>
  <c r="A75" i="3"/>
  <c r="CY75" i="3"/>
  <c r="CZ75" i="3"/>
  <c r="DA75" i="3"/>
  <c r="DB75" i="3"/>
  <c r="DC75" i="3"/>
  <c r="A76" i="3"/>
  <c r="CY76" i="3"/>
  <c r="CZ76" i="3"/>
  <c r="DA76" i="3"/>
  <c r="DB76" i="3"/>
  <c r="DC76" i="3"/>
  <c r="A77" i="3"/>
  <c r="CY77" i="3"/>
  <c r="CZ77" i="3"/>
  <c r="DB77" i="3" s="1"/>
  <c r="DA77" i="3"/>
  <c r="DC77" i="3"/>
  <c r="A78" i="3"/>
  <c r="CY78" i="3"/>
  <c r="CZ78" i="3"/>
  <c r="DB78" i="3" s="1"/>
  <c r="DA78" i="3"/>
  <c r="DC78" i="3"/>
  <c r="A79" i="3"/>
  <c r="CY79" i="3"/>
  <c r="CZ79" i="3"/>
  <c r="DA79" i="3"/>
  <c r="DB79" i="3"/>
  <c r="DC79" i="3"/>
  <c r="A80" i="3"/>
  <c r="CY80" i="3"/>
  <c r="CZ80" i="3"/>
  <c r="DA80" i="3"/>
  <c r="DB80" i="3"/>
  <c r="DC80" i="3"/>
  <c r="A81" i="3"/>
  <c r="CY81" i="3"/>
  <c r="CZ81" i="3"/>
  <c r="DB81" i="3" s="1"/>
  <c r="DA81" i="3"/>
  <c r="DC81" i="3"/>
  <c r="A82" i="3"/>
  <c r="CY82" i="3"/>
  <c r="CZ82" i="3"/>
  <c r="DB82" i="3" s="1"/>
  <c r="DA82" i="3"/>
  <c r="DC82" i="3"/>
  <c r="A83" i="3"/>
  <c r="CY83" i="3"/>
  <c r="CZ83" i="3"/>
  <c r="DA83" i="3"/>
  <c r="DB83" i="3"/>
  <c r="DC83" i="3"/>
  <c r="A84" i="3"/>
  <c r="CY84" i="3"/>
  <c r="CZ84" i="3"/>
  <c r="DA84" i="3"/>
  <c r="DB84" i="3"/>
  <c r="DC84" i="3"/>
  <c r="A85" i="3"/>
  <c r="CY85" i="3"/>
  <c r="CZ85" i="3"/>
  <c r="DB85" i="3" s="1"/>
  <c r="DA85" i="3"/>
  <c r="DC85" i="3"/>
  <c r="A86" i="3"/>
  <c r="CY86" i="3"/>
  <c r="CZ86" i="3"/>
  <c r="DB86" i="3" s="1"/>
  <c r="DA86" i="3"/>
  <c r="DC86" i="3"/>
  <c r="A87" i="3"/>
  <c r="CY87" i="3"/>
  <c r="CZ87" i="3"/>
  <c r="DA87" i="3"/>
  <c r="DB87" i="3"/>
  <c r="DC87" i="3"/>
  <c r="A88" i="3"/>
  <c r="CY88" i="3"/>
  <c r="CZ88" i="3"/>
  <c r="DA88" i="3"/>
  <c r="DB88" i="3"/>
  <c r="DC88" i="3"/>
  <c r="A89" i="3"/>
  <c r="CY89" i="3"/>
  <c r="CZ89" i="3"/>
  <c r="DB89" i="3" s="1"/>
  <c r="DA89" i="3"/>
  <c r="DC89" i="3"/>
  <c r="A90" i="3"/>
  <c r="CY90" i="3"/>
  <c r="CZ90" i="3"/>
  <c r="DB90" i="3" s="1"/>
  <c r="DA90" i="3"/>
  <c r="DC90" i="3"/>
  <c r="A91" i="3"/>
  <c r="CY91" i="3"/>
  <c r="CZ91" i="3"/>
  <c r="DA91" i="3"/>
  <c r="DB91" i="3"/>
  <c r="DC91" i="3"/>
  <c r="A92" i="3"/>
  <c r="CY92" i="3"/>
  <c r="CZ92" i="3"/>
  <c r="DA92" i="3"/>
  <c r="DB92" i="3"/>
  <c r="DC92" i="3"/>
  <c r="A93" i="3"/>
  <c r="CY93" i="3"/>
  <c r="CZ93" i="3"/>
  <c r="DB93" i="3" s="1"/>
  <c r="DA93" i="3"/>
  <c r="DC93" i="3"/>
  <c r="A94" i="3"/>
  <c r="CY94" i="3"/>
  <c r="CZ94" i="3"/>
  <c r="DB94" i="3" s="1"/>
  <c r="DA94" i="3"/>
  <c r="DC94" i="3"/>
  <c r="A95" i="3"/>
  <c r="CY95" i="3"/>
  <c r="CZ95" i="3"/>
  <c r="DA95" i="3"/>
  <c r="DB95" i="3"/>
  <c r="DC95" i="3"/>
  <c r="A96" i="3"/>
  <c r="CY96" i="3"/>
  <c r="CZ96" i="3"/>
  <c r="DA96" i="3"/>
  <c r="DB96" i="3"/>
  <c r="DC9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I24" i="1"/>
  <c r="CX2" i="3" s="1"/>
  <c r="K24" i="1"/>
  <c r="AC24" i="1"/>
  <c r="CQ24" i="1" s="1"/>
  <c r="P24" i="1" s="1"/>
  <c r="AD24" i="1"/>
  <c r="CR24" i="1" s="1"/>
  <c r="Q24" i="1" s="1"/>
  <c r="AE24" i="1"/>
  <c r="CS24" i="1" s="1"/>
  <c r="R24" i="1" s="1"/>
  <c r="AF24" i="1"/>
  <c r="AG24" i="1"/>
  <c r="CU24" i="1" s="1"/>
  <c r="T24" i="1" s="1"/>
  <c r="AH24" i="1"/>
  <c r="CV24" i="1" s="1"/>
  <c r="U24" i="1" s="1"/>
  <c r="AI24" i="1"/>
  <c r="CW24" i="1" s="1"/>
  <c r="V24" i="1" s="1"/>
  <c r="AJ24" i="1"/>
  <c r="CT24" i="1"/>
  <c r="S24" i="1" s="1"/>
  <c r="CX24" i="1"/>
  <c r="W24" i="1" s="1"/>
  <c r="FR24" i="1"/>
  <c r="GL24" i="1"/>
  <c r="GN24" i="1"/>
  <c r="GP24" i="1"/>
  <c r="GV24" i="1"/>
  <c r="HC24" i="1"/>
  <c r="GX24" i="1" s="1"/>
  <c r="I25" i="1"/>
  <c r="K25" i="1"/>
  <c r="AC25" i="1"/>
  <c r="AE25" i="1"/>
  <c r="AF25" i="1"/>
  <c r="AG25" i="1"/>
  <c r="AH25" i="1"/>
  <c r="AI25" i="1"/>
  <c r="CW25" i="1" s="1"/>
  <c r="V25" i="1" s="1"/>
  <c r="AJ25" i="1"/>
  <c r="CQ25" i="1"/>
  <c r="P25" i="1" s="1"/>
  <c r="CT25" i="1"/>
  <c r="S25" i="1" s="1"/>
  <c r="CU25" i="1"/>
  <c r="T25" i="1" s="1"/>
  <c r="CV25" i="1"/>
  <c r="CX25" i="1"/>
  <c r="GL25" i="1"/>
  <c r="GN25" i="1"/>
  <c r="GO25" i="1"/>
  <c r="GP25" i="1"/>
  <c r="GV25" i="1"/>
  <c r="HC25" i="1"/>
  <c r="GX25" i="1" s="1"/>
  <c r="C26" i="1"/>
  <c r="D26" i="1"/>
  <c r="I26" i="1"/>
  <c r="K26" i="1"/>
  <c r="P26" i="1"/>
  <c r="T26" i="1"/>
  <c r="U26" i="1"/>
  <c r="AC26" i="1"/>
  <c r="AD26" i="1"/>
  <c r="AB26" i="1" s="1"/>
  <c r="AE26" i="1"/>
  <c r="AF26" i="1"/>
  <c r="AG26" i="1"/>
  <c r="AH26" i="1"/>
  <c r="AI26" i="1"/>
  <c r="AJ26" i="1"/>
  <c r="CQ26" i="1"/>
  <c r="CR26" i="1"/>
  <c r="Q26" i="1" s="1"/>
  <c r="CS26" i="1"/>
  <c r="R26" i="1" s="1"/>
  <c r="CT26" i="1"/>
  <c r="S26" i="1" s="1"/>
  <c r="CU26" i="1"/>
  <c r="CV26" i="1"/>
  <c r="CW26" i="1"/>
  <c r="CX26" i="1"/>
  <c r="W26" i="1" s="1"/>
  <c r="CZ26" i="1"/>
  <c r="Y26" i="1" s="1"/>
  <c r="FR26" i="1"/>
  <c r="GL26" i="1"/>
  <c r="GN26" i="1"/>
  <c r="GP26" i="1"/>
  <c r="GV26" i="1"/>
  <c r="HC26" i="1"/>
  <c r="GX26" i="1" s="1"/>
  <c r="I27" i="1"/>
  <c r="GX27" i="1" s="1"/>
  <c r="K27" i="1"/>
  <c r="U27" i="1"/>
  <c r="W27" i="1"/>
  <c r="AC27" i="1"/>
  <c r="AD27" i="1"/>
  <c r="CR27" i="1" s="1"/>
  <c r="Q27" i="1" s="1"/>
  <c r="AE27" i="1"/>
  <c r="CS27" i="1" s="1"/>
  <c r="AF27" i="1"/>
  <c r="AG27" i="1"/>
  <c r="CU27" i="1" s="1"/>
  <c r="T27" i="1" s="1"/>
  <c r="AH27" i="1"/>
  <c r="AI27" i="1"/>
  <c r="CW27" i="1" s="1"/>
  <c r="AJ27" i="1"/>
  <c r="CT27" i="1"/>
  <c r="S27" i="1" s="1"/>
  <c r="CV27" i="1"/>
  <c r="CX27" i="1"/>
  <c r="GL27" i="1"/>
  <c r="GN27" i="1"/>
  <c r="GO27" i="1"/>
  <c r="GP27" i="1"/>
  <c r="GV27" i="1"/>
  <c r="HC27" i="1" s="1"/>
  <c r="I28" i="1"/>
  <c r="W28" i="1" s="1"/>
  <c r="K28" i="1"/>
  <c r="AC28" i="1"/>
  <c r="CQ28" i="1" s="1"/>
  <c r="AE28" i="1"/>
  <c r="AF28" i="1"/>
  <c r="AG28" i="1"/>
  <c r="CU28" i="1" s="1"/>
  <c r="AH28" i="1"/>
  <c r="AI28" i="1"/>
  <c r="CW28" i="1" s="1"/>
  <c r="V28" i="1" s="1"/>
  <c r="AJ28" i="1"/>
  <c r="CT28" i="1"/>
  <c r="S28" i="1" s="1"/>
  <c r="CV28" i="1"/>
  <c r="U28" i="1" s="1"/>
  <c r="CX28" i="1"/>
  <c r="FR28" i="1"/>
  <c r="GL28" i="1"/>
  <c r="GN28" i="1"/>
  <c r="GP28" i="1"/>
  <c r="GV28" i="1"/>
  <c r="GX28" i="1"/>
  <c r="HC28" i="1"/>
  <c r="C29" i="1"/>
  <c r="D29" i="1"/>
  <c r="I29" i="1"/>
  <c r="K29" i="1"/>
  <c r="AC29" i="1"/>
  <c r="CQ29" i="1" s="1"/>
  <c r="AE29" i="1"/>
  <c r="AF29" i="1"/>
  <c r="AG29" i="1"/>
  <c r="CU29" i="1" s="1"/>
  <c r="AH29" i="1"/>
  <c r="AI29" i="1"/>
  <c r="CW29" i="1" s="1"/>
  <c r="V29" i="1" s="1"/>
  <c r="AJ29" i="1"/>
  <c r="CT29" i="1"/>
  <c r="S29" i="1" s="1"/>
  <c r="CV29" i="1"/>
  <c r="U29" i="1" s="1"/>
  <c r="CX29" i="1"/>
  <c r="FR29" i="1"/>
  <c r="GL29" i="1"/>
  <c r="GN29" i="1"/>
  <c r="GP29" i="1"/>
  <c r="GV29" i="1"/>
  <c r="GX29" i="1"/>
  <c r="HC29" i="1"/>
  <c r="I30" i="1"/>
  <c r="K30" i="1"/>
  <c r="T30" i="1"/>
  <c r="U30" i="1"/>
  <c r="AC30" i="1"/>
  <c r="AE30" i="1"/>
  <c r="CS30" i="1" s="1"/>
  <c r="R30" i="1" s="1"/>
  <c r="AF30" i="1"/>
  <c r="AG30" i="1"/>
  <c r="AH30" i="1"/>
  <c r="AI30" i="1"/>
  <c r="CW30" i="1" s="1"/>
  <c r="V30" i="1" s="1"/>
  <c r="AJ30" i="1"/>
  <c r="CT30" i="1"/>
  <c r="S30" i="1" s="1"/>
  <c r="CZ30" i="1" s="1"/>
  <c r="Y30" i="1" s="1"/>
  <c r="CU30" i="1"/>
  <c r="CV30" i="1"/>
  <c r="CX30" i="1"/>
  <c r="W30" i="1" s="1"/>
  <c r="CY30" i="1"/>
  <c r="X30" i="1" s="1"/>
  <c r="FR30" i="1"/>
  <c r="GL30" i="1"/>
  <c r="GN30" i="1"/>
  <c r="GP30" i="1"/>
  <c r="GV30" i="1"/>
  <c r="HC30" i="1" s="1"/>
  <c r="GX30" i="1"/>
  <c r="C31" i="1"/>
  <c r="D31" i="1"/>
  <c r="I31" i="1"/>
  <c r="K31" i="1"/>
  <c r="S31" i="1"/>
  <c r="T31" i="1"/>
  <c r="AC31" i="1"/>
  <c r="AE31" i="1"/>
  <c r="AF31" i="1"/>
  <c r="AG31" i="1"/>
  <c r="AH31" i="1"/>
  <c r="AI31" i="1"/>
  <c r="CW31" i="1" s="1"/>
  <c r="V31" i="1" s="1"/>
  <c r="AJ31" i="1"/>
  <c r="CQ31" i="1"/>
  <c r="P31" i="1" s="1"/>
  <c r="CT31" i="1"/>
  <c r="CU31" i="1"/>
  <c r="CV31" i="1"/>
  <c r="U31" i="1" s="1"/>
  <c r="CX31" i="1"/>
  <c r="W31" i="1" s="1"/>
  <c r="FR31" i="1"/>
  <c r="GL31" i="1"/>
  <c r="GN31" i="1"/>
  <c r="GP31" i="1"/>
  <c r="GV31" i="1"/>
  <c r="HC31" i="1" s="1"/>
  <c r="GX31" i="1" s="1"/>
  <c r="I32" i="1"/>
  <c r="K32" i="1"/>
  <c r="AB32" i="1"/>
  <c r="AC32" i="1"/>
  <c r="CQ32" i="1" s="1"/>
  <c r="P32" i="1" s="1"/>
  <c r="AE32" i="1"/>
  <c r="AD32" i="1" s="1"/>
  <c r="AF32" i="1"/>
  <c r="AG32" i="1"/>
  <c r="CU32" i="1" s="1"/>
  <c r="T32" i="1" s="1"/>
  <c r="AH32" i="1"/>
  <c r="AI32" i="1"/>
  <c r="AJ32" i="1"/>
  <c r="CX32" i="1" s="1"/>
  <c r="W32" i="1" s="1"/>
  <c r="CR32" i="1"/>
  <c r="Q32" i="1" s="1"/>
  <c r="CP32" i="1" s="1"/>
  <c r="O32" i="1" s="1"/>
  <c r="CS32" i="1"/>
  <c r="R32" i="1" s="1"/>
  <c r="CT32" i="1"/>
  <c r="S32" i="1" s="1"/>
  <c r="CV32" i="1"/>
  <c r="U32" i="1" s="1"/>
  <c r="CW32" i="1"/>
  <c r="V32" i="1" s="1"/>
  <c r="FR32" i="1"/>
  <c r="GL32" i="1"/>
  <c r="GO32" i="1"/>
  <c r="GP32" i="1"/>
  <c r="GV32" i="1"/>
  <c r="HC32" i="1"/>
  <c r="GX32" i="1" s="1"/>
  <c r="C33" i="1"/>
  <c r="D33" i="1"/>
  <c r="I33" i="1"/>
  <c r="K33" i="1"/>
  <c r="U33" i="1"/>
  <c r="AB33" i="1"/>
  <c r="AC33" i="1"/>
  <c r="CQ33" i="1" s="1"/>
  <c r="P33" i="1" s="1"/>
  <c r="AE33" i="1"/>
  <c r="AD33" i="1" s="1"/>
  <c r="AF33" i="1"/>
  <c r="AG33" i="1"/>
  <c r="CU33" i="1" s="1"/>
  <c r="T33" i="1" s="1"/>
  <c r="AH33" i="1"/>
  <c r="AI33" i="1"/>
  <c r="AJ33" i="1"/>
  <c r="CX33" i="1" s="1"/>
  <c r="W33" i="1" s="1"/>
  <c r="CR33" i="1"/>
  <c r="Q33" i="1" s="1"/>
  <c r="CS33" i="1"/>
  <c r="R33" i="1" s="1"/>
  <c r="CT33" i="1"/>
  <c r="S33" i="1" s="1"/>
  <c r="CV33" i="1"/>
  <c r="CW33" i="1"/>
  <c r="V33" i="1" s="1"/>
  <c r="FR33" i="1"/>
  <c r="BY50" i="1" s="1"/>
  <c r="GL33" i="1"/>
  <c r="GN33" i="1"/>
  <c r="GP33" i="1"/>
  <c r="GV33" i="1"/>
  <c r="HC33" i="1"/>
  <c r="GX33" i="1" s="1"/>
  <c r="I34" i="1"/>
  <c r="S34" i="1" s="1"/>
  <c r="K34" i="1"/>
  <c r="Q34" i="1"/>
  <c r="W34" i="1"/>
  <c r="AC34" i="1"/>
  <c r="AD34" i="1"/>
  <c r="CR34" i="1" s="1"/>
  <c r="AE34" i="1"/>
  <c r="CS34" i="1" s="1"/>
  <c r="AF34" i="1"/>
  <c r="AG34" i="1"/>
  <c r="AH34" i="1"/>
  <c r="AI34" i="1"/>
  <c r="CW34" i="1" s="1"/>
  <c r="AJ34" i="1"/>
  <c r="CQ34" i="1"/>
  <c r="P34" i="1" s="1"/>
  <c r="CT34" i="1"/>
  <c r="CU34" i="1"/>
  <c r="T34" i="1" s="1"/>
  <c r="CV34" i="1"/>
  <c r="U34" i="1" s="1"/>
  <c r="CX34" i="1"/>
  <c r="FR34" i="1"/>
  <c r="GL34" i="1"/>
  <c r="GN34" i="1"/>
  <c r="GP34" i="1"/>
  <c r="GV34" i="1"/>
  <c r="HC34" i="1" s="1"/>
  <c r="GX34" i="1" s="1"/>
  <c r="I35" i="1"/>
  <c r="K35" i="1"/>
  <c r="AC35" i="1"/>
  <c r="CQ35" i="1" s="1"/>
  <c r="AE35" i="1"/>
  <c r="AD35" i="1" s="1"/>
  <c r="CR35" i="1" s="1"/>
  <c r="Q35" i="1" s="1"/>
  <c r="AF35" i="1"/>
  <c r="AB35" i="1" s="1"/>
  <c r="AG35" i="1"/>
  <c r="CU35" i="1" s="1"/>
  <c r="T35" i="1" s="1"/>
  <c r="AH35" i="1"/>
  <c r="AI35" i="1"/>
  <c r="CW35" i="1" s="1"/>
  <c r="V35" i="1" s="1"/>
  <c r="AJ35" i="1"/>
  <c r="CX35" i="1" s="1"/>
  <c r="W35" i="1" s="1"/>
  <c r="CS35" i="1"/>
  <c r="R35" i="1" s="1"/>
  <c r="CT35" i="1"/>
  <c r="S35" i="1" s="1"/>
  <c r="CV35" i="1"/>
  <c r="U35" i="1" s="1"/>
  <c r="FR35" i="1"/>
  <c r="GL35" i="1"/>
  <c r="GN35" i="1"/>
  <c r="GP35" i="1"/>
  <c r="GV35" i="1"/>
  <c r="HC35" i="1"/>
  <c r="GX35" i="1" s="1"/>
  <c r="C36" i="1"/>
  <c r="D36" i="1"/>
  <c r="I36" i="1"/>
  <c r="K36" i="1"/>
  <c r="AC36" i="1"/>
  <c r="CQ36" i="1" s="1"/>
  <c r="AE36" i="1"/>
  <c r="AD36" i="1" s="1"/>
  <c r="CR36" i="1" s="1"/>
  <c r="Q36" i="1" s="1"/>
  <c r="AF36" i="1"/>
  <c r="AB36" i="1" s="1"/>
  <c r="AG36" i="1"/>
  <c r="CU36" i="1" s="1"/>
  <c r="T36" i="1" s="1"/>
  <c r="AH36" i="1"/>
  <c r="AI36" i="1"/>
  <c r="CW36" i="1" s="1"/>
  <c r="V36" i="1" s="1"/>
  <c r="AJ36" i="1"/>
  <c r="CX36" i="1" s="1"/>
  <c r="W36" i="1" s="1"/>
  <c r="CS36" i="1"/>
  <c r="R36" i="1" s="1"/>
  <c r="CT36" i="1"/>
  <c r="S36" i="1" s="1"/>
  <c r="CV36" i="1"/>
  <c r="U36" i="1" s="1"/>
  <c r="FR36" i="1"/>
  <c r="GL36" i="1"/>
  <c r="GN36" i="1"/>
  <c r="GP36" i="1"/>
  <c r="GV36" i="1"/>
  <c r="HC36" i="1"/>
  <c r="GX36" i="1" s="1"/>
  <c r="I37" i="1"/>
  <c r="K37" i="1"/>
  <c r="P37" i="1"/>
  <c r="T37" i="1"/>
  <c r="AC37" i="1"/>
  <c r="AD37" i="1"/>
  <c r="CR37" i="1" s="1"/>
  <c r="Q37" i="1" s="1"/>
  <c r="AE37" i="1"/>
  <c r="CS37" i="1" s="1"/>
  <c r="R37" i="1" s="1"/>
  <c r="AF37" i="1"/>
  <c r="AG37" i="1"/>
  <c r="AH37" i="1"/>
  <c r="CV37" i="1" s="1"/>
  <c r="U37" i="1" s="1"/>
  <c r="AI37" i="1"/>
  <c r="CW37" i="1" s="1"/>
  <c r="V37" i="1" s="1"/>
  <c r="AJ37" i="1"/>
  <c r="CQ37" i="1"/>
  <c r="CT37" i="1"/>
  <c r="S37" i="1" s="1"/>
  <c r="CU37" i="1"/>
  <c r="CX37" i="1"/>
  <c r="W37" i="1" s="1"/>
  <c r="GL37" i="1"/>
  <c r="GN37" i="1"/>
  <c r="GO37" i="1"/>
  <c r="GP37" i="1"/>
  <c r="GV37" i="1"/>
  <c r="HC37" i="1" s="1"/>
  <c r="GX37" i="1" s="1"/>
  <c r="C38" i="1"/>
  <c r="D38" i="1"/>
  <c r="I38" i="1"/>
  <c r="K38" i="1"/>
  <c r="AC38" i="1"/>
  <c r="AB38" i="1" s="1"/>
  <c r="AD38" i="1"/>
  <c r="CR38" i="1" s="1"/>
  <c r="Q38" i="1" s="1"/>
  <c r="AE38" i="1"/>
  <c r="CS38" i="1" s="1"/>
  <c r="R38" i="1" s="1"/>
  <c r="AF38" i="1"/>
  <c r="AG38" i="1"/>
  <c r="AH38" i="1"/>
  <c r="CV38" i="1" s="1"/>
  <c r="U38" i="1" s="1"/>
  <c r="AI38" i="1"/>
  <c r="CW38" i="1" s="1"/>
  <c r="V38" i="1" s="1"/>
  <c r="AJ38" i="1"/>
  <c r="CQ38" i="1"/>
  <c r="P38" i="1" s="1"/>
  <c r="CP38" i="1" s="1"/>
  <c r="O38" i="1" s="1"/>
  <c r="CT38" i="1"/>
  <c r="S38" i="1" s="1"/>
  <c r="CU38" i="1"/>
  <c r="T38" i="1" s="1"/>
  <c r="CX38" i="1"/>
  <c r="W38" i="1" s="1"/>
  <c r="CY38" i="1"/>
  <c r="X38" i="1" s="1"/>
  <c r="FR38" i="1"/>
  <c r="GL38" i="1"/>
  <c r="GN38" i="1"/>
  <c r="GP38" i="1"/>
  <c r="GV38" i="1"/>
  <c r="HC38" i="1" s="1"/>
  <c r="GX38" i="1" s="1"/>
  <c r="I39" i="1"/>
  <c r="K39" i="1"/>
  <c r="V39" i="1"/>
  <c r="AB39" i="1"/>
  <c r="AC39" i="1"/>
  <c r="CQ39" i="1" s="1"/>
  <c r="P39" i="1" s="1"/>
  <c r="CP39" i="1" s="1"/>
  <c r="O39" i="1" s="1"/>
  <c r="AE39" i="1"/>
  <c r="AD39" i="1" s="1"/>
  <c r="CR39" i="1" s="1"/>
  <c r="Q39" i="1" s="1"/>
  <c r="AF39" i="1"/>
  <c r="CT39" i="1" s="1"/>
  <c r="S39" i="1" s="1"/>
  <c r="AG39" i="1"/>
  <c r="CU39" i="1" s="1"/>
  <c r="T39" i="1" s="1"/>
  <c r="AH39" i="1"/>
  <c r="AI39" i="1"/>
  <c r="AJ39" i="1"/>
  <c r="CX39" i="1" s="1"/>
  <c r="W39" i="1" s="1"/>
  <c r="CS39" i="1"/>
  <c r="R39" i="1" s="1"/>
  <c r="CV39" i="1"/>
  <c r="U39" i="1" s="1"/>
  <c r="CW39" i="1"/>
  <c r="FR39" i="1"/>
  <c r="GL39" i="1"/>
  <c r="GN39" i="1"/>
  <c r="GP39" i="1"/>
  <c r="GV39" i="1"/>
  <c r="HC39" i="1"/>
  <c r="GX39" i="1" s="1"/>
  <c r="I40" i="1"/>
  <c r="K40" i="1"/>
  <c r="P40" i="1"/>
  <c r="T40" i="1"/>
  <c r="AC40" i="1"/>
  <c r="AD40" i="1"/>
  <c r="CR40" i="1" s="1"/>
  <c r="Q40" i="1" s="1"/>
  <c r="AE40" i="1"/>
  <c r="CS40" i="1" s="1"/>
  <c r="R40" i="1" s="1"/>
  <c r="AF40" i="1"/>
  <c r="AG40" i="1"/>
  <c r="AH40" i="1"/>
  <c r="CV40" i="1" s="1"/>
  <c r="U40" i="1" s="1"/>
  <c r="AI40" i="1"/>
  <c r="CW40" i="1" s="1"/>
  <c r="V40" i="1" s="1"/>
  <c r="AJ40" i="1"/>
  <c r="CQ40" i="1"/>
  <c r="CT40" i="1"/>
  <c r="S40" i="1" s="1"/>
  <c r="CU40" i="1"/>
  <c r="CX40" i="1"/>
  <c r="W40" i="1" s="1"/>
  <c r="FR40" i="1"/>
  <c r="GL40" i="1"/>
  <c r="GN40" i="1"/>
  <c r="GP40" i="1"/>
  <c r="GV40" i="1"/>
  <c r="HC40" i="1" s="1"/>
  <c r="GX40" i="1" s="1"/>
  <c r="C41" i="1"/>
  <c r="D41" i="1"/>
  <c r="I41" i="1"/>
  <c r="K41" i="1"/>
  <c r="AC41" i="1"/>
  <c r="AB41" i="1" s="1"/>
  <c r="AD41" i="1"/>
  <c r="CR41" i="1" s="1"/>
  <c r="Q41" i="1" s="1"/>
  <c r="AE41" i="1"/>
  <c r="CS41" i="1" s="1"/>
  <c r="R41" i="1" s="1"/>
  <c r="AF41" i="1"/>
  <c r="AG41" i="1"/>
  <c r="AH41" i="1"/>
  <c r="CV41" i="1" s="1"/>
  <c r="U41" i="1" s="1"/>
  <c r="AI41" i="1"/>
  <c r="CW41" i="1" s="1"/>
  <c r="V41" i="1" s="1"/>
  <c r="AJ41" i="1"/>
  <c r="CQ41" i="1"/>
  <c r="P41" i="1" s="1"/>
  <c r="CP41" i="1" s="1"/>
  <c r="O41" i="1" s="1"/>
  <c r="CT41" i="1"/>
  <c r="S41" i="1" s="1"/>
  <c r="CU41" i="1"/>
  <c r="T41" i="1" s="1"/>
  <c r="CX41" i="1"/>
  <c r="W41" i="1" s="1"/>
  <c r="CY41" i="1"/>
  <c r="X41" i="1" s="1"/>
  <c r="FR41" i="1"/>
  <c r="GL41" i="1"/>
  <c r="GO41" i="1"/>
  <c r="GP41" i="1"/>
  <c r="GV41" i="1"/>
  <c r="HC41" i="1" s="1"/>
  <c r="GX41" i="1" s="1"/>
  <c r="C42" i="1"/>
  <c r="D42" i="1"/>
  <c r="I42" i="1"/>
  <c r="K42" i="1"/>
  <c r="P42" i="1"/>
  <c r="AC42" i="1"/>
  <c r="AD42" i="1"/>
  <c r="CR42" i="1" s="1"/>
  <c r="Q42" i="1" s="1"/>
  <c r="AE42" i="1"/>
  <c r="CS42" i="1" s="1"/>
  <c r="R42" i="1" s="1"/>
  <c r="AF42" i="1"/>
  <c r="AG42" i="1"/>
  <c r="AH42" i="1"/>
  <c r="CV42" i="1" s="1"/>
  <c r="U42" i="1" s="1"/>
  <c r="AI42" i="1"/>
  <c r="CW42" i="1" s="1"/>
  <c r="V42" i="1" s="1"/>
  <c r="AJ42" i="1"/>
  <c r="CQ42" i="1"/>
  <c r="CT42" i="1"/>
  <c r="S42" i="1" s="1"/>
  <c r="CU42" i="1"/>
  <c r="T42" i="1" s="1"/>
  <c r="CX42" i="1"/>
  <c r="W42" i="1" s="1"/>
  <c r="FR42" i="1"/>
  <c r="GL42" i="1"/>
  <c r="GO42" i="1"/>
  <c r="GP42" i="1"/>
  <c r="GV42" i="1"/>
  <c r="HC42" i="1" s="1"/>
  <c r="GX42" i="1" s="1"/>
  <c r="T43" i="1"/>
  <c r="AC43" i="1"/>
  <c r="AD43" i="1"/>
  <c r="AE43" i="1"/>
  <c r="CS43" i="1" s="1"/>
  <c r="R43" i="1" s="1"/>
  <c r="AF43" i="1"/>
  <c r="AG43" i="1"/>
  <c r="AH43" i="1"/>
  <c r="CV43" i="1" s="1"/>
  <c r="U43" i="1" s="1"/>
  <c r="AI43" i="1"/>
  <c r="CW43" i="1" s="1"/>
  <c r="V43" i="1" s="1"/>
  <c r="AJ43" i="1"/>
  <c r="CQ43" i="1"/>
  <c r="P43" i="1" s="1"/>
  <c r="CR43" i="1"/>
  <c r="Q43" i="1" s="1"/>
  <c r="CT43" i="1"/>
  <c r="S43" i="1" s="1"/>
  <c r="CU43" i="1"/>
  <c r="CX43" i="1"/>
  <c r="W43" i="1" s="1"/>
  <c r="CY43" i="1"/>
  <c r="X43" i="1" s="1"/>
  <c r="CZ43" i="1"/>
  <c r="Y43" i="1" s="1"/>
  <c r="FR43" i="1"/>
  <c r="GL43" i="1"/>
  <c r="GO43" i="1"/>
  <c r="GP43" i="1"/>
  <c r="GV43" i="1"/>
  <c r="HC43" i="1" s="1"/>
  <c r="GX43" i="1"/>
  <c r="P44" i="1"/>
  <c r="AC44" i="1"/>
  <c r="AE44" i="1"/>
  <c r="AF44" i="1"/>
  <c r="AG44" i="1"/>
  <c r="AH44" i="1"/>
  <c r="CV44" i="1" s="1"/>
  <c r="U44" i="1" s="1"/>
  <c r="AI44" i="1"/>
  <c r="CW44" i="1" s="1"/>
  <c r="V44" i="1" s="1"/>
  <c r="AJ44" i="1"/>
  <c r="CQ44" i="1"/>
  <c r="CT44" i="1"/>
  <c r="S44" i="1" s="1"/>
  <c r="CU44" i="1"/>
  <c r="T44" i="1" s="1"/>
  <c r="CX44" i="1"/>
  <c r="W44" i="1" s="1"/>
  <c r="FR44" i="1"/>
  <c r="GL44" i="1"/>
  <c r="GO44" i="1"/>
  <c r="GP44" i="1"/>
  <c r="GV44" i="1"/>
  <c r="HC44" i="1" s="1"/>
  <c r="GX44" i="1"/>
  <c r="C45" i="1"/>
  <c r="D45" i="1"/>
  <c r="I45" i="1"/>
  <c r="K45" i="1"/>
  <c r="T45" i="1"/>
  <c r="AC45" i="1"/>
  <c r="AD45" i="1"/>
  <c r="CR45" i="1" s="1"/>
  <c r="Q45" i="1" s="1"/>
  <c r="AE45" i="1"/>
  <c r="CS45" i="1" s="1"/>
  <c r="AF45" i="1"/>
  <c r="AG45" i="1"/>
  <c r="AH45" i="1"/>
  <c r="CV45" i="1" s="1"/>
  <c r="U45" i="1" s="1"/>
  <c r="AH50" i="1" s="1"/>
  <c r="AI45" i="1"/>
  <c r="CW45" i="1" s="1"/>
  <c r="AJ45" i="1"/>
  <c r="CQ45" i="1"/>
  <c r="P45" i="1" s="1"/>
  <c r="CT45" i="1"/>
  <c r="CU45" i="1"/>
  <c r="CX45" i="1"/>
  <c r="W45" i="1" s="1"/>
  <c r="FR45" i="1"/>
  <c r="GL45" i="1"/>
  <c r="GN45" i="1"/>
  <c r="GP45" i="1"/>
  <c r="GV45" i="1"/>
  <c r="HC45" i="1" s="1"/>
  <c r="GX45" i="1" s="1"/>
  <c r="I46" i="1"/>
  <c r="K46" i="1"/>
  <c r="V46" i="1"/>
  <c r="AC46" i="1"/>
  <c r="CQ46" i="1" s="1"/>
  <c r="P46" i="1" s="1"/>
  <c r="AE46" i="1"/>
  <c r="AD46" i="1" s="1"/>
  <c r="CR46" i="1" s="1"/>
  <c r="Q46" i="1" s="1"/>
  <c r="AF46" i="1"/>
  <c r="CT46" i="1" s="1"/>
  <c r="S46" i="1" s="1"/>
  <c r="AG46" i="1"/>
  <c r="CU46" i="1" s="1"/>
  <c r="T46" i="1" s="1"/>
  <c r="AH46" i="1"/>
  <c r="AI46" i="1"/>
  <c r="AJ46" i="1"/>
  <c r="CX46" i="1" s="1"/>
  <c r="W46" i="1" s="1"/>
  <c r="CS46" i="1"/>
  <c r="R46" i="1" s="1"/>
  <c r="CV46" i="1"/>
  <c r="U46" i="1" s="1"/>
  <c r="CW46" i="1"/>
  <c r="FR46" i="1"/>
  <c r="GL46" i="1"/>
  <c r="GN46" i="1"/>
  <c r="GP46" i="1"/>
  <c r="GV46" i="1"/>
  <c r="HC46" i="1"/>
  <c r="GX46" i="1" s="1"/>
  <c r="C47" i="1"/>
  <c r="D47" i="1"/>
  <c r="I47" i="1"/>
  <c r="K47" i="1"/>
  <c r="R47" i="1"/>
  <c r="AC47" i="1"/>
  <c r="CQ47" i="1" s="1"/>
  <c r="P47" i="1" s="1"/>
  <c r="CP47" i="1" s="1"/>
  <c r="O47" i="1" s="1"/>
  <c r="AE47" i="1"/>
  <c r="AD47" i="1" s="1"/>
  <c r="CR47" i="1" s="1"/>
  <c r="Q47" i="1" s="1"/>
  <c r="AF47" i="1"/>
  <c r="CT47" i="1" s="1"/>
  <c r="S47" i="1" s="1"/>
  <c r="AG47" i="1"/>
  <c r="CU47" i="1" s="1"/>
  <c r="T47" i="1" s="1"/>
  <c r="AH47" i="1"/>
  <c r="AI47" i="1"/>
  <c r="AJ47" i="1"/>
  <c r="CS47" i="1"/>
  <c r="CV47" i="1"/>
  <c r="U47" i="1" s="1"/>
  <c r="CW47" i="1"/>
  <c r="V47" i="1" s="1"/>
  <c r="CX47" i="1"/>
  <c r="W47" i="1" s="1"/>
  <c r="FR47" i="1"/>
  <c r="GL47" i="1"/>
  <c r="GN47" i="1"/>
  <c r="GP47" i="1"/>
  <c r="GV47" i="1"/>
  <c r="HC47" i="1"/>
  <c r="GX47" i="1" s="1"/>
  <c r="V48" i="1"/>
  <c r="W48" i="1"/>
  <c r="AC48" i="1"/>
  <c r="CQ48" i="1" s="1"/>
  <c r="P48" i="1" s="1"/>
  <c r="AE48" i="1"/>
  <c r="AD48" i="1" s="1"/>
  <c r="CR48" i="1" s="1"/>
  <c r="Q48" i="1" s="1"/>
  <c r="AF48" i="1"/>
  <c r="AG48" i="1"/>
  <c r="CU48" i="1" s="1"/>
  <c r="T48" i="1" s="1"/>
  <c r="AH48" i="1"/>
  <c r="AI48" i="1"/>
  <c r="AJ48" i="1"/>
  <c r="CX48" i="1" s="1"/>
  <c r="CS48" i="1"/>
  <c r="R48" i="1" s="1"/>
  <c r="CT48" i="1"/>
  <c r="S48" i="1" s="1"/>
  <c r="CV48" i="1"/>
  <c r="U48" i="1" s="1"/>
  <c r="CW48" i="1"/>
  <c r="FR48" i="1"/>
  <c r="GL48" i="1"/>
  <c r="GN48" i="1"/>
  <c r="GP48" i="1"/>
  <c r="GV48" i="1"/>
  <c r="HC48" i="1"/>
  <c r="GX48" i="1" s="1"/>
  <c r="B50" i="1"/>
  <c r="B22" i="1" s="1"/>
  <c r="C50" i="1"/>
  <c r="C22" i="1" s="1"/>
  <c r="D50" i="1"/>
  <c r="D22" i="1" s="1"/>
  <c r="F50" i="1"/>
  <c r="F22" i="1" s="1"/>
  <c r="G50" i="1"/>
  <c r="G22" i="1" s="1"/>
  <c r="AU50" i="1"/>
  <c r="BC50" i="1"/>
  <c r="BX50" i="1"/>
  <c r="BX22" i="1" s="1"/>
  <c r="BZ50" i="1"/>
  <c r="AQ50" i="1" s="1"/>
  <c r="CD50" i="1"/>
  <c r="CD22" i="1" s="1"/>
  <c r="CI50" i="1"/>
  <c r="CI22" i="1" s="1"/>
  <c r="CK50" i="1"/>
  <c r="CK22" i="1" s="1"/>
  <c r="CL50" i="1"/>
  <c r="CL22" i="1" s="1"/>
  <c r="CM50" i="1"/>
  <c r="CM22" i="1" s="1"/>
  <c r="B80" i="1"/>
  <c r="B18" i="1" s="1"/>
  <c r="C80" i="1"/>
  <c r="C18" i="1" s="1"/>
  <c r="D80" i="1"/>
  <c r="D18" i="1" s="1"/>
  <c r="F80" i="1"/>
  <c r="F18" i="1" s="1"/>
  <c r="G80" i="1"/>
  <c r="G18" i="1" s="1"/>
  <c r="G22" i="5" l="1"/>
  <c r="X57" i="5"/>
  <c r="L140" i="5"/>
  <c r="G124" i="5"/>
  <c r="O124" i="5" s="1"/>
  <c r="X41" i="5"/>
  <c r="J48" i="5"/>
  <c r="P48" i="5" s="1"/>
  <c r="G21" i="5"/>
  <c r="G67" i="5"/>
  <c r="O67" i="5" s="1"/>
  <c r="J96" i="5"/>
  <c r="P96" i="5" s="1"/>
  <c r="J114" i="5"/>
  <c r="P114" i="5" s="1"/>
  <c r="G41" i="5"/>
  <c r="O41" i="5" s="1"/>
  <c r="J41" i="5"/>
  <c r="P41" i="5" s="1"/>
  <c r="X48" i="5"/>
  <c r="J57" i="5"/>
  <c r="P57" i="5" s="1"/>
  <c r="G77" i="5"/>
  <c r="O77" i="5" s="1"/>
  <c r="G86" i="5"/>
  <c r="O86" i="5" s="1"/>
  <c r="G96" i="5"/>
  <c r="O96" i="5" s="1"/>
  <c r="G114" i="5"/>
  <c r="O114" i="5" s="1"/>
  <c r="J77" i="5"/>
  <c r="P77" i="5" s="1"/>
  <c r="J86" i="5"/>
  <c r="P86" i="5" s="1"/>
  <c r="G104" i="5"/>
  <c r="O104" i="5" s="1"/>
  <c r="J134" i="5"/>
  <c r="P134" i="5" s="1"/>
  <c r="J67" i="5"/>
  <c r="P67" i="5" s="1"/>
  <c r="X77" i="5"/>
  <c r="J104" i="5"/>
  <c r="P104" i="5" s="1"/>
  <c r="J124" i="5"/>
  <c r="P124" i="5" s="1"/>
  <c r="G134" i="5"/>
  <c r="O134" i="5" s="1"/>
  <c r="G57" i="5"/>
  <c r="O57" i="5" s="1"/>
  <c r="T37" i="7"/>
  <c r="R37" i="7"/>
  <c r="T45" i="7"/>
  <c r="R45" i="7"/>
  <c r="M57" i="7"/>
  <c r="O57" i="7"/>
  <c r="R60" i="5"/>
  <c r="X86" i="5"/>
  <c r="R89" i="5"/>
  <c r="W104" i="5"/>
  <c r="R107" i="5"/>
  <c r="W114" i="5"/>
  <c r="X124" i="5"/>
  <c r="R127" i="5"/>
  <c r="O7" i="7"/>
  <c r="D71" i="6"/>
  <c r="O11" i="7"/>
  <c r="O15" i="7"/>
  <c r="F35" i="6"/>
  <c r="O19" i="7"/>
  <c r="O23" i="7"/>
  <c r="M29" i="7"/>
  <c r="F62" i="6"/>
  <c r="M33" i="7"/>
  <c r="F60" i="6" s="1"/>
  <c r="M37" i="7"/>
  <c r="F43" i="6" s="1"/>
  <c r="M41" i="7"/>
  <c r="F14" i="6" s="1"/>
  <c r="M45" i="7"/>
  <c r="F66" i="6" s="1"/>
  <c r="M69" i="7"/>
  <c r="F10" i="6" s="1"/>
  <c r="O69" i="7"/>
  <c r="X134" i="5"/>
  <c r="T29" i="7"/>
  <c r="R29" i="7"/>
  <c r="T33" i="7"/>
  <c r="R33" i="7"/>
  <c r="T53" i="7"/>
  <c r="R53" i="7"/>
  <c r="T87" i="7"/>
  <c r="R87" i="7"/>
  <c r="G48" i="5"/>
  <c r="O48" i="5" s="1"/>
  <c r="F71" i="6"/>
  <c r="F54" i="6"/>
  <c r="O30" i="7"/>
  <c r="M30" i="7"/>
  <c r="F15" i="6" s="1"/>
  <c r="O34" i="7"/>
  <c r="M34" i="7"/>
  <c r="F59" i="6" s="1"/>
  <c r="O38" i="7"/>
  <c r="M38" i="7"/>
  <c r="F40" i="6" s="1"/>
  <c r="O42" i="7"/>
  <c r="M42" i="7"/>
  <c r="F72" i="6" s="1"/>
  <c r="O46" i="7"/>
  <c r="M46" i="7"/>
  <c r="F65" i="6" s="1"/>
  <c r="O50" i="7"/>
  <c r="M50" i="7"/>
  <c r="F57" i="6" s="1"/>
  <c r="O54" i="7"/>
  <c r="M54" i="7"/>
  <c r="F48" i="6" s="1"/>
  <c r="M65" i="7"/>
  <c r="F24" i="6" s="1"/>
  <c r="O65" i="7"/>
  <c r="T79" i="7"/>
  <c r="R79" i="7"/>
  <c r="X67" i="5"/>
  <c r="X96" i="5"/>
  <c r="L136" i="5"/>
  <c r="T41" i="7"/>
  <c r="R41" i="7"/>
  <c r="T49" i="7"/>
  <c r="R49" i="7"/>
  <c r="M73" i="7"/>
  <c r="F45" i="6" s="1"/>
  <c r="O73" i="7"/>
  <c r="F55" i="6"/>
  <c r="R43" i="5"/>
  <c r="R9" i="7"/>
  <c r="R13" i="7"/>
  <c r="R17" i="7"/>
  <c r="R21" i="7"/>
  <c r="R25" i="7"/>
  <c r="M61" i="7"/>
  <c r="F41" i="6" s="1"/>
  <c r="O61" i="7"/>
  <c r="T76" i="7"/>
  <c r="R76" i="7"/>
  <c r="O81" i="7"/>
  <c r="M81" i="7"/>
  <c r="F20" i="6" s="1"/>
  <c r="T84" i="7"/>
  <c r="R84" i="7"/>
  <c r="O89" i="7"/>
  <c r="M89" i="7"/>
  <c r="F11" i="6" s="1"/>
  <c r="T92" i="7"/>
  <c r="R92" i="7"/>
  <c r="D21" i="6"/>
  <c r="D62" i="6"/>
  <c r="M56" i="7"/>
  <c r="F17" i="6" s="1"/>
  <c r="T56" i="7"/>
  <c r="M60" i="7"/>
  <c r="F47" i="6" s="1"/>
  <c r="T60" i="7"/>
  <c r="M64" i="7"/>
  <c r="F32" i="6" s="1"/>
  <c r="T64" i="7"/>
  <c r="M68" i="7"/>
  <c r="F34" i="6" s="1"/>
  <c r="T68" i="7"/>
  <c r="M72" i="7"/>
  <c r="F49" i="6" s="1"/>
  <c r="T72" i="7"/>
  <c r="M76" i="7"/>
  <c r="M84" i="7"/>
  <c r="F56" i="6" s="1"/>
  <c r="M92" i="7"/>
  <c r="F29" i="6" s="1"/>
  <c r="O77" i="7"/>
  <c r="M77" i="7"/>
  <c r="F38" i="6" s="1"/>
  <c r="T80" i="7"/>
  <c r="R80" i="7"/>
  <c r="O85" i="7"/>
  <c r="M85" i="7"/>
  <c r="F46" i="6" s="1"/>
  <c r="T88" i="7"/>
  <c r="R88" i="7"/>
  <c r="O93" i="7"/>
  <c r="M93" i="7"/>
  <c r="AQ22" i="1"/>
  <c r="F60" i="1"/>
  <c r="AQ80" i="1"/>
  <c r="AH22" i="1"/>
  <c r="U50" i="1"/>
  <c r="CY47" i="1"/>
  <c r="X47" i="1" s="1"/>
  <c r="GO47" i="1" s="1"/>
  <c r="CZ47" i="1"/>
  <c r="Y47" i="1" s="1"/>
  <c r="CY46" i="1"/>
  <c r="X46" i="1" s="1"/>
  <c r="CZ46" i="1"/>
  <c r="Y46" i="1" s="1"/>
  <c r="CY44" i="1"/>
  <c r="X44" i="1" s="1"/>
  <c r="BC22" i="1"/>
  <c r="BC80" i="1"/>
  <c r="AU22" i="1"/>
  <c r="F69" i="1"/>
  <c r="AU80" i="1"/>
  <c r="FR25" i="1"/>
  <c r="CP25" i="1"/>
  <c r="O25" i="1" s="1"/>
  <c r="GO38" i="1"/>
  <c r="CY48" i="1"/>
  <c r="X48" i="1" s="1"/>
  <c r="CZ48" i="1"/>
  <c r="Y48" i="1" s="1"/>
  <c r="CP48" i="1"/>
  <c r="O48" i="1" s="1"/>
  <c r="CS44" i="1"/>
  <c r="R44" i="1" s="1"/>
  <c r="CZ44" i="1" s="1"/>
  <c r="Y44" i="1" s="1"/>
  <c r="AD44" i="1"/>
  <c r="CR44" i="1" s="1"/>
  <c r="Q44" i="1" s="1"/>
  <c r="CY33" i="1"/>
  <c r="X33" i="1" s="1"/>
  <c r="CZ33" i="1"/>
  <c r="Y33" i="1" s="1"/>
  <c r="CJ50" i="1"/>
  <c r="BZ22" i="1"/>
  <c r="CG50" i="1"/>
  <c r="AZ50" i="1"/>
  <c r="CP44" i="1"/>
  <c r="O44" i="1" s="1"/>
  <c r="BY22" i="1"/>
  <c r="AP50" i="1"/>
  <c r="F66" i="1"/>
  <c r="CP46" i="1"/>
  <c r="O46" i="1" s="1"/>
  <c r="AB45" i="1"/>
  <c r="CX83" i="3"/>
  <c r="CX87" i="3"/>
  <c r="CX86" i="3"/>
  <c r="CX90" i="3"/>
  <c r="CX85" i="3"/>
  <c r="CX89" i="3"/>
  <c r="CX84" i="3"/>
  <c r="CX88" i="3"/>
  <c r="GN41" i="1"/>
  <c r="CP33" i="1"/>
  <c r="O33" i="1" s="1"/>
  <c r="AD29" i="1"/>
  <c r="CR29" i="1" s="1"/>
  <c r="Q29" i="1" s="1"/>
  <c r="CS29" i="1"/>
  <c r="R29" i="1" s="1"/>
  <c r="BD50" i="1"/>
  <c r="AB47" i="1"/>
  <c r="CP43" i="1"/>
  <c r="O43" i="1" s="1"/>
  <c r="AB43" i="1"/>
  <c r="CY36" i="1"/>
  <c r="X36" i="1" s="1"/>
  <c r="CZ36" i="1"/>
  <c r="Y36" i="1" s="1"/>
  <c r="CY35" i="1"/>
  <c r="X35" i="1" s="1"/>
  <c r="CZ35" i="1"/>
  <c r="Y35" i="1" s="1"/>
  <c r="AD28" i="1"/>
  <c r="CR28" i="1" s="1"/>
  <c r="Q28" i="1" s="1"/>
  <c r="CS28" i="1"/>
  <c r="R28" i="1" s="1"/>
  <c r="CY28" i="1" s="1"/>
  <c r="X28" i="1" s="1"/>
  <c r="AB27" i="1"/>
  <c r="CQ27" i="1"/>
  <c r="P27" i="1" s="1"/>
  <c r="CZ42" i="1"/>
  <c r="Y42" i="1" s="1"/>
  <c r="CP42" i="1"/>
  <c r="O42" i="1" s="1"/>
  <c r="CZ40" i="1"/>
  <c r="Y40" i="1" s="1"/>
  <c r="CP40" i="1"/>
  <c r="O40" i="1" s="1"/>
  <c r="CZ37" i="1"/>
  <c r="Y37" i="1" s="1"/>
  <c r="FR37" i="1"/>
  <c r="CP37" i="1"/>
  <c r="O37" i="1" s="1"/>
  <c r="CZ29" i="1"/>
  <c r="Y29" i="1" s="1"/>
  <c r="CX7" i="3"/>
  <c r="CX11" i="3"/>
  <c r="CX15" i="3"/>
  <c r="CX6" i="3"/>
  <c r="CX10" i="3"/>
  <c r="CX14" i="3"/>
  <c r="CX9" i="3"/>
  <c r="CX13" i="3"/>
  <c r="CX8" i="3"/>
  <c r="CX12" i="3"/>
  <c r="CX16" i="3"/>
  <c r="CZ28" i="1"/>
  <c r="Y28" i="1" s="1"/>
  <c r="BB50" i="1"/>
  <c r="AF50" i="1"/>
  <c r="CY42" i="1"/>
  <c r="X42" i="1" s="1"/>
  <c r="AB42" i="1"/>
  <c r="CY40" i="1"/>
  <c r="X40" i="1" s="1"/>
  <c r="AB40" i="1"/>
  <c r="CY39" i="1"/>
  <c r="X39" i="1" s="1"/>
  <c r="GO39" i="1" s="1"/>
  <c r="CZ39" i="1"/>
  <c r="Y39" i="1" s="1"/>
  <c r="GM39" i="1" s="1"/>
  <c r="CY37" i="1"/>
  <c r="X37" i="1" s="1"/>
  <c r="AB37" i="1"/>
  <c r="CY32" i="1"/>
  <c r="X32" i="1" s="1"/>
  <c r="GM32" i="1" s="1"/>
  <c r="CZ32" i="1"/>
  <c r="Y32" i="1" s="1"/>
  <c r="GN32" i="1" s="1"/>
  <c r="CS31" i="1"/>
  <c r="R31" i="1" s="1"/>
  <c r="AD31" i="1"/>
  <c r="CR31" i="1" s="1"/>
  <c r="Q31" i="1" s="1"/>
  <c r="CP31" i="1" s="1"/>
  <c r="O31" i="1" s="1"/>
  <c r="CZ31" i="1"/>
  <c r="Y31" i="1" s="1"/>
  <c r="CY31" i="1"/>
  <c r="X31" i="1" s="1"/>
  <c r="W29" i="1"/>
  <c r="AJ50" i="1" s="1"/>
  <c r="CY24" i="1"/>
  <c r="X24" i="1" s="1"/>
  <c r="CZ24" i="1"/>
  <c r="Y24" i="1" s="1"/>
  <c r="CP24" i="1"/>
  <c r="O24" i="1" s="1"/>
  <c r="AO50" i="1"/>
  <c r="AB48" i="1"/>
  <c r="AB46" i="1"/>
  <c r="S45" i="1"/>
  <c r="CP45" i="1" s="1"/>
  <c r="O45" i="1" s="1"/>
  <c r="V45" i="1"/>
  <c r="R45" i="1"/>
  <c r="AB44" i="1"/>
  <c r="CZ41" i="1"/>
  <c r="Y41" i="1" s="1"/>
  <c r="GM41" i="1" s="1"/>
  <c r="CZ38" i="1"/>
  <c r="Y38" i="1" s="1"/>
  <c r="GM38" i="1" s="1"/>
  <c r="CP34" i="1"/>
  <c r="O34" i="1" s="1"/>
  <c r="CY34" i="1"/>
  <c r="X34" i="1" s="1"/>
  <c r="CZ25" i="1"/>
  <c r="Y25" i="1" s="1"/>
  <c r="AB25" i="1"/>
  <c r="CX71" i="3"/>
  <c r="CX75" i="3"/>
  <c r="CX79" i="3"/>
  <c r="CX70" i="3"/>
  <c r="CX74" i="3"/>
  <c r="CX78" i="3"/>
  <c r="CX82" i="3"/>
  <c r="CX69" i="3"/>
  <c r="CX73" i="3"/>
  <c r="CX77" i="3"/>
  <c r="CX81" i="3"/>
  <c r="CX72" i="3"/>
  <c r="CX76" i="3"/>
  <c r="CX80" i="3"/>
  <c r="CX67" i="3"/>
  <c r="CX68" i="3"/>
  <c r="CX55" i="3"/>
  <c r="CX59" i="3"/>
  <c r="CX63" i="3"/>
  <c r="CX58" i="3"/>
  <c r="CX62" i="3"/>
  <c r="CX66" i="3"/>
  <c r="CX57" i="3"/>
  <c r="CX61" i="3"/>
  <c r="CX65" i="3"/>
  <c r="CX56" i="3"/>
  <c r="CX60" i="3"/>
  <c r="CX64" i="3"/>
  <c r="V34" i="1"/>
  <c r="R34" i="1"/>
  <c r="CZ34" i="1" s="1"/>
  <c r="Y34" i="1" s="1"/>
  <c r="AB30" i="1"/>
  <c r="CP26" i="1"/>
  <c r="O26" i="1" s="1"/>
  <c r="CS25" i="1"/>
  <c r="R25" i="1" s="1"/>
  <c r="CY25" i="1" s="1"/>
  <c r="X25" i="1" s="1"/>
  <c r="AD25" i="1"/>
  <c r="CR25" i="1" s="1"/>
  <c r="Q25" i="1" s="1"/>
  <c r="CX91" i="3"/>
  <c r="CX95" i="3"/>
  <c r="CX94" i="3"/>
  <c r="CX93" i="3"/>
  <c r="CX92" i="3"/>
  <c r="CX96" i="3"/>
  <c r="CX39" i="3"/>
  <c r="CX43" i="3"/>
  <c r="CX47" i="3"/>
  <c r="CX51" i="3"/>
  <c r="CX42" i="3"/>
  <c r="CX46" i="3"/>
  <c r="CX50" i="3"/>
  <c r="CX54" i="3"/>
  <c r="CX41" i="3"/>
  <c r="CX45" i="3"/>
  <c r="CX49" i="3"/>
  <c r="CX53" i="3"/>
  <c r="CX40" i="3"/>
  <c r="CX44" i="3"/>
  <c r="CX48" i="3"/>
  <c r="CX52" i="3"/>
  <c r="AB34" i="1"/>
  <c r="CX19" i="3"/>
  <c r="CX23" i="3"/>
  <c r="CX18" i="3"/>
  <c r="CX22" i="3"/>
  <c r="CX26" i="3"/>
  <c r="CX17" i="3"/>
  <c r="CX21" i="3"/>
  <c r="CX25" i="3"/>
  <c r="CX20" i="3"/>
  <c r="CX24" i="3"/>
  <c r="P29" i="1"/>
  <c r="CP29" i="1" s="1"/>
  <c r="O29" i="1" s="1"/>
  <c r="P28" i="1"/>
  <c r="CY26" i="1"/>
  <c r="X26" i="1" s="1"/>
  <c r="CX3" i="3"/>
  <c r="CX5" i="3"/>
  <c r="CX4" i="3"/>
  <c r="P36" i="1"/>
  <c r="CP36" i="1" s="1"/>
  <c r="O36" i="1" s="1"/>
  <c r="P35" i="1"/>
  <c r="CP35" i="1" s="1"/>
  <c r="O35" i="1" s="1"/>
  <c r="CX27" i="3"/>
  <c r="CX31" i="3"/>
  <c r="CX35" i="3"/>
  <c r="CX30" i="3"/>
  <c r="CX34" i="3"/>
  <c r="CX38" i="3"/>
  <c r="CX29" i="3"/>
  <c r="CX33" i="3"/>
  <c r="CX37" i="3"/>
  <c r="CX28" i="3"/>
  <c r="CX32" i="3"/>
  <c r="CX36" i="3"/>
  <c r="AB31" i="1"/>
  <c r="CQ30" i="1"/>
  <c r="P30" i="1" s="1"/>
  <c r="AD30" i="1"/>
  <c r="CR30" i="1" s="1"/>
  <c r="Q30" i="1" s="1"/>
  <c r="T29" i="1"/>
  <c r="AG50" i="1" s="1"/>
  <c r="AB29" i="1"/>
  <c r="T28" i="1"/>
  <c r="V27" i="1"/>
  <c r="R27" i="1"/>
  <c r="CZ27" i="1" s="1"/>
  <c r="Y27" i="1" s="1"/>
  <c r="V26" i="1"/>
  <c r="AI50" i="1" s="1"/>
  <c r="U25" i="1"/>
  <c r="W25" i="1"/>
  <c r="AB24" i="1"/>
  <c r="CX1" i="3"/>
  <c r="G24" i="5" l="1"/>
  <c r="G19" i="5"/>
  <c r="G20" i="5"/>
  <c r="E73" i="6"/>
  <c r="F21" i="6"/>
  <c r="E36" i="6" s="1"/>
  <c r="J140" i="5"/>
  <c r="J136" i="5"/>
  <c r="E18" i="6"/>
  <c r="G140" i="5"/>
  <c r="G136" i="5"/>
  <c r="G18" i="5"/>
  <c r="GO31" i="1"/>
  <c r="GM31" i="1"/>
  <c r="GM26" i="1"/>
  <c r="GO26" i="1"/>
  <c r="GM48" i="1"/>
  <c r="GO48" i="1"/>
  <c r="GM47" i="1"/>
  <c r="GM35" i="1"/>
  <c r="GO35" i="1"/>
  <c r="AE50" i="1"/>
  <c r="GM25" i="1"/>
  <c r="U22" i="1"/>
  <c r="F72" i="1"/>
  <c r="U80" i="1"/>
  <c r="GM36" i="1"/>
  <c r="GO36" i="1"/>
  <c r="CY27" i="1"/>
  <c r="X27" i="1" s="1"/>
  <c r="AO22" i="1"/>
  <c r="AO80" i="1"/>
  <c r="F54" i="1"/>
  <c r="AF22" i="1"/>
  <c r="S50" i="1"/>
  <c r="CY29" i="1"/>
  <c r="X29" i="1" s="1"/>
  <c r="AK50" i="1" s="1"/>
  <c r="GO40" i="1"/>
  <c r="GM40" i="1"/>
  <c r="FR27" i="1"/>
  <c r="CP27" i="1"/>
  <c r="O27" i="1" s="1"/>
  <c r="GM27" i="1" s="1"/>
  <c r="GM43" i="1"/>
  <c r="GN43" i="1"/>
  <c r="AD50" i="1"/>
  <c r="GM33" i="1"/>
  <c r="GO33" i="1"/>
  <c r="BC18" i="1"/>
  <c r="F96" i="1"/>
  <c r="GM29" i="1"/>
  <c r="GM24" i="1"/>
  <c r="GO24" i="1"/>
  <c r="AB50" i="1"/>
  <c r="GN42" i="1"/>
  <c r="CB50" i="1" s="1"/>
  <c r="GM42" i="1"/>
  <c r="BD22" i="1"/>
  <c r="BD80" i="1"/>
  <c r="F75" i="1"/>
  <c r="AZ22" i="1"/>
  <c r="F61" i="1"/>
  <c r="AZ80" i="1"/>
  <c r="AG22" i="1"/>
  <c r="T50" i="1"/>
  <c r="GO34" i="1"/>
  <c r="GM34" i="1"/>
  <c r="AP22" i="1"/>
  <c r="AP80" i="1"/>
  <c r="F59" i="1"/>
  <c r="G16" i="2" s="1"/>
  <c r="G18" i="2" s="1"/>
  <c r="CG22" i="1"/>
  <c r="AX50" i="1"/>
  <c r="AQ18" i="1"/>
  <c r="F90" i="1"/>
  <c r="AB28" i="1"/>
  <c r="AI22" i="1"/>
  <c r="V50" i="1"/>
  <c r="CP30" i="1"/>
  <c r="O30" i="1" s="1"/>
  <c r="CP28" i="1"/>
  <c r="O28" i="1" s="1"/>
  <c r="CY45" i="1"/>
  <c r="X45" i="1" s="1"/>
  <c r="GO45" i="1" s="1"/>
  <c r="CZ45" i="1"/>
  <c r="Y45" i="1" s="1"/>
  <c r="AL50" i="1" s="1"/>
  <c r="AC50" i="1"/>
  <c r="AJ22" i="1"/>
  <c r="W50" i="1"/>
  <c r="BB22" i="1"/>
  <c r="BB80" i="1"/>
  <c r="F63" i="1"/>
  <c r="GM37" i="1"/>
  <c r="GM46" i="1"/>
  <c r="GO46" i="1"/>
  <c r="GM44" i="1"/>
  <c r="GN44" i="1"/>
  <c r="CJ22" i="1"/>
  <c r="BA50" i="1"/>
  <c r="AU18" i="1"/>
  <c r="F99" i="1"/>
  <c r="AK22" i="1" l="1"/>
  <c r="X50" i="1"/>
  <c r="AL22" i="1"/>
  <c r="Y50" i="1"/>
  <c r="CB22" i="1"/>
  <c r="AS50" i="1"/>
  <c r="BA22" i="1"/>
  <c r="BA80" i="1"/>
  <c r="F70" i="1"/>
  <c r="H16" i="2" s="1"/>
  <c r="H18" i="2" s="1"/>
  <c r="BB18" i="1"/>
  <c r="F93" i="1"/>
  <c r="GO30" i="1"/>
  <c r="GM30" i="1"/>
  <c r="V22" i="1"/>
  <c r="F73" i="1"/>
  <c r="V80" i="1"/>
  <c r="T22" i="1"/>
  <c r="T80" i="1"/>
  <c r="F71" i="1"/>
  <c r="CA50" i="1"/>
  <c r="U18" i="1"/>
  <c r="F102" i="1"/>
  <c r="AE22" i="1"/>
  <c r="R50" i="1"/>
  <c r="GM45" i="1"/>
  <c r="W22" i="1"/>
  <c r="W80" i="1"/>
  <c r="F74" i="1"/>
  <c r="AX22" i="1"/>
  <c r="AX80" i="1"/>
  <c r="F57" i="1"/>
  <c r="GO29" i="1"/>
  <c r="CC50" i="1" s="1"/>
  <c r="AC22" i="1"/>
  <c r="P50" i="1"/>
  <c r="CF50" i="1"/>
  <c r="CE50" i="1"/>
  <c r="CH50" i="1"/>
  <c r="AD22" i="1"/>
  <c r="Q50" i="1"/>
  <c r="S22" i="1"/>
  <c r="S80" i="1"/>
  <c r="F65" i="1"/>
  <c r="J16" i="2" s="1"/>
  <c r="J18" i="2" s="1"/>
  <c r="AO18" i="1"/>
  <c r="F84" i="1"/>
  <c r="AP18" i="1"/>
  <c r="F89" i="1"/>
  <c r="GM28" i="1"/>
  <c r="GO28" i="1"/>
  <c r="AZ18" i="1"/>
  <c r="F91" i="1"/>
  <c r="BD18" i="1"/>
  <c r="F105" i="1"/>
  <c r="AB22" i="1"/>
  <c r="O50" i="1"/>
  <c r="CC22" i="1" l="1"/>
  <c r="AT50" i="1"/>
  <c r="Q22" i="1"/>
  <c r="Q80" i="1"/>
  <c r="F62" i="1"/>
  <c r="W18" i="1"/>
  <c r="F104" i="1"/>
  <c r="BA18" i="1"/>
  <c r="F100" i="1"/>
  <c r="O22" i="1"/>
  <c r="F52" i="1"/>
  <c r="O80" i="1"/>
  <c r="P22" i="1"/>
  <c r="F53" i="1"/>
  <c r="P80" i="1"/>
  <c r="AX18" i="1"/>
  <c r="F87" i="1"/>
  <c r="T18" i="1"/>
  <c r="F101" i="1"/>
  <c r="S18" i="1"/>
  <c r="F95" i="1"/>
  <c r="CH22" i="1"/>
  <c r="AY50" i="1"/>
  <c r="AS22" i="1"/>
  <c r="AS80" i="1"/>
  <c r="F67" i="1"/>
  <c r="E16" i="2" s="1"/>
  <c r="X22" i="1"/>
  <c r="F76" i="1"/>
  <c r="X80" i="1"/>
  <c r="CF22" i="1"/>
  <c r="AW50" i="1"/>
  <c r="Y22" i="1"/>
  <c r="F77" i="1"/>
  <c r="Y80" i="1"/>
  <c r="CE22" i="1"/>
  <c r="AV50" i="1"/>
  <c r="R22" i="1"/>
  <c r="F64" i="1"/>
  <c r="R80" i="1"/>
  <c r="CA22" i="1"/>
  <c r="AR50" i="1"/>
  <c r="V18" i="1"/>
  <c r="F103" i="1"/>
  <c r="O18" i="1" l="1"/>
  <c r="F82" i="1"/>
  <c r="R18" i="1"/>
  <c r="F94" i="1"/>
  <c r="AY22" i="1"/>
  <c r="AY80" i="1"/>
  <c r="F58" i="1"/>
  <c r="P18" i="1"/>
  <c r="F83" i="1"/>
  <c r="E18" i="2"/>
  <c r="I16" i="2"/>
  <c r="I18" i="2" s="1"/>
  <c r="AT22" i="1"/>
  <c r="F68" i="1"/>
  <c r="F16" i="2" s="1"/>
  <c r="F18" i="2" s="1"/>
  <c r="AT80" i="1"/>
  <c r="AV22" i="1"/>
  <c r="F55" i="1"/>
  <c r="AV80" i="1"/>
  <c r="Q18" i="1"/>
  <c r="F92" i="1"/>
  <c r="AW22" i="1"/>
  <c r="F56" i="1"/>
  <c r="AW80" i="1"/>
  <c r="Y18" i="1"/>
  <c r="F107" i="1"/>
  <c r="AR22" i="1"/>
  <c r="F78" i="1"/>
  <c r="AR80" i="1"/>
  <c r="X18" i="1"/>
  <c r="F106" i="1"/>
  <c r="AS18" i="1"/>
  <c r="F97" i="1"/>
  <c r="AW18" i="1" l="1"/>
  <c r="F86" i="1"/>
  <c r="AT18" i="1"/>
  <c r="F98" i="1"/>
  <c r="AY18" i="1"/>
  <c r="F88" i="1"/>
  <c r="AR18" i="1"/>
  <c r="F108" i="1"/>
  <c r="AV18" i="1"/>
  <c r="F85" i="1"/>
</calcChain>
</file>

<file path=xl/sharedStrings.xml><?xml version="1.0" encoding="utf-8"?>
<sst xmlns="http://schemas.openxmlformats.org/spreadsheetml/2006/main" count="3243" uniqueCount="564">
  <si>
    <t>Smeta.RU  (495) 974-1589</t>
  </si>
  <si>
    <t>_PS_</t>
  </si>
  <si>
    <t>Smeta.RU</t>
  </si>
  <si>
    <t/>
  </si>
  <si>
    <t>Новый объект</t>
  </si>
  <si>
    <t>МОСП ул.Щепкина д.61/2_(Монтаж)</t>
  </si>
  <si>
    <t>Сметные нормы списания</t>
  </si>
  <si>
    <t>Коды ценников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</si>
  <si>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</si>
  <si>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</si>
  <si>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для НБ 2014 года от 02.12.2020</t>
  </si>
  <si>
    <t>Новая локальная смета</t>
  </si>
  <si>
    <t>1</t>
  </si>
  <si>
    <t>м34-01-212-3</t>
  </si>
  <si>
    <t>Комплект оборудования для централизованной подачи кислорода, закиси азота и вакуума, в том числе клапан запорный для кислорода, закиси азота и вакуума</t>
  </si>
  <si>
    <t>1  ШТ.</t>
  </si>
  <si>
    <t>ТЕРм Московской обл., м34-01-212-3, приказ Минстроя России №675/пр от 28.02.2017 № 259/пр</t>
  </si>
  <si>
    <t>Монтажные работы</t>
  </si>
  <si>
    <t>Оборудование предприятий мед. промышленности</t>
  </si>
  <si>
    <t>мФЕР-34</t>
  </si>
  <si>
    <t>Цена поставщика</t>
  </si>
  <si>
    <t>шт.</t>
  </si>
  <si>
    <t>Материалы строительные</t>
  </si>
  <si>
    <t>Материалы, изделия и конструкции</t>
  </si>
  <si>
    <t>материалы (03)</t>
  </si>
  <si>
    <t>23 290,4 +  4,24% Трансп</t>
  </si>
  <si>
    <t>4,24</t>
  </si>
  <si>
    <t>0</t>
  </si>
  <si>
    <t>2</t>
  </si>
  <si>
    <t>м11-02-001-1</t>
  </si>
  <si>
    <t>Прибор, устанавливаемый на резьбовых соединениях, масса до 1,5 кг</t>
  </si>
  <si>
    <t>ТЕРм Московской обл., м11-02-001-1, приказ Минстроя России №675/пр от 28.02.2017 № 259/пр</t>
  </si>
  <si>
    <t>Автоматика  ( кроме микропроцессорной техники ) -  (при устройстве средств посадки самолетов : НР=95%, СП=55% - {АВИА}=1)</t>
  </si>
  <si>
    <t>мФЕР-11</t>
  </si>
  <si>
    <t>Расходомер  EE741, (EE741-A6D2AF2DN15/FU4 + HA081015, 4...20 мА/Импульсный, 15 mm, с дисплеем, кислород, 0.2...76.3 Nm3/h) с первичной поверкой</t>
  </si>
  <si>
    <t>[289 800 / 1,2] +  4,24% Трансп</t>
  </si>
  <si>
    <t>Фитинг  CMC12M8G</t>
  </si>
  <si>
    <t>[2 425,43 / 1,2] +  5,06% Трансп</t>
  </si>
  <si>
    <t>5,06</t>
  </si>
  <si>
    <t>3</t>
  </si>
  <si>
    <t>м08-03-573-4</t>
  </si>
  <si>
    <t>Шкаф (пульт) управления навесной, высота, ширина и глубина до 600х600х350 мм</t>
  </si>
  <si>
    <t>ТЕРм Московской обл., м08-03-573-4, приказ Минстроя России №675/пр от 28.02.2017 № 259/пр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</si>
  <si>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</si>
  <si>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</si>
  <si>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Шкаф настенный  395х310х220мм</t>
  </si>
  <si>
    <t>[13 398 / 1,2] +  5,06% Трансп</t>
  </si>
  <si>
    <t>4</t>
  </si>
  <si>
    <t>м12-14-002-1</t>
  </si>
  <si>
    <t>Вентиль латунный запорный холодный низкого давления, диаметр условного прохода 20 мм</t>
  </si>
  <si>
    <t>100 шт.</t>
  </si>
  <si>
    <t>ТЕРм Московской обл., м12-14-002-1, приказ Минстроя России №675/пр от 28.02.2017 № 259/пр</t>
  </si>
  <si>
    <t>Технологические трубопроводы</t>
  </si>
  <si>
    <t>мФЕР-12</t>
  </si>
  <si>
    <t>302-1838</t>
  </si>
  <si>
    <t>Кран шаровой латунный, резьбовой марки "Danfoss", диаметром 20 мм</t>
  </si>
  <si>
    <t>ТССЦ Московской обл., 302-1838, приказ Минстроя России №675/пр от 28.02.2017 № 256/пр</t>
  </si>
  <si>
    <t>Материалы и конструкции ( строительные ) по ценникам и каталогом</t>
  </si>
  <si>
    <t>ФССЦст</t>
  </si>
  <si>
    <t>5</t>
  </si>
  <si>
    <t>м08-02-413-1</t>
  </si>
  <si>
    <t>Провод, количество проводов в резинобитумной трубке до 2, сечение провода до 6 мм2</t>
  </si>
  <si>
    <t>100 М ТРУБОК</t>
  </si>
  <si>
    <t>ТЕРм Московской обл., м08-02-413-1, приказ Минстроя России №675/пр от 28.02.2017 № 259/пр</t>
  </si>
  <si>
    <t>21.1.06.09-0059М</t>
  </si>
  <si>
    <t>Кабель силовой с медными жилами ВВГнг(А)-LSLTx 3х1.5</t>
  </si>
  <si>
    <t>1000 м</t>
  </si>
  <si>
    <t>Московская область Каталог текущих цен на материалы (ГАУ Мособлгосэкспертиза), 21.1.06.09-0059М</t>
  </si>
  <si>
    <t>1000 М</t>
  </si>
  <si>
    <t>Материалы монтажные</t>
  </si>
  <si>
    <t>Материалы и конструкции ( монтажные )  по ценникам и каталогам</t>
  </si>
  <si>
    <t>ФССЦм</t>
  </si>
  <si>
    <t>43 804,69</t>
  </si>
  <si>
    <t>Кабель  NUM 3х1,5</t>
  </si>
  <si>
    <t>м</t>
  </si>
  <si>
    <t>[94,6 / 1,2] +  5,06% Трансп</t>
  </si>
  <si>
    <t>6</t>
  </si>
  <si>
    <t>м10-02-016-6</t>
  </si>
  <si>
    <t>Отдельно устанавливаемый преобразователь или блок питания</t>
  </si>
  <si>
    <t>ТЕРм Московской обл., м10-02-016-6, приказ Минстроя России №675/пр от 28.02.2017 № 259/пр</t>
  </si>
  <si>
    <t>Связь:  городская, местная, междугородняя проводная телефонная связь ( отделы 1, 2, 3 ) - ( при уст-ве средств посадки самолетов:  {AВИА}=1 - НР=95%, СП=55% )</t>
  </si>
  <si>
    <t>мФЕР-10</t>
  </si>
  <si>
    <t>Блок питания  ARPV-24015B (24V, 0.63A, 15W)</t>
  </si>
  <si>
    <t>[605,08 / 1,2] +  4,24% Трансп</t>
  </si>
  <si>
    <t>7</t>
  </si>
  <si>
    <t>м12-01-105-1</t>
  </si>
  <si>
    <t>Трубопровод из медных труб на условное давление до 2,5 МПа, диаметр труб наружный 18 мм</t>
  </si>
  <si>
    <t>100 м</t>
  </si>
  <si>
    <t>ТЕРм Московской обл., м12-01-105-1, приказ Минстроя России №675/пр от 28.02.2017 № 259/пр</t>
  </si>
  <si>
    <t>507-2948</t>
  </si>
  <si>
    <t>Трубы медные отожженные (мягкие) универсальные в бухтах, размером 8х1 мм</t>
  </si>
  <si>
    <t>ТССЦ Московской обл., 507-2948, приказ Минстроя России №675/пр от 28.02.2017 № 258/пр</t>
  </si>
  <si>
    <t>507-2950</t>
  </si>
  <si>
    <t>Трубы медные отожженные (мягкие) универсальные в бухтах, размером 12х1 мм</t>
  </si>
  <si>
    <t>ТССЦ Московской обл., 507-2950, приказ Минстроя России №675/пр от 28.02.2017 № 258/пр</t>
  </si>
  <si>
    <t>8</t>
  </si>
  <si>
    <t>46-03-014-45</t>
  </si>
  <si>
    <t>Сверление горизонтальных отверстий в железобетонных конструкциях стен перфоратором глубиной 200 мм диаметром 20 мм</t>
  </si>
  <si>
    <t>100 отверстий</t>
  </si>
  <si>
    <t>ТЕР Московской обл., 46-03-014-45, приказ Минстроя России №675/пр от 28.02.2017 № 260/пр</t>
  </si>
  <si>
    <t>Общестроительные работы</t>
  </si>
  <si>
    <t>Реконструкция зданий и сооружений</t>
  </si>
  <si>
    <t>ФЕР-46</t>
  </si>
  <si>
    <t>*0,9</t>
  </si>
  <si>
    <t>*0,85</t>
  </si>
  <si>
    <t>9</t>
  </si>
  <si>
    <t>16-02-001-1</t>
  </si>
  <si>
    <t>Прокладка трубопроводов отопления из стальных водогазопроводных неоцинкованных труб диаметром 15 мм (прим. 17х2 мм для гильз)</t>
  </si>
  <si>
    <t>100 м трубопровода</t>
  </si>
  <si>
    <t>ТЕР Московской обл., 16-02-001-1, приказ Минстроя России №675/пр от 28.02.2017 № 260/пр</t>
  </si>
  <si>
    <t>)*1,25</t>
  </si>
  <si>
    <t>)*1,15</t>
  </si>
  <si>
    <t>Трубопроводы внутренние</t>
  </si>
  <si>
    <t>ФЕР-16</t>
  </si>
  <si>
    <t>Поправка: МДС 81-35.2004, п.4.7</t>
  </si>
  <si>
    <t>103-0013</t>
  </si>
  <si>
    <t>Трубы стальные сварные водогазопроводные с резьбой черные обыкновенные (неоцинкованные), диаметр условного прохода 15 мм, толщина стенки 2,8 мм</t>
  </si>
  <si>
    <t>ТССЦ Московской обл., 103-0013, приказ Минстроя России №675/пр от 28.02.2017 № 254/пр</t>
  </si>
  <si>
    <t>302-0881</t>
  </si>
  <si>
    <t>Узлы укрупненные монтажные (трубопроводы) из стальных водогазопроводных неоцинкованных труб с гильзами для систем отопления диаметром 15 мм</t>
  </si>
  <si>
    <t>ТССЦ Московской обл., 302-0881, приказ Минстроя России №675/пр от 28.02.2017 № 256/пр</t>
  </si>
  <si>
    <t>10</t>
  </si>
  <si>
    <t>м08-02-390-1</t>
  </si>
  <si>
    <t>Короба пластмассовые шириной до 40 мм</t>
  </si>
  <si>
    <t>ТЕРм Московской обл., м08-02-390-1, приказ Минстроя России №675/пр от 28.02.2017 № 259/пр</t>
  </si>
  <si>
    <t>509-1834</t>
  </si>
  <si>
    <t>Кабель-канал (короб) "Электропласт" 40x25 мм (прим. 30х25мм)</t>
  </si>
  <si>
    <t>ТССЦ Московской обл., 509-1834, приказ Минстроя России №675/пр от 28.02.2017 № 258/пр</t>
  </si>
  <si>
    <t>11</t>
  </si>
  <si>
    <t>м12-11-004-1</t>
  </si>
  <si>
    <t>Протравка и промывка труб различными реактивами, диаметр труб наружный 15-38 мм</t>
  </si>
  <si>
    <t>ТЕРм Московской обл., м12-11-004-1, приказ Минстроя России №675/пр от 28.02.2017 № 259/пр</t>
  </si>
  <si>
    <t>509-1230</t>
  </si>
  <si>
    <t>Фреон</t>
  </si>
  <si>
    <t>т</t>
  </si>
  <si>
    <t>ТССЦ Московской обл., 509-1230, приказ Минстроя России №675/пр от 28.02.2017 № 258/пр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</si>
  <si>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</si>
  <si>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</si>
  <si>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</si>
  <si>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</si>
  <si>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</si>
  <si>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</si>
  <si>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</si>
  <si>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</si>
  <si>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</si>
  <si>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</si>
  <si>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</si>
  <si>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</si>
  <si>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</si>
  <si>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</si>
  <si>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</si>
  <si>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</si>
  <si>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</si>
  <si>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</si>
  <si>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</si>
  <si>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</si>
  <si>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</si>
  <si>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</si>
  <si>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</si>
  <si>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</si>
  <si>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</si>
  <si>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</si>
  <si>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</si>
  <si>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</si>
  <si>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</si>
  <si>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</si>
  <si>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</si>
  <si>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</si>
  <si>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</si>
  <si>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</si>
  <si>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</si>
  <si>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</si>
  <si>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</si>
  <si>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</si>
  <si>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</si>
  <si>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</si>
  <si>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</si>
  <si>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</si>
  <si>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</si>
  <si>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</si>
  <si>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</si>
  <si>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</si>
  <si>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</si>
  <si>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</si>
  <si>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</si>
  <si>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</si>
  <si>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</si>
  <si>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</si>
  <si>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</si>
  <si>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</si>
  <si>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</si>
  <si>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</si>
  <si>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</si>
  <si>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</si>
  <si>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</si>
  <si>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</si>
  <si>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</si>
  <si>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</si>
  <si>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Капитальный ремонт прозводственных зданий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</si>
  <si>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</si>
  <si>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</si>
  <si>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</si>
  <si>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Упрощенное налогообложение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</si>
  <si>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</si>
  <si>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</si>
  <si>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</si>
  <si>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Хозяйственный способ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</si>
  <si>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</si>
  <si>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</si>
  <si>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</si>
  <si>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"Сложные объекты "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</si>
  <si>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</si>
  <si>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</si>
  <si>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При работе в текущем уровне цен с 27.04.2018 г.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</si>
  <si>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</si>
  <si>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</si>
  <si>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</si>
  <si>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городских в/опт. линий связи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</si>
  <si>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</si>
  <si>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</si>
  <si>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</si>
  <si>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 обслуживающие процессы )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</si>
  <si>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</si>
  <si>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</si>
  <si>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</si>
  <si>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</si>
  <si>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</si>
  <si>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</si>
  <si>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</si>
  <si>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Э/монтаж и контроль сварки на АЭС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</si>
  <si>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</si>
  <si>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</si>
  <si>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</si>
  <si>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</si>
  <si>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</si>
  <si>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</si>
  <si>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</si>
  <si>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</si>
  <si>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</si>
  <si>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</si>
  <si>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</si>
  <si>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</si>
  <si>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</si>
  <si>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</si>
  <si>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</si>
  <si>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</si>
  <si>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</si>
  <si>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</si>
  <si>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</si>
  <si>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</si>
  <si>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</si>
  <si>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</si>
  <si>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</si>
  <si>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</si>
  <si>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</si>
  <si>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</si>
  <si>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</si>
  <si>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</si>
  <si>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</si>
  <si>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</si>
  <si>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</si>
  <si>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</si>
  <si>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</si>
  <si>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</si>
  <si>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Московской области (редакция 2014 г)</t>
  </si>
  <si>
    <t>Вид цен</t>
  </si>
  <si>
    <t>Каталог текущих цен на оборудование по объектам Московской области, 2 кв. 2021 г</t>
  </si>
  <si>
    <t>Московская область Каталог текущих цен на материалы, апрель 2021 г</t>
  </si>
  <si>
    <t>_OBSM_</t>
  </si>
  <si>
    <t>1-2030-90</t>
  </si>
  <si>
    <t>Рабочий монтажник среднего разряда 3</t>
  </si>
  <si>
    <t>чел.-ч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</si>
  <si>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</si>
  <si>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</si>
  <si>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</si>
  <si>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</si>
  <si>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1-2042-90</t>
  </si>
  <si>
    <t>Рабочий монтажник среднего разряда 4,2</t>
  </si>
  <si>
    <t>509-2160</t>
  </si>
  <si>
    <t>ТССЦ Московской обл., 509-2160, приказ Минстроя России №675/пр от 28.02.2017 № 258/пр</t>
  </si>
  <si>
    <t>Прокладки паронитовые</t>
  </si>
  <si>
    <t>кг</t>
  </si>
  <si>
    <t>Затраты труда машинистов</t>
  </si>
  <si>
    <t>чел.час</t>
  </si>
  <si>
    <t>021102</t>
  </si>
  <si>
    <t>ТСЭМ Московской обл., 021102, приказ Минстроя России №675/пр от 28.02.2017 № 264/пр</t>
  </si>
  <si>
    <t>Краны на автомобильном ходу при работе на монтаже технологического оборудования 10 т</t>
  </si>
  <si>
    <t>маш.-ч</t>
  </si>
  <si>
    <t>040502</t>
  </si>
  <si>
    <t>ТСЭМ Московской обл., 040502, приказ Минстроя России №675/пр от 28.02.2017 № 264/пр</t>
  </si>
  <si>
    <t>Установки для сварки ручной дуговой (постоянного тока)</t>
  </si>
  <si>
    <t>050101</t>
  </si>
  <si>
    <t>ТСЭМ Московской обл., 050101, приказ Минстроя России №675/пр от 28.02.2017 № 264/пр</t>
  </si>
  <si>
    <t>Компрессоры передвижные с двигателем внутреннего сгорания давлением до 686 кПа (7 ат), производительность  до 5 м3/мин</t>
  </si>
  <si>
    <t>100602</t>
  </si>
  <si>
    <t>ТСЭМ Московской обл., 100602, приказ Минстроя России №675/пр от 28.02.2017 № 264/пр</t>
  </si>
  <si>
    <t>Молотки бурильные легкие при работе от передвижных компрессорных станций</t>
  </si>
  <si>
    <t>400001</t>
  </si>
  <si>
    <t>ТСЭМ Московской обл., 400001, приказ Минстроя России №675/пр от 28.02.2017 № 264/пр</t>
  </si>
  <si>
    <t>Автомобили бортовые, грузоподъемность до 5 т</t>
  </si>
  <si>
    <t>101-1924</t>
  </si>
  <si>
    <t>ТССЦ Московской обл., 101-1924, приказ Минстроя России №675/пр от 28.02.2017 № 254/пр</t>
  </si>
  <si>
    <t>Электроды диаметром 4 мм Э42А</t>
  </si>
  <si>
    <t>101-1977</t>
  </si>
  <si>
    <t>ТССЦ Московской обл., 101-1977, приказ Минстроя России №675/пр от 28.02.2017 № 254/пр</t>
  </si>
  <si>
    <t>Болты с гайками и шайбами строительные</t>
  </si>
  <si>
    <t>101-2143</t>
  </si>
  <si>
    <t>ТССЦ Московской обл., 101-2143, приказ Минстроя России №675/пр от 28.02.2017 № 254/пр</t>
  </si>
  <si>
    <t>Краска</t>
  </si>
  <si>
    <t>1-2040-90</t>
  </si>
  <si>
    <t>Рабочий монтажник среднего разряда 4</t>
  </si>
  <si>
    <t>101-0112</t>
  </si>
  <si>
    <t>ТССЦ Московской обл., 101-0112, приказ Минстроя России №675/пр от 28.02.2017 № 254/пр</t>
  </si>
  <si>
    <t>Бура</t>
  </si>
  <si>
    <t>101-0324</t>
  </si>
  <si>
    <t>ТССЦ Московской обл., 101-0324, приказ Минстроя России №675/пр от 28.02.2017 № 254/пр</t>
  </si>
  <si>
    <t>Кислород технический газообразный</t>
  </si>
  <si>
    <t>м3</t>
  </si>
  <si>
    <t>101-1602</t>
  </si>
  <si>
    <t>ТССЦ Московской обл., 101-1602, приказ Минстроя России №675/пр от 28.02.2017 № 254/пр</t>
  </si>
  <si>
    <t>Ацетилен газообразный технический</t>
  </si>
  <si>
    <t>506-1384</t>
  </si>
  <si>
    <t>ТССЦ Московской обл., 506-1384, приказ Минстроя России №675/пр от 28.02.2017 № 258/пр</t>
  </si>
  <si>
    <t>Припои марки ПРМНМЦ 68-4-2</t>
  </si>
  <si>
    <t>1-2038-90</t>
  </si>
  <si>
    <t>Рабочий монтажник среднего разряда 3,8</t>
  </si>
  <si>
    <t>101-0319</t>
  </si>
  <si>
    <t>ТССЦ Московской обл., 101-0319, приказ Минстроя России №675/пр от 28.02.2017 № 254/пр</t>
  </si>
  <si>
    <t>Картон строительный прокладочный марки Б</t>
  </si>
  <si>
    <t>101-0612</t>
  </si>
  <si>
    <t>ТССЦ Московской обл., 101-0612, приказ Минстроя России №675/пр от 28.02.2017 № 254/пр</t>
  </si>
  <si>
    <t>Мастика клеящая морозостойкая битумно-масляная МБ-50</t>
  </si>
  <si>
    <t>101-1764</t>
  </si>
  <si>
    <t>ТССЦ Московской обл., 101-1764, приказ Минстроя России №675/пр от 28.02.2017 № 254/пр</t>
  </si>
  <si>
    <t>Тальк молотый, сорт I</t>
  </si>
  <si>
    <t>101-2499</t>
  </si>
  <si>
    <t>ТССЦ Московской обл., 101-2499, приказ Минстроя России №675/пр от 28.02.2017 № 254/пр</t>
  </si>
  <si>
    <t>Лента изоляционная прорезиненная односторонняя ширина 20 мм, толщина 0,25-0,35 мм</t>
  </si>
  <si>
    <t>101-3914</t>
  </si>
  <si>
    <t>ТССЦ Московской обл., 101-3914, приказ Минстроя России №675/пр от 28.02.2017 № 254/пр</t>
  </si>
  <si>
    <t>Дюбели распорные полипропиленовые</t>
  </si>
  <si>
    <t>405-0219</t>
  </si>
  <si>
    <t>ТССЦ Московской обл., 405-0219, приказ Минстроя России №675/пр от 28.02.2017 № 257/пр</t>
  </si>
  <si>
    <t>Гипсовые вяжущие, марка Г3</t>
  </si>
  <si>
    <t>1-2050-90</t>
  </si>
  <si>
    <t>Рабочий монтажник среднего разряда 5</t>
  </si>
  <si>
    <t>030101</t>
  </si>
  <si>
    <t>ТСЭМ Московской обл., 030101, приказ Минстроя России №675/пр от 28.02.2017 № 264/пр</t>
  </si>
  <si>
    <t>Автопогрузчики 5 т</t>
  </si>
  <si>
    <t>101-1665</t>
  </si>
  <si>
    <t>ТССЦ Московской обл., 101-1665, приказ Минстроя России №675/пр от 28.02.2017 № 254/пр</t>
  </si>
  <si>
    <t>Лак электроизоляционный 318</t>
  </si>
  <si>
    <t>101-1959</t>
  </si>
  <si>
    <t>ТССЦ Московской обл., 101-1959, приказ Минстроя России №675/пр от 28.02.2017 № 254/пр</t>
  </si>
  <si>
    <t>Краска водоэмульсионная ВЭАК-1180</t>
  </si>
  <si>
    <t>101-1963</t>
  </si>
  <si>
    <t>ТССЦ Московской обл., 101-1963, приказ Минстроя России №675/пр от 28.02.2017 № 254/пр</t>
  </si>
  <si>
    <t>Канифоль сосновая</t>
  </si>
  <si>
    <t>101-2206</t>
  </si>
  <si>
    <t>ТССЦ Московской обл., 101-2206, приказ Минстроя России №675/пр от 28.02.2017 № 254/пр</t>
  </si>
  <si>
    <t>Дюбели пластмассовые с шурупами 12х70 мм</t>
  </si>
  <si>
    <t>101-2493</t>
  </si>
  <si>
    <t>ТССЦ Московской обл., 101-2493, приказ Минстроя России №675/пр от 28.02.2017 № 254/пр</t>
  </si>
  <si>
    <t>Лента липкая изоляционная на поликасиновом компаунде марки ЛСЭПЛ, шириной 20-30 мм, толщиной от 0,14 до 0,19 мм</t>
  </si>
  <si>
    <t>110-0113</t>
  </si>
  <si>
    <t>ТССЦ Московской обл., 110-0113, приказ Минстроя России №675/пр от 28.02.2017 № 254/пр</t>
  </si>
  <si>
    <t>Скрепы 10х2</t>
  </si>
  <si>
    <t>506-0855</t>
  </si>
  <si>
    <t>ТССЦ Московской обл., 506-0855, приказ Минстроя России №675/пр от 28.02.2017 № 258/пр</t>
  </si>
  <si>
    <t>Проволока медная круглая электротехническая ММ (мягкая) диаметром 1,0-3,0 мм и выше</t>
  </si>
  <si>
    <t>506-1361</t>
  </si>
  <si>
    <t>ТССЦ Московской обл., 506-1361, приказ Минстроя России №675/пр от 28.02.2017 № 258/пр</t>
  </si>
  <si>
    <t>Припои оловянно-свинцовые бессурьмянистые марки ПОС40</t>
  </si>
  <si>
    <t>507-0702</t>
  </si>
  <si>
    <t>ТССЦ Московской обл., 507-0702, приказ Минстроя России №675/пр от 28.02.2017 № 258/пр</t>
  </si>
  <si>
    <t>Трубка полихлорвиниловая ПХВ-305 диаметром 6-10 мм</t>
  </si>
  <si>
    <t>509-0056</t>
  </si>
  <si>
    <t>ТССЦ Московской обл., 509-0056, приказ Минстроя России №675/пр от 28.02.2017 № 258/пр</t>
  </si>
  <si>
    <t>Наконечники кабельные П2.5-4Д-МУ3</t>
  </si>
  <si>
    <t>030403</t>
  </si>
  <si>
    <t>ТСЭМ Московской обл., 030403, приказ Минстроя России №675/пр от 28.02.2017 № 264/пр</t>
  </si>
  <si>
    <t>Лебедки электрические тяговым усилием 19,62 кН (2 т)</t>
  </si>
  <si>
    <t>151301</t>
  </si>
  <si>
    <t>ТСЭМ Московской обл., 151301, приказ Минстроя России №675/пр от 28.02.2017 № 264/пр</t>
  </si>
  <si>
    <t>Станки трубогибочные для труб диаметром 200-500 мм</t>
  </si>
  <si>
    <t>411-0002</t>
  </si>
  <si>
    <t>ТССЦ Московской обл., 411-0002, приказ Минстроя России №675/пр от 28.02.2017 № 257/пр</t>
  </si>
  <si>
    <t>Вода водопроводная</t>
  </si>
  <si>
    <t>509-0084</t>
  </si>
  <si>
    <t>ТССЦ Московской обл., 509-0084, приказ Минстроя России №675/пр от 28.02.2017 № 258/пр</t>
  </si>
  <si>
    <t>Припой</t>
  </si>
  <si>
    <t>1-1030-90</t>
  </si>
  <si>
    <t>Рабочий строитель среднего разряда 3</t>
  </si>
  <si>
    <t>331454</t>
  </si>
  <si>
    <t>ТСЭМ Московской обл., 331454, приказ Минстроя России №675/пр от 28.02.2017 № 264/пр</t>
  </si>
  <si>
    <t>Перфоратор электрический мощностью 1,5 кВт, энергией удара до 18 Дж</t>
  </si>
  <si>
    <t>1-1040-90</t>
  </si>
  <si>
    <t>Рабочий строитель среднего разряда 4</t>
  </si>
  <si>
    <t>020129</t>
  </si>
  <si>
    <t>ТСЭМ Московской обл., 020129, приказ Минстроя России №675/пр от 28.02.2017 № 264/пр</t>
  </si>
  <si>
    <t>Краны башенные при работе на других видах строительства 8 т</t>
  </si>
  <si>
    <t>021141</t>
  </si>
  <si>
    <t>ТСЭМ Московской обл., 021141, приказ Минстроя России №675/пр от 28.02.2017 № 264/пр</t>
  </si>
  <si>
    <t>Краны на автомобильном ходу при работе на других видах строительства 10 т</t>
  </si>
  <si>
    <t>040504</t>
  </si>
  <si>
    <t>ТСЭМ Московской обл., 040504, приказ Минстроя России №675/пр от 28.02.2017 № 264/пр</t>
  </si>
  <si>
    <t>Аппарат для газовой сварки и резки</t>
  </si>
  <si>
    <t>101-0063</t>
  </si>
  <si>
    <t>ТССЦ Московской обл., 101-0063, приказ Минстроя России №675/пр от 28.02.2017 № 254/пр</t>
  </si>
  <si>
    <t>Ацетилен растворенный технический марки А</t>
  </si>
  <si>
    <t>101-0388</t>
  </si>
  <si>
    <t>ТССЦ Московской обл., 101-0388, приказ Минстроя России №675/пр от 28.02.2017 № 254/пр</t>
  </si>
  <si>
    <t>Краски масляные земляные марки МА-0115 мумия, сурик железный</t>
  </si>
  <si>
    <t>101-0628</t>
  </si>
  <si>
    <t>ТССЦ Московской обл., 101-0628, приказ Минстроя России №675/пр от 28.02.2017 № 254/пр</t>
  </si>
  <si>
    <t>Олифа комбинированная, марки К-3</t>
  </si>
  <si>
    <t>101-0807</t>
  </si>
  <si>
    <t>ТССЦ Московской обл., 101-0807, приказ Минстроя России №675/пр от 28.02.2017 № 254/пр</t>
  </si>
  <si>
    <t>Проволока сварочная легированная диаметром 4 мм</t>
  </si>
  <si>
    <t>101-1669</t>
  </si>
  <si>
    <t>ТССЦ Московской обл., 101-1669, приказ Минстроя России №675/пр от 28.02.2017 № 254/пр</t>
  </si>
  <si>
    <t>Очес льняной</t>
  </si>
  <si>
    <t>405-1601</t>
  </si>
  <si>
    <t>ТССЦ Московской обл., 405-1601, приказ Минстроя России №675/пр от 28.02.2017 № 257/пр</t>
  </si>
  <si>
    <t>Известь строительная негашеная хлорная, марки А</t>
  </si>
  <si>
    <t>411-0001</t>
  </si>
  <si>
    <t>ТССЦ Московской обл., 411-0001, приказ Минстроя России №675/пр от 28.02.2017 № 257/пр</t>
  </si>
  <si>
    <t>Вода</t>
  </si>
  <si>
    <t>1-1039-90</t>
  </si>
  <si>
    <t>Рабочий строитель среднего разряда 3,9</t>
  </si>
  <si>
    <t>030954</t>
  </si>
  <si>
    <t>ТСЭМ Московской обл., 030954, приказ Минстроя России №675/пр от 28.02.2017 № 264/пр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</si>
  <si>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</si>
  <si>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</si>
  <si>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28.02.2017 № 264/пр</t>
  </si>
  <si>
    <t>Шуруповерт</t>
  </si>
  <si>
    <t>331451</t>
  </si>
  <si>
    <t>ТСЭМ Московской обл., 331451, приказ Минстроя России №675/пр от 28.02.2017 № 264/пр</t>
  </si>
  <si>
    <t>Перфораторы электрические</t>
  </si>
  <si>
    <t>101-1481</t>
  </si>
  <si>
    <t>ТССЦ Московской обл., 101-1481, приказ Минстроя России №675/пр от 28.02.2017 № 254/пр</t>
  </si>
  <si>
    <t>Шурупы с полукруглой головкой 4x40 мм</t>
  </si>
  <si>
    <t>101-2202</t>
  </si>
  <si>
    <t>ТССЦ Московской обл., 101-2202, приказ Минстроя России №675/пр от 28.02.2017 № 254/пр</t>
  </si>
  <si>
    <t>Дюбели распорные полиэтиленовые 6х40 мм</t>
  </si>
  <si>
    <t>1000 шт.</t>
  </si>
  <si>
    <t>050301</t>
  </si>
  <si>
    <t>ТСЭМ Московской обл., 050301, приказ Минстроя России №675/пр от 28.02.2017 № 264/пр</t>
  </si>
  <si>
    <t>Компрессоры самоходные с двигателем внутреннего сгорания давлением 800 кПа (8 ат), производительность 6,3 м3/мин</t>
  </si>
  <si>
    <t>999-0005</t>
  </si>
  <si>
    <t>ТССЦ Московской обл., 999-0005, приказ Минстроя России №675/пр от 21.09.2015 г.</t>
  </si>
  <si>
    <t>Масса оборудования</t>
  </si>
  <si>
    <t>103-9140</t>
  </si>
  <si>
    <t>ТССЦ Московской обл., 103-9140, приказ Минстроя России №675/пр от 28.02.2017 № 254/пр</t>
  </si>
  <si>
    <t>Арматура муфтовая</t>
  </si>
  <si>
    <t>301-9240</t>
  </si>
  <si>
    <t>ТССЦ Московской обл., 301-9240, приказ Минстроя России №675/пр от 28.02.2017 № 256/пр</t>
  </si>
  <si>
    <t>Крепления</t>
  </si>
  <si>
    <t>Консоль медицинская настенная вариант исполнения   CADUCEUS CN5-2 для кислорода со штекером.  Основной цвет консоли – транспортный белый (RAL 9016)Тип корпуса - сталь с полиэстеровым порошковым покрытием в составе: расходомер-увлажнитель кислорода (поплавковый)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</si>
  <si>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</si>
  <si>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</si>
  <si>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</si>
  <si>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</si>
  <si>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</si>
  <si>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</si>
  <si>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</si>
  <si>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</si>
  <si>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</si>
  <si>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</si>
  <si>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</si>
  <si>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</si>
  <si>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</si>
  <si>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</si>
  <si>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</si>
  <si>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</si>
  <si>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</si>
  <si>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</si>
  <si>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</si>
  <si>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</si>
  <si>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</si>
  <si>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</si>
  <si>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</si>
  <si>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</si>
  <si>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</si>
  <si>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</si>
  <si>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</si>
  <si>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Московской области (редакция 2014 г) апрель 2021 года и Каталог текущих цен на оборудование по объектам Московской области, 2 кв. 2021 г и Московская область Каталог текущих цен на материалы, апрель 2021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</si>
  <si>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</si>
  <si>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</si>
  <si>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</si>
  <si>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</si>
  <si>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</si>
  <si>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</si>
  <si>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</si>
  <si>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</si>
  <si>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r>
      <t>16-02-001-1</t>
    </r>
    <r>
      <rPr>
        <i/>
        <sz val="10"/>
        <rFont val="Arial"/>
        <family val="2"/>
        <charset val="204"/>
      </rPr>
      <t xml:space="preserve">
Поправка: МДС 81-35.2004, п.4.7</t>
    </r>
  </si>
  <si>
    <t xml:space="preserve">   </t>
  </si>
  <si>
    <t>[должность,подпись(инициалы,фамилия)]</t>
  </si>
  <si>
    <t xml:space="preserve">Составил  </t>
  </si>
  <si>
    <t xml:space="preserve">Проверил  </t>
  </si>
  <si>
    <t>TYPE</t>
  </si>
  <si>
    <t>SOURCE_LINK</t>
  </si>
  <si>
    <t>RABMAT_EX</t>
  </si>
  <si>
    <t>TIP_RAB</t>
  </si>
  <si>
    <t>TYPE_TRUD</t>
  </si>
  <si>
    <t>TAB</t>
  </si>
  <si>
    <t>NAME</t>
  </si>
  <si>
    <t>EDIZM</t>
  </si>
  <si>
    <t>KOLL</t>
  </si>
  <si>
    <t>UCH</t>
  </si>
  <si>
    <t>PRICE_B</t>
  </si>
  <si>
    <t>PRICE_ED</t>
  </si>
  <si>
    <t>STOIM_B</t>
  </si>
  <si>
    <t>PRICE_C</t>
  </si>
  <si>
    <t>STOIM_C</t>
  </si>
  <si>
    <t>ZPM_B</t>
  </si>
  <si>
    <t>ZPM_ED</t>
  </si>
  <si>
    <t>STOIM_ZPM_B</t>
  </si>
  <si>
    <t>ZPM_C</t>
  </si>
  <si>
    <t>STOIM_ZPM_C</t>
  </si>
  <si>
    <t>CRC_GR_RES</t>
  </si>
  <si>
    <t>CRC_B</t>
  </si>
  <si>
    <t>CRC_C</t>
  </si>
  <si>
    <t>RABMAT</t>
  </si>
  <si>
    <t>BuildingFinished</t>
  </si>
  <si>
    <t>Trud</t>
  </si>
  <si>
    <t>Mash</t>
  </si>
  <si>
    <t>Mat</t>
  </si>
  <si>
    <t>MatZak</t>
  </si>
  <si>
    <t>Oborud</t>
  </si>
  <si>
    <t>OborudZak</t>
  </si>
  <si>
    <t>ZeroStoim</t>
  </si>
  <si>
    <t>NegativeKoll</t>
  </si>
  <si>
    <t>ReUnionKollResurcy</t>
  </si>
  <si>
    <t>UnionOneUchRes</t>
  </si>
  <si>
    <t>IdLevel</t>
  </si>
  <si>
    <t>Ресурсная ведомость на</t>
  </si>
  <si>
    <t>Обоснование</t>
  </si>
  <si>
    <t>Наименование</t>
  </si>
  <si>
    <t>Единица измерения</t>
  </si>
  <si>
    <t>Объем</t>
  </si>
  <si>
    <t>Базовая</t>
  </si>
  <si>
    <t>цена</t>
  </si>
  <si>
    <t>стоимость</t>
  </si>
  <si>
    <t xml:space="preserve">Трудовые ресурсы </t>
  </si>
  <si>
    <t xml:space="preserve">Итого трудовые ресурсы </t>
  </si>
  <si>
    <t xml:space="preserve">Машины и механизмы </t>
  </si>
  <si>
    <t xml:space="preserve">Итого машины и механизмы </t>
  </si>
  <si>
    <t xml:space="preserve">Материальные ресурсы </t>
  </si>
  <si>
    <t xml:space="preserve">Итого материальные ресурсы </t>
  </si>
  <si>
    <t>"СОГЛАСОВАНО"</t>
  </si>
  <si>
    <t>___________________________</t>
  </si>
  <si>
    <t>"УТВЕРЖДАЮ"</t>
  </si>
  <si>
    <t>" ___ " ___________ 20 ___ г.</t>
  </si>
  <si>
    <t>Количество</t>
  </si>
  <si>
    <t>Примечание</t>
  </si>
  <si>
    <t>Заказчик _________________</t>
  </si>
  <si>
    <t>Подрядчик _________________</t>
  </si>
  <si>
    <t>Итого:</t>
  </si>
  <si>
    <t>в т.ч. СМР</t>
  </si>
  <si>
    <t>НДС-20%</t>
  </si>
  <si>
    <t>Всего с учетом НДС</t>
  </si>
  <si>
    <t>Прокладка трассы снабжения медицинским кислородом  по адресу: ул. Щепкина д. 61/2, стр.1, 6 этаж.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</si>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</sst>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21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3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3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13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20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3" fillId="0" borderId="0" xfId="0" applyFont="1" applyAlignment="1">
      <alignment horizontal="left" wrapText="1"/>
    </xf>
    <xf numFmtId="0" fontId="11" fillId="0" borderId="3" xfId="0" applyFont="1" applyBorder="1" applyAlignment="1">
      <alignment horizontal="right"/>
    </xf>
    <xf numFmtId="49" fontId="11" fillId="0" borderId="3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right" wrapText="1"/>
    </xf>
    <xf numFmtId="164" fontId="11" fillId="0" borderId="3" xfId="0" applyNumberFormat="1" applyFont="1" applyBorder="1" applyAlignment="1">
      <alignment horizontal="righ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right" wrapText="1"/>
    </xf>
    <xf numFmtId="0" fontId="11" fillId="0" borderId="7" xfId="0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0" fontId="19" fillId="0" borderId="0" xfId="0" applyFont="1" applyAlignment="1">
      <alignment horizontal="center" wrapText="1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 wrapText="1"/>
    </xf>
    <xf numFmtId="164" fontId="13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1" fillId="0" borderId="0" xfId="0" applyFont="1"/>
    <xf numFmtId="0" fontId="14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3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right"/>
    </xf>
    <xf numFmtId="164" fontId="13" fillId="0" borderId="3" xfId="0" applyNumberFormat="1" applyFont="1" applyBorder="1" applyAlignment="1">
      <alignment horizontal="right"/>
    </xf>
    <xf numFmtId="0" fontId="19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9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6"/>
  <sheetViews>
    <sheetView tabSelected="1" zoomScaleNormal="100" workbookViewId="0">
      <selection activeCell="M11" sqref="M11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 x14ac:dyDescent="0.2">
      <c r="A1" s="9" t="str">
        <f>Source!B1</f>
        <v>Smeta.RU  (495) 974-1589</v>
      </c>
    </row>
    <row r="2" spans="1:12" ht="15.75" x14ac:dyDescent="0.25">
      <c r="A2" s="10"/>
      <c r="B2" s="82"/>
      <c r="C2" s="82"/>
      <c r="D2" s="82"/>
      <c r="E2" s="82"/>
      <c r="F2" s="82"/>
      <c r="G2" s="82"/>
      <c r="H2" s="82"/>
      <c r="I2" s="82"/>
      <c r="J2" s="82"/>
      <c r="K2" s="82"/>
      <c r="L2" s="10"/>
    </row>
    <row r="3" spans="1:12" ht="14.25" x14ac:dyDescent="0.2">
      <c r="A3" s="11"/>
      <c r="B3" s="83"/>
      <c r="C3" s="83"/>
      <c r="D3" s="83"/>
      <c r="E3" s="83"/>
      <c r="F3" s="83"/>
      <c r="G3" s="83"/>
      <c r="H3" s="83"/>
      <c r="I3" s="83"/>
      <c r="J3" s="83"/>
      <c r="K3" s="83"/>
      <c r="L3" s="10"/>
    </row>
    <row r="4" spans="1:12" ht="14.2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4.25" x14ac:dyDescent="0.2">
      <c r="A5" s="11"/>
      <c r="B5" s="11"/>
      <c r="C5" s="11"/>
      <c r="D5" s="11"/>
      <c r="E5" s="11"/>
      <c r="F5" s="72" t="s">
        <v>563</v>
      </c>
      <c r="G5" s="72"/>
      <c r="H5" s="80" t="str">
        <f>IF(Source!F12&lt;&gt;"Новый объект", Source!F12, "")</f>
        <v/>
      </c>
      <c r="I5" s="80"/>
      <c r="J5" s="80"/>
      <c r="K5" s="80"/>
      <c r="L5" s="10"/>
    </row>
    <row r="6" spans="1:12" ht="14.25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5.75" x14ac:dyDescent="0.25">
      <c r="A7" s="12"/>
      <c r="B7" s="82" t="str">
        <f>CONCATENATE( "ЛОКАЛЬНАЯ СМЕТА № ",IF(Source!F12&lt;&gt;"Новый объект", Source!F12, ""))</f>
        <v xml:space="preserve">ЛОКАЛЬНАЯ СМЕТА № </v>
      </c>
      <c r="C7" s="82"/>
      <c r="D7" s="82"/>
      <c r="E7" s="82"/>
      <c r="F7" s="82"/>
      <c r="G7" s="82"/>
      <c r="H7" s="82"/>
      <c r="I7" s="82"/>
      <c r="J7" s="82"/>
      <c r="K7" s="82"/>
      <c r="L7" s="12"/>
    </row>
    <row r="8" spans="1:12" ht="15.75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2"/>
    </row>
    <row r="9" spans="1:12" ht="18" hidden="1" x14ac:dyDescent="0.25">
      <c r="A9" s="12"/>
      <c r="B9" s="84"/>
      <c r="C9" s="84"/>
      <c r="D9" s="84"/>
      <c r="E9" s="84"/>
      <c r="F9" s="84"/>
      <c r="G9" s="84"/>
      <c r="H9" s="84"/>
      <c r="I9" s="84"/>
      <c r="J9" s="84"/>
      <c r="K9" s="84"/>
      <c r="L9" s="12"/>
    </row>
    <row r="10" spans="1:12" ht="14.25" hidden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x14ac:dyDescent="0.25">
      <c r="A11" s="11"/>
      <c r="B11" s="78" t="s">
        <v>562</v>
      </c>
      <c r="C11" s="78"/>
      <c r="D11" s="78"/>
      <c r="E11" s="78"/>
      <c r="F11" s="78"/>
      <c r="G11" s="78"/>
      <c r="H11" s="78"/>
      <c r="I11" s="78"/>
      <c r="J11" s="78"/>
      <c r="K11" s="78"/>
      <c r="L11" s="14"/>
    </row>
    <row r="12" spans="1:12" ht="14.25" x14ac:dyDescent="0.2">
      <c r="A12" s="11"/>
      <c r="B12" s="79" t="s">
        <v>460</v>
      </c>
      <c r="C12" s="79"/>
      <c r="D12" s="79"/>
      <c r="E12" s="79"/>
      <c r="F12" s="79"/>
      <c r="G12" s="79"/>
      <c r="H12" s="79"/>
      <c r="I12" s="79"/>
      <c r="J12" s="79"/>
      <c r="K12" s="79"/>
      <c r="L12" s="10"/>
    </row>
    <row r="13" spans="1:12" ht="14.2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ht="14.25" x14ac:dyDescent="0.2">
      <c r="A14" s="80" t="str">
        <f>CONCATENATE("Основание: ", Source!J12)</f>
        <v xml:space="preserve">Основание: 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1:12" ht="14.25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14.2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14.25" x14ac:dyDescent="0.2">
      <c r="A17" s="11"/>
      <c r="B17" s="11"/>
      <c r="C17" s="11"/>
      <c r="D17" s="11"/>
      <c r="E17" s="15"/>
      <c r="F17" s="15"/>
      <c r="G17" s="81" t="s">
        <v>461</v>
      </c>
      <c r="H17" s="81"/>
      <c r="I17" s="81" t="s">
        <v>462</v>
      </c>
      <c r="J17" s="81"/>
      <c r="K17" s="11"/>
      <c r="L17" s="11"/>
    </row>
    <row r="18" spans="1:12" ht="15" x14ac:dyDescent="0.25">
      <c r="A18" s="11"/>
      <c r="B18" s="11"/>
      <c r="C18" s="76" t="s">
        <v>463</v>
      </c>
      <c r="D18" s="76"/>
      <c r="E18" s="76"/>
      <c r="F18" s="76"/>
      <c r="G18" s="74">
        <f>SUM(O1:O141)/1000</f>
        <v>6.5479599999999998</v>
      </c>
      <c r="H18" s="74"/>
      <c r="I18" s="74">
        <f>(Source!F108/1000)</f>
        <v>160.86322000000001</v>
      </c>
      <c r="J18" s="74"/>
      <c r="K18" s="77" t="s">
        <v>464</v>
      </c>
      <c r="L18" s="77"/>
    </row>
    <row r="19" spans="1:12" ht="14.25" x14ac:dyDescent="0.2">
      <c r="A19" s="11"/>
      <c r="B19" s="11"/>
      <c r="C19" s="73" t="s">
        <v>465</v>
      </c>
      <c r="D19" s="73"/>
      <c r="E19" s="73"/>
      <c r="F19" s="73"/>
      <c r="G19" s="74">
        <f>SUM(W1:W141)/1000</f>
        <v>4.3840000000000004E-2</v>
      </c>
      <c r="H19" s="74"/>
      <c r="I19" s="74">
        <f>(Source!F97)/1000</f>
        <v>0.69640000000000002</v>
      </c>
      <c r="J19" s="74"/>
      <c r="K19" s="77" t="s">
        <v>464</v>
      </c>
      <c r="L19" s="77"/>
    </row>
    <row r="20" spans="1:12" ht="14.25" x14ac:dyDescent="0.2">
      <c r="A20" s="11"/>
      <c r="B20" s="11"/>
      <c r="C20" s="73" t="s">
        <v>466</v>
      </c>
      <c r="D20" s="73"/>
      <c r="E20" s="73"/>
      <c r="F20" s="73"/>
      <c r="G20" s="74">
        <f>SUM(X1:X141)/1000</f>
        <v>6.5041200000000012</v>
      </c>
      <c r="H20" s="74"/>
      <c r="I20" s="74">
        <f>(Source!F98)/1000</f>
        <v>160.16682</v>
      </c>
      <c r="J20" s="74"/>
      <c r="K20" s="77" t="s">
        <v>464</v>
      </c>
      <c r="L20" s="77"/>
    </row>
    <row r="21" spans="1:12" ht="14.25" x14ac:dyDescent="0.2">
      <c r="A21" s="11"/>
      <c r="B21" s="11"/>
      <c r="C21" s="73" t="s">
        <v>467</v>
      </c>
      <c r="D21" s="73"/>
      <c r="E21" s="73"/>
      <c r="F21" s="73"/>
      <c r="G21" s="74">
        <f>SUM(Y1:Y141)/1000</f>
        <v>0</v>
      </c>
      <c r="H21" s="74"/>
      <c r="I21" s="74">
        <f>(Source!F89)/1000</f>
        <v>0</v>
      </c>
      <c r="J21" s="74"/>
      <c r="K21" s="77" t="s">
        <v>464</v>
      </c>
      <c r="L21" s="77"/>
    </row>
    <row r="22" spans="1:12" ht="14.25" x14ac:dyDescent="0.2">
      <c r="A22" s="11"/>
      <c r="B22" s="11"/>
      <c r="C22" s="73" t="s">
        <v>468</v>
      </c>
      <c r="D22" s="73"/>
      <c r="E22" s="73"/>
      <c r="F22" s="73"/>
      <c r="G22" s="74">
        <f>SUM(Z1:Z141)/1000</f>
        <v>0</v>
      </c>
      <c r="H22" s="74"/>
      <c r="I22" s="74">
        <f>(Source!F99+Source!F100)/1000</f>
        <v>0</v>
      </c>
      <c r="J22" s="74"/>
      <c r="K22" s="77" t="s">
        <v>464</v>
      </c>
      <c r="L22" s="77"/>
    </row>
    <row r="23" spans="1:12" ht="15" x14ac:dyDescent="0.25">
      <c r="A23" s="11"/>
      <c r="B23" s="11"/>
      <c r="C23" s="76" t="s">
        <v>469</v>
      </c>
      <c r="D23" s="76"/>
      <c r="E23" s="76"/>
      <c r="F23" s="76"/>
      <c r="G23" s="74">
        <f>I23</f>
        <v>182.65142999999998</v>
      </c>
      <c r="H23" s="74"/>
      <c r="I23" s="74">
        <f>(Source!F102+Source!F103)</f>
        <v>182.65142999999998</v>
      </c>
      <c r="J23" s="74"/>
      <c r="K23" s="77" t="s">
        <v>470</v>
      </c>
      <c r="L23" s="77"/>
    </row>
    <row r="24" spans="1:12" ht="15" x14ac:dyDescent="0.25">
      <c r="A24" s="11"/>
      <c r="B24" s="11"/>
      <c r="C24" s="76" t="s">
        <v>471</v>
      </c>
      <c r="D24" s="76"/>
      <c r="E24" s="76"/>
      <c r="F24" s="76"/>
      <c r="G24" s="74">
        <f>SUM(R1:R141)/1000</f>
        <v>1.7771100000000004</v>
      </c>
      <c r="H24" s="74"/>
      <c r="I24" s="74">
        <f>(Source!F95+ Source!F94)/1000</f>
        <v>59.213149999999999</v>
      </c>
      <c r="J24" s="74"/>
      <c r="K24" s="77" t="s">
        <v>464</v>
      </c>
      <c r="L24" s="77"/>
    </row>
    <row r="25" spans="1:12" ht="14.25" hidden="1" x14ac:dyDescent="0.2">
      <c r="A25" s="11"/>
      <c r="B25" s="11"/>
      <c r="C25" s="73" t="s">
        <v>175</v>
      </c>
      <c r="D25" s="73"/>
      <c r="E25" s="73"/>
      <c r="F25" s="73"/>
      <c r="G25" s="74"/>
      <c r="H25" s="74"/>
      <c r="I25" s="74"/>
      <c r="J25" s="74"/>
      <c r="K25" s="16" t="s">
        <v>464</v>
      </c>
      <c r="L25" s="11"/>
    </row>
    <row r="26" spans="1:12" ht="15" x14ac:dyDescent="0.25">
      <c r="A26" s="11"/>
      <c r="B26" s="11"/>
      <c r="C26" s="17"/>
      <c r="D26" s="17"/>
      <c r="E26" s="17"/>
      <c r="F26" s="18"/>
      <c r="G26" s="19"/>
      <c r="H26" s="19"/>
      <c r="I26" s="19"/>
      <c r="J26" s="19"/>
      <c r="K26" s="19"/>
      <c r="L26" s="19"/>
    </row>
    <row r="27" spans="1:12" ht="15" hidden="1" x14ac:dyDescent="0.2">
      <c r="A27" s="18" t="s">
        <v>472</v>
      </c>
      <c r="B27" s="11"/>
      <c r="C27" s="11"/>
      <c r="D27" s="11"/>
      <c r="E27" s="11"/>
      <c r="F27" s="11"/>
      <c r="G27" s="20"/>
      <c r="H27" s="20"/>
      <c r="I27" s="21"/>
      <c r="J27" s="20"/>
      <c r="K27" s="20"/>
      <c r="L27" s="20"/>
    </row>
    <row r="28" spans="1:12" ht="15" hidden="1" x14ac:dyDescent="0.2">
      <c r="A28" s="18" t="s">
        <v>473</v>
      </c>
      <c r="B28" s="11"/>
      <c r="C28" s="11"/>
      <c r="D28" s="11"/>
      <c r="E28" s="11"/>
      <c r="F28" s="11"/>
      <c r="G28" s="20"/>
      <c r="H28" s="20"/>
      <c r="I28" s="21"/>
      <c r="J28" s="20"/>
      <c r="K28" s="20"/>
      <c r="L28" s="20"/>
    </row>
    <row r="29" spans="1:12" ht="15" hidden="1" x14ac:dyDescent="0.2">
      <c r="A29" s="11"/>
      <c r="B29" s="11"/>
      <c r="C29" s="22"/>
      <c r="D29" s="22"/>
      <c r="E29" s="22"/>
      <c r="F29" s="22"/>
      <c r="G29" s="20"/>
      <c r="H29" s="20"/>
      <c r="I29" s="21"/>
      <c r="J29" s="20"/>
      <c r="K29" s="20"/>
      <c r="L29" s="20"/>
    </row>
    <row r="30" spans="1:12" ht="14.25" x14ac:dyDescent="0.2">
      <c r="A30" s="75" t="s">
        <v>486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</row>
    <row r="31" spans="1:12" ht="57" x14ac:dyDescent="0.2">
      <c r="A31" s="23" t="s">
        <v>474</v>
      </c>
      <c r="B31" s="23" t="s">
        <v>475</v>
      </c>
      <c r="C31" s="23" t="s">
        <v>476</v>
      </c>
      <c r="D31" s="23" t="s">
        <v>477</v>
      </c>
      <c r="E31" s="23" t="s">
        <v>478</v>
      </c>
      <c r="F31" s="23" t="s">
        <v>479</v>
      </c>
      <c r="G31" s="23" t="s">
        <v>480</v>
      </c>
      <c r="H31" s="23" t="s">
        <v>481</v>
      </c>
      <c r="I31" s="23" t="s">
        <v>482</v>
      </c>
      <c r="J31" s="23" t="s">
        <v>483</v>
      </c>
      <c r="K31" s="23" t="s">
        <v>484</v>
      </c>
      <c r="L31" s="23" t="s">
        <v>485</v>
      </c>
    </row>
    <row r="32" spans="1:12" ht="14.25" x14ac:dyDescent="0.2">
      <c r="A32" s="24">
        <v>1</v>
      </c>
      <c r="B32" s="24">
        <v>2</v>
      </c>
      <c r="C32" s="24">
        <v>3</v>
      </c>
      <c r="D32" s="24">
        <v>4</v>
      </c>
      <c r="E32" s="24">
        <v>5</v>
      </c>
      <c r="F32" s="24">
        <v>6</v>
      </c>
      <c r="G32" s="24">
        <v>7</v>
      </c>
      <c r="H32" s="24">
        <v>8</v>
      </c>
      <c r="I32" s="24">
        <v>9</v>
      </c>
      <c r="J32" s="24">
        <v>10</v>
      </c>
      <c r="K32" s="24">
        <v>11</v>
      </c>
      <c r="L32" s="25">
        <v>12</v>
      </c>
    </row>
    <row r="34" spans="1:26" ht="16.5" x14ac:dyDescent="0.25">
      <c r="A34" s="66" t="str">
        <f>CONCATENATE("Локальная смета: ",IF(Source!G20&lt;&gt;"Новая локальная смета", Source!G20, ""))</f>
        <v xml:space="preserve">Локальная смета: 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1:26" ht="71.25" x14ac:dyDescent="0.2">
      <c r="A35" s="16" t="str">
        <f>Source!E24</f>
        <v>1</v>
      </c>
      <c r="B35" s="46" t="str">
        <f>Source!F24</f>
        <v>м34-01-212-3</v>
      </c>
      <c r="C35" s="46" t="str">
        <f>Source!G24</f>
        <v>Комплект оборудования для централизованной подачи кислорода, закиси азота и вакуума, в том числе клапан запорный для кислорода, закиси азота и вакуума</v>
      </c>
      <c r="D35" s="32" t="str">
        <f>Source!H24</f>
        <v>1  ШТ.</v>
      </c>
      <c r="E35" s="22">
        <f>Source!I24</f>
        <v>6</v>
      </c>
      <c r="F35" s="33">
        <f>Source!AL24+Source!AM24+Source!AO24</f>
        <v>35.840000000000003</v>
      </c>
      <c r="G35" s="34"/>
      <c r="H35" s="35"/>
      <c r="I35" s="34" t="str">
        <f>Source!BO24</f>
        <v>м34-01-212-3</v>
      </c>
      <c r="J35" s="34"/>
      <c r="K35" s="35"/>
      <c r="L35" s="36"/>
      <c r="S35">
        <f>ROUND((Source!FX24/100)*((ROUND(Source!AF24*Source!I24, 2)+ROUND(Source!AE24*Source!I24, 2))), 2)</f>
        <v>168.67</v>
      </c>
      <c r="T35">
        <f>Source!X24</f>
        <v>5620.15</v>
      </c>
      <c r="U35">
        <f>ROUND((Source!FY24/100)*((ROUND(Source!AF24*Source!I24, 2)+ROUND(Source!AE24*Source!I24, 2))), 2)</f>
        <v>126.5</v>
      </c>
      <c r="V35">
        <f>Source!Y24</f>
        <v>4215.1099999999997</v>
      </c>
    </row>
    <row r="36" spans="1:26" ht="14.25" x14ac:dyDescent="0.2">
      <c r="A36" s="16"/>
      <c r="B36" s="46"/>
      <c r="C36" s="46" t="s">
        <v>487</v>
      </c>
      <c r="D36" s="32"/>
      <c r="E36" s="22"/>
      <c r="F36" s="33">
        <f>Source!AO24</f>
        <v>35.14</v>
      </c>
      <c r="G36" s="34" t="str">
        <f>Source!DG24</f>
        <v/>
      </c>
      <c r="H36" s="35">
        <f>ROUND(Source!AF24*Source!I24, 2)</f>
        <v>210.84</v>
      </c>
      <c r="I36" s="34"/>
      <c r="J36" s="34">
        <f>IF(Source!BA24&lt;&gt; 0, Source!BA24, 1)</f>
        <v>33.32</v>
      </c>
      <c r="K36" s="35">
        <f>Source!S24</f>
        <v>7025.19</v>
      </c>
      <c r="L36" s="36"/>
      <c r="R36">
        <f>H36</f>
        <v>210.84</v>
      </c>
    </row>
    <row r="37" spans="1:26" ht="14.25" x14ac:dyDescent="0.2">
      <c r="A37" s="16"/>
      <c r="B37" s="46"/>
      <c r="C37" s="46" t="s">
        <v>488</v>
      </c>
      <c r="D37" s="32"/>
      <c r="E37" s="22"/>
      <c r="F37" s="33">
        <f>Source!AL24</f>
        <v>0.7</v>
      </c>
      <c r="G37" s="34" t="str">
        <f>Source!DD24</f>
        <v/>
      </c>
      <c r="H37" s="35">
        <f>ROUND(Source!AC24*Source!I24, 2)</f>
        <v>4.2</v>
      </c>
      <c r="I37" s="34"/>
      <c r="J37" s="34">
        <f>IF(Source!BC24&lt;&gt; 0, Source!BC24, 1)</f>
        <v>33.46</v>
      </c>
      <c r="K37" s="35">
        <f>Source!P24</f>
        <v>140.53</v>
      </c>
      <c r="L37" s="36"/>
    </row>
    <row r="38" spans="1:26" ht="14.25" x14ac:dyDescent="0.2">
      <c r="A38" s="16"/>
      <c r="B38" s="46"/>
      <c r="C38" s="46" t="s">
        <v>489</v>
      </c>
      <c r="D38" s="32" t="s">
        <v>490</v>
      </c>
      <c r="E38" s="22">
        <f>Source!BZ24</f>
        <v>80</v>
      </c>
      <c r="F38" s="49"/>
      <c r="G38" s="34"/>
      <c r="H38" s="35">
        <f>SUM(S35:S40)</f>
        <v>168.67</v>
      </c>
      <c r="I38" s="37"/>
      <c r="J38" s="31">
        <f>Source!AT24</f>
        <v>80</v>
      </c>
      <c r="K38" s="35">
        <f>SUM(T35:T40)</f>
        <v>5620.15</v>
      </c>
      <c r="L38" s="36"/>
    </row>
    <row r="39" spans="1:26" ht="14.25" x14ac:dyDescent="0.2">
      <c r="A39" s="16"/>
      <c r="B39" s="46"/>
      <c r="C39" s="46" t="s">
        <v>491</v>
      </c>
      <c r="D39" s="32" t="s">
        <v>490</v>
      </c>
      <c r="E39" s="22">
        <f>Source!CA24</f>
        <v>60</v>
      </c>
      <c r="F39" s="49"/>
      <c r="G39" s="34"/>
      <c r="H39" s="35">
        <f>SUM(U35:U40)</f>
        <v>126.5</v>
      </c>
      <c r="I39" s="37"/>
      <c r="J39" s="31">
        <f>Source!AU24</f>
        <v>60</v>
      </c>
      <c r="K39" s="35">
        <f>SUM(V35:V40)</f>
        <v>4215.1099999999997</v>
      </c>
      <c r="L39" s="36"/>
    </row>
    <row r="40" spans="1:26" ht="14.25" x14ac:dyDescent="0.2">
      <c r="A40" s="47"/>
      <c r="B40" s="48"/>
      <c r="C40" s="48" t="s">
        <v>492</v>
      </c>
      <c r="D40" s="38" t="s">
        <v>493</v>
      </c>
      <c r="E40" s="39">
        <f>Source!AQ24</f>
        <v>4.12</v>
      </c>
      <c r="F40" s="40"/>
      <c r="G40" s="41" t="str">
        <f>Source!DI24</f>
        <v/>
      </c>
      <c r="H40" s="42"/>
      <c r="I40" s="41"/>
      <c r="J40" s="41"/>
      <c r="K40" s="42"/>
      <c r="L40" s="43">
        <f>Source!U24</f>
        <v>24.72</v>
      </c>
    </row>
    <row r="41" spans="1:26" ht="15" x14ac:dyDescent="0.25">
      <c r="G41" s="69">
        <f>H36+H37+H38+H39</f>
        <v>510.21</v>
      </c>
      <c r="H41" s="69"/>
      <c r="J41" s="69">
        <f>K36+K37+K38+K39</f>
        <v>17000.98</v>
      </c>
      <c r="K41" s="69"/>
      <c r="L41" s="44">
        <f>Source!U24</f>
        <v>24.72</v>
      </c>
      <c r="O41" s="26">
        <f>G41</f>
        <v>510.21</v>
      </c>
      <c r="P41" s="26">
        <f>J41</f>
        <v>17000.98</v>
      </c>
      <c r="Q41" s="26">
        <f>L41</f>
        <v>24.72</v>
      </c>
      <c r="W41">
        <f>IF(Source!BI24&lt;=1,H36+H37+H38+H39, 0)</f>
        <v>0</v>
      </c>
      <c r="X41">
        <f>IF(Source!BI24=2,H36+H37+H38+H39, 0)</f>
        <v>510.21</v>
      </c>
      <c r="Y41">
        <f>IF(Source!BI24=3,H36+H37+H38+H39, 0)</f>
        <v>0</v>
      </c>
      <c r="Z41">
        <f>IF(Source!BI24=4,H36+H37+H38+H39, 0)</f>
        <v>0</v>
      </c>
    </row>
    <row r="42" spans="1:26" ht="42.75" x14ac:dyDescent="0.2">
      <c r="A42" s="16" t="str">
        <f>Source!E26</f>
        <v>2</v>
      </c>
      <c r="B42" s="46" t="str">
        <f>Source!F26</f>
        <v>м11-02-001-1</v>
      </c>
      <c r="C42" s="46" t="str">
        <f>Source!G26</f>
        <v>Прибор, устанавливаемый на резьбовых соединениях, масса до 1,5 кг</v>
      </c>
      <c r="D42" s="32" t="str">
        <f>Source!H26</f>
        <v>1  ШТ.</v>
      </c>
      <c r="E42" s="22">
        <f>Source!I26</f>
        <v>1</v>
      </c>
      <c r="F42" s="33">
        <f>Source!AL26+Source!AM26+Source!AO26</f>
        <v>11.530000000000001</v>
      </c>
      <c r="G42" s="34"/>
      <c r="H42" s="35"/>
      <c r="I42" s="34" t="str">
        <f>Source!BO26</f>
        <v>м11-02-001-1</v>
      </c>
      <c r="J42" s="34"/>
      <c r="K42" s="35"/>
      <c r="L42" s="36"/>
      <c r="S42">
        <f>ROUND((Source!FX26/100)*((ROUND(Source!AF26*Source!I26, 2)+ROUND(Source!AE26*Source!I26, 2))), 2)</f>
        <v>8.18</v>
      </c>
      <c r="T42">
        <f>Source!X26</f>
        <v>272.42</v>
      </c>
      <c r="U42">
        <f>ROUND((Source!FY26/100)*((ROUND(Source!AF26*Source!I26, 2)+ROUND(Source!AE26*Source!I26, 2))), 2)</f>
        <v>6.13</v>
      </c>
      <c r="V42">
        <f>Source!Y26</f>
        <v>204.32</v>
      </c>
    </row>
    <row r="43" spans="1:26" ht="14.25" x14ac:dyDescent="0.2">
      <c r="A43" s="16"/>
      <c r="B43" s="46"/>
      <c r="C43" s="46" t="s">
        <v>487</v>
      </c>
      <c r="D43" s="32"/>
      <c r="E43" s="22"/>
      <c r="F43" s="33">
        <f>Source!AO26</f>
        <v>10.220000000000001</v>
      </c>
      <c r="G43" s="34" t="str">
        <f>Source!DG26</f>
        <v/>
      </c>
      <c r="H43" s="35">
        <f>ROUND(Source!AF26*Source!I26, 2)</f>
        <v>10.220000000000001</v>
      </c>
      <c r="I43" s="34"/>
      <c r="J43" s="34">
        <f>IF(Source!BA26&lt;&gt; 0, Source!BA26, 1)</f>
        <v>33.32</v>
      </c>
      <c r="K43" s="35">
        <f>Source!S26</f>
        <v>340.53</v>
      </c>
      <c r="L43" s="36"/>
      <c r="R43">
        <f>H43</f>
        <v>10.220000000000001</v>
      </c>
    </row>
    <row r="44" spans="1:26" ht="14.25" x14ac:dyDescent="0.2">
      <c r="A44" s="16"/>
      <c r="B44" s="46"/>
      <c r="C44" s="46" t="s">
        <v>488</v>
      </c>
      <c r="D44" s="32"/>
      <c r="E44" s="22"/>
      <c r="F44" s="33">
        <f>Source!AL26</f>
        <v>1.31</v>
      </c>
      <c r="G44" s="34" t="str">
        <f>Source!DD26</f>
        <v/>
      </c>
      <c r="H44" s="35">
        <f>ROUND(Source!AC26*Source!I26, 2)</f>
        <v>1.31</v>
      </c>
      <c r="I44" s="34"/>
      <c r="J44" s="34">
        <f>IF(Source!BC26&lt;&gt; 0, Source!BC26, 1)</f>
        <v>8.9499999999999993</v>
      </c>
      <c r="K44" s="35">
        <f>Source!P26</f>
        <v>11.72</v>
      </c>
      <c r="L44" s="36"/>
    </row>
    <row r="45" spans="1:26" ht="14.25" x14ac:dyDescent="0.2">
      <c r="A45" s="16"/>
      <c r="B45" s="46"/>
      <c r="C45" s="46" t="s">
        <v>489</v>
      </c>
      <c r="D45" s="32" t="s">
        <v>490</v>
      </c>
      <c r="E45" s="22">
        <f>Source!BZ26</f>
        <v>80</v>
      </c>
      <c r="F45" s="49"/>
      <c r="G45" s="34"/>
      <c r="H45" s="35">
        <f>SUM(S42:S47)</f>
        <v>8.18</v>
      </c>
      <c r="I45" s="37"/>
      <c r="J45" s="31">
        <f>Source!AT26</f>
        <v>80</v>
      </c>
      <c r="K45" s="35">
        <f>SUM(T42:T47)</f>
        <v>272.42</v>
      </c>
      <c r="L45" s="36"/>
    </row>
    <row r="46" spans="1:26" ht="14.25" x14ac:dyDescent="0.2">
      <c r="A46" s="16"/>
      <c r="B46" s="46"/>
      <c r="C46" s="46" t="s">
        <v>491</v>
      </c>
      <c r="D46" s="32" t="s">
        <v>490</v>
      </c>
      <c r="E46" s="22">
        <f>Source!CA26</f>
        <v>60</v>
      </c>
      <c r="F46" s="49"/>
      <c r="G46" s="34"/>
      <c r="H46" s="35">
        <f>SUM(U42:U47)</f>
        <v>6.13</v>
      </c>
      <c r="I46" s="37"/>
      <c r="J46" s="31">
        <f>Source!AU26</f>
        <v>60</v>
      </c>
      <c r="K46" s="35">
        <f>SUM(V42:V47)</f>
        <v>204.32</v>
      </c>
      <c r="L46" s="36"/>
    </row>
    <row r="47" spans="1:26" ht="14.25" x14ac:dyDescent="0.2">
      <c r="A47" s="47"/>
      <c r="B47" s="48"/>
      <c r="C47" s="48" t="s">
        <v>492</v>
      </c>
      <c r="D47" s="38" t="s">
        <v>493</v>
      </c>
      <c r="E47" s="39">
        <f>Source!AQ26</f>
        <v>1.03</v>
      </c>
      <c r="F47" s="40"/>
      <c r="G47" s="41" t="str">
        <f>Source!DI26</f>
        <v/>
      </c>
      <c r="H47" s="42"/>
      <c r="I47" s="41"/>
      <c r="J47" s="41"/>
      <c r="K47" s="42"/>
      <c r="L47" s="43">
        <f>Source!U26</f>
        <v>1.03</v>
      </c>
    </row>
    <row r="48" spans="1:26" ht="15" x14ac:dyDescent="0.25">
      <c r="G48" s="69">
        <f>H43+H44+H45+H46</f>
        <v>25.84</v>
      </c>
      <c r="H48" s="69"/>
      <c r="J48" s="69">
        <f>K43+K44+K45+K46</f>
        <v>828.99</v>
      </c>
      <c r="K48" s="69"/>
      <c r="L48" s="44">
        <f>Source!U26</f>
        <v>1.03</v>
      </c>
      <c r="O48" s="26">
        <f>G48</f>
        <v>25.84</v>
      </c>
      <c r="P48" s="26">
        <f>J48</f>
        <v>828.99</v>
      </c>
      <c r="Q48" s="26">
        <f>L48</f>
        <v>1.03</v>
      </c>
      <c r="W48">
        <f>IF(Source!BI26&lt;=1,H43+H44+H45+H46, 0)</f>
        <v>0</v>
      </c>
      <c r="X48">
        <f>IF(Source!BI26=2,H43+H44+H45+H46, 0)</f>
        <v>25.84</v>
      </c>
      <c r="Y48">
        <f>IF(Source!BI26=3,H43+H44+H45+H46, 0)</f>
        <v>0</v>
      </c>
      <c r="Z48">
        <f>IF(Source!BI26=4,H43+H44+H45+H46, 0)</f>
        <v>0</v>
      </c>
    </row>
    <row r="49" spans="1:26" ht="42.75" x14ac:dyDescent="0.2">
      <c r="A49" s="16" t="str">
        <f>Source!E29</f>
        <v>3</v>
      </c>
      <c r="B49" s="46" t="str">
        <f>Source!F29</f>
        <v>м08-03-573-4</v>
      </c>
      <c r="C49" s="46" t="str">
        <f>Source!G29</f>
        <v>Шкаф (пульт) управления навесной, высота, ширина и глубина до 600х600х350 мм</v>
      </c>
      <c r="D49" s="32" t="str">
        <f>Source!H29</f>
        <v>1  ШТ.</v>
      </c>
      <c r="E49" s="22">
        <f>Source!I29</f>
        <v>1</v>
      </c>
      <c r="F49" s="33">
        <f>Source!AL29+Source!AM29+Source!AO29</f>
        <v>59.070000000000007</v>
      </c>
      <c r="G49" s="34"/>
      <c r="H49" s="35"/>
      <c r="I49" s="34" t="str">
        <f>Source!BO29</f>
        <v>м08-03-573-4</v>
      </c>
      <c r="J49" s="34"/>
      <c r="K49" s="35"/>
      <c r="L49" s="36"/>
      <c r="S49">
        <f>ROUND((Source!FX29/100)*((ROUND(Source!AF29*Source!I29, 2)+ROUND(Source!AE29*Source!I29, 2))), 2)</f>
        <v>25.34</v>
      </c>
      <c r="T49">
        <f>Source!X29</f>
        <v>844.21</v>
      </c>
      <c r="U49">
        <f>ROUND((Source!FY29/100)*((ROUND(Source!AF29*Source!I29, 2)+ROUND(Source!AE29*Source!I29, 2))), 2)</f>
        <v>17.34</v>
      </c>
      <c r="V49">
        <f>Source!Y29</f>
        <v>577.62</v>
      </c>
    </row>
    <row r="50" spans="1:26" ht="14.25" x14ac:dyDescent="0.2">
      <c r="A50" s="16"/>
      <c r="B50" s="46"/>
      <c r="C50" s="46" t="s">
        <v>487</v>
      </c>
      <c r="D50" s="32"/>
      <c r="E50" s="22"/>
      <c r="F50" s="33">
        <f>Source!AO29</f>
        <v>23.51</v>
      </c>
      <c r="G50" s="34" t="str">
        <f>Source!DG29</f>
        <v/>
      </c>
      <c r="H50" s="35">
        <f>ROUND(Source!AF29*Source!I29, 2)</f>
        <v>23.51</v>
      </c>
      <c r="I50" s="34"/>
      <c r="J50" s="34">
        <f>IF(Source!BA29&lt;&gt; 0, Source!BA29, 1)</f>
        <v>33.32</v>
      </c>
      <c r="K50" s="35">
        <f>Source!S29</f>
        <v>783.35</v>
      </c>
      <c r="L50" s="36"/>
      <c r="R50">
        <f>H50</f>
        <v>23.51</v>
      </c>
    </row>
    <row r="51" spans="1:26" ht="14.25" x14ac:dyDescent="0.2">
      <c r="A51" s="16"/>
      <c r="B51" s="46"/>
      <c r="C51" s="46" t="s">
        <v>157</v>
      </c>
      <c r="D51" s="32"/>
      <c r="E51" s="22"/>
      <c r="F51" s="33">
        <f>Source!AM29</f>
        <v>32.18</v>
      </c>
      <c r="G51" s="34" t="str">
        <f>Source!DE29</f>
        <v/>
      </c>
      <c r="H51" s="35">
        <f>ROUND(Source!AD29*Source!I29, 2)</f>
        <v>32.18</v>
      </c>
      <c r="I51" s="34"/>
      <c r="J51" s="34">
        <f>IF(Source!BB29&lt;&gt; 0, Source!BB29, 1)</f>
        <v>9.56</v>
      </c>
      <c r="K51" s="35">
        <f>Source!Q29</f>
        <v>307.64</v>
      </c>
      <c r="L51" s="36"/>
    </row>
    <row r="52" spans="1:26" ht="14.25" x14ac:dyDescent="0.2">
      <c r="A52" s="16"/>
      <c r="B52" s="46"/>
      <c r="C52" s="46" t="s">
        <v>494</v>
      </c>
      <c r="D52" s="32"/>
      <c r="E52" s="22"/>
      <c r="F52" s="33">
        <f>Source!AN29</f>
        <v>3.16</v>
      </c>
      <c r="G52" s="34" t="str">
        <f>Source!DF29</f>
        <v/>
      </c>
      <c r="H52" s="45">
        <f>ROUND(Source!AE29*Source!I29, 2)</f>
        <v>3.16</v>
      </c>
      <c r="I52" s="34"/>
      <c r="J52" s="34">
        <f>IF(Source!BS29&lt;&gt; 0, Source!BS29, 1)</f>
        <v>33.32</v>
      </c>
      <c r="K52" s="45">
        <f>Source!R29</f>
        <v>105.29</v>
      </c>
      <c r="L52" s="36"/>
      <c r="R52">
        <f>H52</f>
        <v>3.16</v>
      </c>
    </row>
    <row r="53" spans="1:26" ht="14.25" x14ac:dyDescent="0.2">
      <c r="A53" s="16"/>
      <c r="B53" s="46"/>
      <c r="C53" s="46" t="s">
        <v>488</v>
      </c>
      <c r="D53" s="32"/>
      <c r="E53" s="22"/>
      <c r="F53" s="33">
        <f>Source!AL29</f>
        <v>3.38</v>
      </c>
      <c r="G53" s="34" t="str">
        <f>Source!DD29</f>
        <v/>
      </c>
      <c r="H53" s="35">
        <f>ROUND(Source!AC29*Source!I29, 2)</f>
        <v>3.38</v>
      </c>
      <c r="I53" s="34"/>
      <c r="J53" s="34">
        <f>IF(Source!BC29&lt;&gt; 0, Source!BC29, 1)</f>
        <v>10.24</v>
      </c>
      <c r="K53" s="35">
        <f>Source!P29</f>
        <v>34.61</v>
      </c>
      <c r="L53" s="36"/>
    </row>
    <row r="54" spans="1:26" ht="14.25" x14ac:dyDescent="0.2">
      <c r="A54" s="16"/>
      <c r="B54" s="46"/>
      <c r="C54" s="46" t="s">
        <v>489</v>
      </c>
      <c r="D54" s="32" t="s">
        <v>490</v>
      </c>
      <c r="E54" s="22">
        <f>Source!BZ29</f>
        <v>95</v>
      </c>
      <c r="F54" s="49"/>
      <c r="G54" s="34"/>
      <c r="H54" s="35">
        <f>SUM(S49:S56)</f>
        <v>25.34</v>
      </c>
      <c r="I54" s="37"/>
      <c r="J54" s="31">
        <f>Source!AT29</f>
        <v>95</v>
      </c>
      <c r="K54" s="35">
        <f>SUM(T49:T56)</f>
        <v>844.21</v>
      </c>
      <c r="L54" s="36"/>
    </row>
    <row r="55" spans="1:26" ht="14.25" x14ac:dyDescent="0.2">
      <c r="A55" s="16"/>
      <c r="B55" s="46"/>
      <c r="C55" s="46" t="s">
        <v>491</v>
      </c>
      <c r="D55" s="32" t="s">
        <v>490</v>
      </c>
      <c r="E55" s="22">
        <f>Source!CA29</f>
        <v>65</v>
      </c>
      <c r="F55" s="49"/>
      <c r="G55" s="34"/>
      <c r="H55" s="35">
        <f>SUM(U49:U56)</f>
        <v>17.34</v>
      </c>
      <c r="I55" s="37"/>
      <c r="J55" s="31">
        <f>Source!AU29</f>
        <v>65</v>
      </c>
      <c r="K55" s="35">
        <f>SUM(V49:V56)</f>
        <v>577.62</v>
      </c>
      <c r="L55" s="36"/>
    </row>
    <row r="56" spans="1:26" ht="14.25" x14ac:dyDescent="0.2">
      <c r="A56" s="47"/>
      <c r="B56" s="48"/>
      <c r="C56" s="48" t="s">
        <v>492</v>
      </c>
      <c r="D56" s="38" t="s">
        <v>493</v>
      </c>
      <c r="E56" s="39">
        <f>Source!AQ29</f>
        <v>2.37</v>
      </c>
      <c r="F56" s="40"/>
      <c r="G56" s="41" t="str">
        <f>Source!DI29</f>
        <v/>
      </c>
      <c r="H56" s="42"/>
      <c r="I56" s="41"/>
      <c r="J56" s="41"/>
      <c r="K56" s="42"/>
      <c r="L56" s="43">
        <f>Source!U29</f>
        <v>2.37</v>
      </c>
    </row>
    <row r="57" spans="1:26" ht="15" x14ac:dyDescent="0.25">
      <c r="G57" s="69">
        <f>H50+H51+H53+H54+H55</f>
        <v>101.75</v>
      </c>
      <c r="H57" s="69"/>
      <c r="J57" s="69">
        <f>K50+K51+K53+K54+K55</f>
        <v>2547.4299999999998</v>
      </c>
      <c r="K57" s="69"/>
      <c r="L57" s="44">
        <f>Source!U29</f>
        <v>2.37</v>
      </c>
      <c r="O57" s="26">
        <f>G57</f>
        <v>101.75</v>
      </c>
      <c r="P57" s="26">
        <f>J57</f>
        <v>2547.4299999999998</v>
      </c>
      <c r="Q57" s="26">
        <f>L57</f>
        <v>2.37</v>
      </c>
      <c r="W57">
        <f>IF(Source!BI29&lt;=1,H50+H51+H53+H54+H55, 0)</f>
        <v>0</v>
      </c>
      <c r="X57">
        <f>IF(Source!BI29=2,H50+H51+H53+H54+H55, 0)</f>
        <v>101.75</v>
      </c>
      <c r="Y57">
        <f>IF(Source!BI29=3,H50+H51+H53+H54+H55, 0)</f>
        <v>0</v>
      </c>
      <c r="Z57">
        <f>IF(Source!BI29=4,H50+H51+H53+H54+H55, 0)</f>
        <v>0</v>
      </c>
    </row>
    <row r="58" spans="1:26" ht="42.75" x14ac:dyDescent="0.2">
      <c r="A58" s="16" t="str">
        <f>Source!E31</f>
        <v>4</v>
      </c>
      <c r="B58" s="46" t="str">
        <f>Source!F31</f>
        <v>м12-14-002-1</v>
      </c>
      <c r="C58" s="46" t="str">
        <f>Source!G31</f>
        <v>Вентиль латунный запорный холодный низкого давления, диаметр условного прохода 20 мм</v>
      </c>
      <c r="D58" s="32" t="str">
        <f>Source!H31</f>
        <v>100 шт.</v>
      </c>
      <c r="E58" s="22">
        <f>Source!I31</f>
        <v>0.01</v>
      </c>
      <c r="F58" s="33">
        <f>Source!AL31+Source!AM31+Source!AO31</f>
        <v>3053.76</v>
      </c>
      <c r="G58" s="34"/>
      <c r="H58" s="35"/>
      <c r="I58" s="34" t="str">
        <f>Source!BO31</f>
        <v>м12-14-002-1</v>
      </c>
      <c r="J58" s="34"/>
      <c r="K58" s="35"/>
      <c r="L58" s="36"/>
      <c r="S58">
        <f>ROUND((Source!FX31/100)*((ROUND(Source!AF31*Source!I31, 2)+ROUND(Source!AE31*Source!I31, 2))), 2)</f>
        <v>17.829999999999998</v>
      </c>
      <c r="T58">
        <f>Source!X31</f>
        <v>594.28</v>
      </c>
      <c r="U58">
        <f>ROUND((Source!FY31/100)*((ROUND(Source!AF31*Source!I31, 2)+ROUND(Source!AE31*Source!I31, 2))), 2)</f>
        <v>13.37</v>
      </c>
      <c r="V58">
        <f>Source!Y31</f>
        <v>445.71</v>
      </c>
    </row>
    <row r="59" spans="1:26" x14ac:dyDescent="0.2">
      <c r="C59" s="28" t="str">
        <f>"Объем: "&amp;Source!I31&amp;"=1/"&amp;"100"</f>
        <v>Объем: 0,01=1/100</v>
      </c>
    </row>
    <row r="60" spans="1:26" ht="14.25" x14ac:dyDescent="0.2">
      <c r="A60" s="16"/>
      <c r="B60" s="46"/>
      <c r="C60" s="46" t="s">
        <v>487</v>
      </c>
      <c r="D60" s="32"/>
      <c r="E60" s="22"/>
      <c r="F60" s="33">
        <f>Source!AO31</f>
        <v>2202.98</v>
      </c>
      <c r="G60" s="34" t="str">
        <f>Source!DG31</f>
        <v/>
      </c>
      <c r="H60" s="35">
        <f>ROUND(Source!AF31*Source!I31, 2)</f>
        <v>22.03</v>
      </c>
      <c r="I60" s="34"/>
      <c r="J60" s="34">
        <f>IF(Source!BA31&lt;&gt; 0, Source!BA31, 1)</f>
        <v>33.32</v>
      </c>
      <c r="K60" s="35">
        <f>Source!S31</f>
        <v>734.03</v>
      </c>
      <c r="L60" s="36"/>
      <c r="R60">
        <f>H60</f>
        <v>22.03</v>
      </c>
    </row>
    <row r="61" spans="1:26" ht="14.25" x14ac:dyDescent="0.2">
      <c r="A61" s="16"/>
      <c r="B61" s="46"/>
      <c r="C61" s="46" t="s">
        <v>157</v>
      </c>
      <c r="D61" s="32"/>
      <c r="E61" s="22"/>
      <c r="F61" s="33">
        <f>Source!AM31</f>
        <v>434.77</v>
      </c>
      <c r="G61" s="34" t="str">
        <f>Source!DE31</f>
        <v/>
      </c>
      <c r="H61" s="35">
        <f>ROUND(Source!AD31*Source!I31, 2)</f>
        <v>4.3499999999999996</v>
      </c>
      <c r="I61" s="34"/>
      <c r="J61" s="34">
        <f>IF(Source!BB31&lt;&gt; 0, Source!BB31, 1)</f>
        <v>9.23</v>
      </c>
      <c r="K61" s="35">
        <f>Source!Q31</f>
        <v>40.130000000000003</v>
      </c>
      <c r="L61" s="36"/>
    </row>
    <row r="62" spans="1:26" ht="14.25" x14ac:dyDescent="0.2">
      <c r="A62" s="16"/>
      <c r="B62" s="46"/>
      <c r="C62" s="46" t="s">
        <v>494</v>
      </c>
      <c r="D62" s="32"/>
      <c r="E62" s="22"/>
      <c r="F62" s="33">
        <f>Source!AN31</f>
        <v>26.46</v>
      </c>
      <c r="G62" s="34" t="str">
        <f>Source!DF31</f>
        <v/>
      </c>
      <c r="H62" s="45">
        <f>ROUND(Source!AE31*Source!I31, 2)</f>
        <v>0.26</v>
      </c>
      <c r="I62" s="34"/>
      <c r="J62" s="34">
        <f>IF(Source!BS31&lt;&gt; 0, Source!BS31, 1)</f>
        <v>33.32</v>
      </c>
      <c r="K62" s="45">
        <f>Source!R31</f>
        <v>8.82</v>
      </c>
      <c r="L62" s="36"/>
      <c r="R62">
        <f>H62</f>
        <v>0.26</v>
      </c>
    </row>
    <row r="63" spans="1:26" ht="14.25" x14ac:dyDescent="0.2">
      <c r="A63" s="16"/>
      <c r="B63" s="46"/>
      <c r="C63" s="46" t="s">
        <v>488</v>
      </c>
      <c r="D63" s="32"/>
      <c r="E63" s="22"/>
      <c r="F63" s="33">
        <f>Source!AL31</f>
        <v>416.01</v>
      </c>
      <c r="G63" s="34" t="str">
        <f>Source!DD31</f>
        <v/>
      </c>
      <c r="H63" s="35">
        <f>ROUND(Source!AC31*Source!I31, 2)</f>
        <v>4.16</v>
      </c>
      <c r="I63" s="34"/>
      <c r="J63" s="34">
        <f>IF(Source!BC31&lt;&gt; 0, Source!BC31, 1)</f>
        <v>12.55</v>
      </c>
      <c r="K63" s="35">
        <f>Source!P31</f>
        <v>52.21</v>
      </c>
      <c r="L63" s="36"/>
    </row>
    <row r="64" spans="1:26" ht="14.25" x14ac:dyDescent="0.2">
      <c r="A64" s="16"/>
      <c r="B64" s="46"/>
      <c r="C64" s="46" t="s">
        <v>489</v>
      </c>
      <c r="D64" s="32" t="s">
        <v>490</v>
      </c>
      <c r="E64" s="22">
        <f>Source!BZ31</f>
        <v>80</v>
      </c>
      <c r="F64" s="49"/>
      <c r="G64" s="34"/>
      <c r="H64" s="35">
        <f>SUM(S58:S66)</f>
        <v>17.829999999999998</v>
      </c>
      <c r="I64" s="37"/>
      <c r="J64" s="31">
        <f>Source!AT31</f>
        <v>80</v>
      </c>
      <c r="K64" s="35">
        <f>SUM(T58:T66)</f>
        <v>594.28</v>
      </c>
      <c r="L64" s="36"/>
    </row>
    <row r="65" spans="1:26" ht="14.25" x14ac:dyDescent="0.2">
      <c r="A65" s="16"/>
      <c r="B65" s="46"/>
      <c r="C65" s="46" t="s">
        <v>491</v>
      </c>
      <c r="D65" s="32" t="s">
        <v>490</v>
      </c>
      <c r="E65" s="22">
        <f>Source!CA31</f>
        <v>60</v>
      </c>
      <c r="F65" s="49"/>
      <c r="G65" s="34"/>
      <c r="H65" s="35">
        <f>SUM(U58:U66)</f>
        <v>13.37</v>
      </c>
      <c r="I65" s="37"/>
      <c r="J65" s="31">
        <f>Source!AU31</f>
        <v>60</v>
      </c>
      <c r="K65" s="35">
        <f>SUM(V58:V66)</f>
        <v>445.71</v>
      </c>
      <c r="L65" s="36"/>
    </row>
    <row r="66" spans="1:26" ht="14.25" x14ac:dyDescent="0.2">
      <c r="A66" s="47"/>
      <c r="B66" s="48"/>
      <c r="C66" s="48" t="s">
        <v>492</v>
      </c>
      <c r="D66" s="38" t="s">
        <v>493</v>
      </c>
      <c r="E66" s="39">
        <f>Source!AQ31</f>
        <v>229</v>
      </c>
      <c r="F66" s="40"/>
      <c r="G66" s="41" t="str">
        <f>Source!DI31</f>
        <v/>
      </c>
      <c r="H66" s="42"/>
      <c r="I66" s="41"/>
      <c r="J66" s="41"/>
      <c r="K66" s="42"/>
      <c r="L66" s="43">
        <f>Source!U31</f>
        <v>2.29</v>
      </c>
    </row>
    <row r="67" spans="1:26" ht="15" x14ac:dyDescent="0.25">
      <c r="G67" s="69">
        <f>H60+H61+H63+H64+H65</f>
        <v>61.74</v>
      </c>
      <c r="H67" s="69"/>
      <c r="J67" s="69">
        <f>K60+K61+K63+K64+K65</f>
        <v>1866.3600000000001</v>
      </c>
      <c r="K67" s="69"/>
      <c r="L67" s="44">
        <f>Source!U31</f>
        <v>2.29</v>
      </c>
      <c r="O67" s="26">
        <f>G67</f>
        <v>61.74</v>
      </c>
      <c r="P67" s="26">
        <f>J67</f>
        <v>1866.3600000000001</v>
      </c>
      <c r="Q67" s="26">
        <f>L67</f>
        <v>2.29</v>
      </c>
      <c r="W67">
        <f>IF(Source!BI31&lt;=1,H60+H61+H63+H64+H65, 0)</f>
        <v>0</v>
      </c>
      <c r="X67">
        <f>IF(Source!BI31=2,H60+H61+H63+H64+H65, 0)</f>
        <v>61.74</v>
      </c>
      <c r="Y67">
        <f>IF(Source!BI31=3,H60+H61+H63+H64+H65, 0)</f>
        <v>0</v>
      </c>
      <c r="Z67">
        <f>IF(Source!BI31=4,H60+H61+H63+H64+H65, 0)</f>
        <v>0</v>
      </c>
    </row>
    <row r="68" spans="1:26" ht="42.75" x14ac:dyDescent="0.2">
      <c r="A68" s="16" t="str">
        <f>Source!E33</f>
        <v>5</v>
      </c>
      <c r="B68" s="46" t="str">
        <f>Source!F33</f>
        <v>м08-02-413-1</v>
      </c>
      <c r="C68" s="46" t="str">
        <f>Source!G33</f>
        <v>Провод, количество проводов в резинобитумной трубке до 2, сечение провода до 6 мм2</v>
      </c>
      <c r="D68" s="32" t="str">
        <f>Source!H33</f>
        <v>100 М ТРУБОК</v>
      </c>
      <c r="E68" s="22">
        <f>Source!I33</f>
        <v>0.2</v>
      </c>
      <c r="F68" s="33">
        <f>Source!AL33+Source!AM33+Source!AO33</f>
        <v>256.45000000000005</v>
      </c>
      <c r="G68" s="34"/>
      <c r="H68" s="35"/>
      <c r="I68" s="34" t="str">
        <f>Source!BO33</f>
        <v>м08-02-413-1</v>
      </c>
      <c r="J68" s="34"/>
      <c r="K68" s="35"/>
      <c r="L68" s="36"/>
      <c r="S68">
        <f>ROUND((Source!FX33/100)*((ROUND(Source!AF33*Source!I33, 2)+ROUND(Source!AE33*Source!I33, 2))), 2)</f>
        <v>29.33</v>
      </c>
      <c r="T68">
        <f>Source!X33</f>
        <v>977.03</v>
      </c>
      <c r="U68">
        <f>ROUND((Source!FY33/100)*((ROUND(Source!AF33*Source!I33, 2)+ROUND(Source!AE33*Source!I33, 2))), 2)</f>
        <v>20.07</v>
      </c>
      <c r="V68">
        <f>Source!Y33</f>
        <v>668.49</v>
      </c>
    </row>
    <row r="69" spans="1:26" x14ac:dyDescent="0.2">
      <c r="C69" s="28" t="str">
        <f>"Объем: "&amp;Source!I33&amp;"=20/"&amp;"100"</f>
        <v>Объем: 0,2=20/100</v>
      </c>
    </row>
    <row r="70" spans="1:26" ht="14.25" x14ac:dyDescent="0.2">
      <c r="A70" s="16"/>
      <c r="B70" s="46"/>
      <c r="C70" s="46" t="s">
        <v>487</v>
      </c>
      <c r="D70" s="32"/>
      <c r="E70" s="22"/>
      <c r="F70" s="33">
        <f>Source!AO33</f>
        <v>151.9</v>
      </c>
      <c r="G70" s="34" t="str">
        <f>Source!DG33</f>
        <v/>
      </c>
      <c r="H70" s="35">
        <f>ROUND(Source!AF33*Source!I33, 2)</f>
        <v>30.38</v>
      </c>
      <c r="I70" s="34"/>
      <c r="J70" s="34">
        <f>IF(Source!BA33&lt;&gt; 0, Source!BA33, 1)</f>
        <v>33.32</v>
      </c>
      <c r="K70" s="35">
        <f>Source!S33</f>
        <v>1012.26</v>
      </c>
      <c r="L70" s="36"/>
      <c r="R70">
        <f>H70</f>
        <v>30.38</v>
      </c>
    </row>
    <row r="71" spans="1:26" ht="14.25" x14ac:dyDescent="0.2">
      <c r="A71" s="16"/>
      <c r="B71" s="46"/>
      <c r="C71" s="46" t="s">
        <v>157</v>
      </c>
      <c r="D71" s="32"/>
      <c r="E71" s="22"/>
      <c r="F71" s="33">
        <f>Source!AM33</f>
        <v>39.93</v>
      </c>
      <c r="G71" s="34" t="str">
        <f>Source!DE33</f>
        <v/>
      </c>
      <c r="H71" s="35">
        <f>ROUND(Source!AD33*Source!I33, 2)</f>
        <v>7.99</v>
      </c>
      <c r="I71" s="34"/>
      <c r="J71" s="34">
        <f>IF(Source!BB33&lt;&gt; 0, Source!BB33, 1)</f>
        <v>9.23</v>
      </c>
      <c r="K71" s="35">
        <f>Source!Q33</f>
        <v>73.709999999999994</v>
      </c>
      <c r="L71" s="36"/>
    </row>
    <row r="72" spans="1:26" ht="14.25" x14ac:dyDescent="0.2">
      <c r="A72" s="16"/>
      <c r="B72" s="46"/>
      <c r="C72" s="46" t="s">
        <v>494</v>
      </c>
      <c r="D72" s="32"/>
      <c r="E72" s="22"/>
      <c r="F72" s="33">
        <f>Source!AN33</f>
        <v>2.4300000000000002</v>
      </c>
      <c r="G72" s="34" t="str">
        <f>Source!DF33</f>
        <v/>
      </c>
      <c r="H72" s="45">
        <f>ROUND(Source!AE33*Source!I33, 2)</f>
        <v>0.49</v>
      </c>
      <c r="I72" s="34"/>
      <c r="J72" s="34">
        <f>IF(Source!BS33&lt;&gt; 0, Source!BS33, 1)</f>
        <v>33.32</v>
      </c>
      <c r="K72" s="45">
        <f>Source!R33</f>
        <v>16.190000000000001</v>
      </c>
      <c r="L72" s="36"/>
      <c r="R72">
        <f>H72</f>
        <v>0.49</v>
      </c>
    </row>
    <row r="73" spans="1:26" ht="14.25" x14ac:dyDescent="0.2">
      <c r="A73" s="16"/>
      <c r="B73" s="46"/>
      <c r="C73" s="46" t="s">
        <v>488</v>
      </c>
      <c r="D73" s="32"/>
      <c r="E73" s="22"/>
      <c r="F73" s="33">
        <f>Source!AL33</f>
        <v>64.62</v>
      </c>
      <c r="G73" s="34" t="str">
        <f>Source!DD33</f>
        <v/>
      </c>
      <c r="H73" s="35">
        <f>ROUND(Source!AC33*Source!I33, 2)</f>
        <v>12.92</v>
      </c>
      <c r="I73" s="34"/>
      <c r="J73" s="34">
        <f>IF(Source!BC33&lt;&gt; 0, Source!BC33, 1)</f>
        <v>5.35</v>
      </c>
      <c r="K73" s="35">
        <f>Source!P33</f>
        <v>69.14</v>
      </c>
      <c r="L73" s="36"/>
    </row>
    <row r="74" spans="1:26" ht="14.25" x14ac:dyDescent="0.2">
      <c r="A74" s="16"/>
      <c r="B74" s="46"/>
      <c r="C74" s="46" t="s">
        <v>489</v>
      </c>
      <c r="D74" s="32" t="s">
        <v>490</v>
      </c>
      <c r="E74" s="22">
        <f>Source!BZ33</f>
        <v>95</v>
      </c>
      <c r="F74" s="49"/>
      <c r="G74" s="34"/>
      <c r="H74" s="35">
        <f>SUM(S68:S76)</f>
        <v>29.33</v>
      </c>
      <c r="I74" s="37"/>
      <c r="J74" s="31">
        <f>Source!AT33</f>
        <v>95</v>
      </c>
      <c r="K74" s="35">
        <f>SUM(T68:T76)</f>
        <v>977.03</v>
      </c>
      <c r="L74" s="36"/>
    </row>
    <row r="75" spans="1:26" ht="14.25" x14ac:dyDescent="0.2">
      <c r="A75" s="16"/>
      <c r="B75" s="46"/>
      <c r="C75" s="46" t="s">
        <v>491</v>
      </c>
      <c r="D75" s="32" t="s">
        <v>490</v>
      </c>
      <c r="E75" s="22">
        <f>Source!CA33</f>
        <v>65</v>
      </c>
      <c r="F75" s="49"/>
      <c r="G75" s="34"/>
      <c r="H75" s="35">
        <f>SUM(U68:U76)</f>
        <v>20.07</v>
      </c>
      <c r="I75" s="37"/>
      <c r="J75" s="31">
        <f>Source!AU33</f>
        <v>65</v>
      </c>
      <c r="K75" s="35">
        <f>SUM(V68:V76)</f>
        <v>668.49</v>
      </c>
      <c r="L75" s="36"/>
    </row>
    <row r="76" spans="1:26" ht="14.25" x14ac:dyDescent="0.2">
      <c r="A76" s="47"/>
      <c r="B76" s="48"/>
      <c r="C76" s="48" t="s">
        <v>492</v>
      </c>
      <c r="D76" s="38" t="s">
        <v>493</v>
      </c>
      <c r="E76" s="39">
        <f>Source!AQ33</f>
        <v>16.16</v>
      </c>
      <c r="F76" s="40"/>
      <c r="G76" s="41" t="str">
        <f>Source!DI33</f>
        <v/>
      </c>
      <c r="H76" s="42"/>
      <c r="I76" s="41"/>
      <c r="J76" s="41"/>
      <c r="K76" s="42"/>
      <c r="L76" s="43">
        <f>Source!U33</f>
        <v>3.2320000000000002</v>
      </c>
    </row>
    <row r="77" spans="1:26" ht="15" x14ac:dyDescent="0.25">
      <c r="G77" s="69">
        <f>H70+H71+H73+H74+H75</f>
        <v>100.69</v>
      </c>
      <c r="H77" s="69"/>
      <c r="J77" s="69">
        <f>K70+K71+K73+K74+K75</f>
        <v>2800.63</v>
      </c>
      <c r="K77" s="69"/>
      <c r="L77" s="44">
        <f>Source!U33</f>
        <v>3.2320000000000002</v>
      </c>
      <c r="O77" s="26">
        <f>G77</f>
        <v>100.69</v>
      </c>
      <c r="P77" s="26">
        <f>J77</f>
        <v>2800.63</v>
      </c>
      <c r="Q77" s="26">
        <f>L77</f>
        <v>3.2320000000000002</v>
      </c>
      <c r="W77">
        <f>IF(Source!BI33&lt;=1,H70+H71+H73+H74+H75, 0)</f>
        <v>0</v>
      </c>
      <c r="X77">
        <f>IF(Source!BI33=2,H70+H71+H73+H74+H75, 0)</f>
        <v>100.69</v>
      </c>
      <c r="Y77">
        <f>IF(Source!BI33=3,H70+H71+H73+H74+H75, 0)</f>
        <v>0</v>
      </c>
      <c r="Z77">
        <f>IF(Source!BI33=4,H70+H71+H73+H74+H75, 0)</f>
        <v>0</v>
      </c>
    </row>
    <row r="78" spans="1:26" ht="28.5" x14ac:dyDescent="0.2">
      <c r="A78" s="16" t="str">
        <f>Source!E36</f>
        <v>6</v>
      </c>
      <c r="B78" s="46" t="str">
        <f>Source!F36</f>
        <v>м10-02-016-6</v>
      </c>
      <c r="C78" s="46" t="str">
        <f>Source!G36</f>
        <v>Отдельно устанавливаемый преобразователь или блок питания</v>
      </c>
      <c r="D78" s="32" t="str">
        <f>Source!H36</f>
        <v>1  ШТ.</v>
      </c>
      <c r="E78" s="22">
        <f>Source!I36</f>
        <v>1</v>
      </c>
      <c r="F78" s="33">
        <f>Source!AL36+Source!AM36+Source!AO36</f>
        <v>189.85000000000002</v>
      </c>
      <c r="G78" s="34"/>
      <c r="H78" s="35"/>
      <c r="I78" s="34" t="str">
        <f>Source!BO36</f>
        <v>м10-02-016-6</v>
      </c>
      <c r="J78" s="34"/>
      <c r="K78" s="35"/>
      <c r="L78" s="36"/>
      <c r="S78">
        <f>ROUND((Source!FX36/100)*((ROUND(Source!AF36*Source!I36, 2)+ROUND(Source!AE36*Source!I36, 2))), 2)</f>
        <v>93.15</v>
      </c>
      <c r="T78">
        <f>Source!X36</f>
        <v>3103.82</v>
      </c>
      <c r="U78">
        <f>ROUND((Source!FY36/100)*((ROUND(Source!AF36*Source!I36, 2)+ROUND(Source!AE36*Source!I36, 2))), 2)</f>
        <v>69.86</v>
      </c>
      <c r="V78">
        <f>Source!Y36</f>
        <v>2327.87</v>
      </c>
    </row>
    <row r="79" spans="1:26" ht="14.25" x14ac:dyDescent="0.2">
      <c r="A79" s="16"/>
      <c r="B79" s="46"/>
      <c r="C79" s="46" t="s">
        <v>487</v>
      </c>
      <c r="D79" s="32"/>
      <c r="E79" s="22"/>
      <c r="F79" s="33">
        <f>Source!AO36</f>
        <v>112.01</v>
      </c>
      <c r="G79" s="34" t="str">
        <f>Source!DG36</f>
        <v/>
      </c>
      <c r="H79" s="35">
        <f>ROUND(Source!AF36*Source!I36, 2)</f>
        <v>112.01</v>
      </c>
      <c r="I79" s="34"/>
      <c r="J79" s="34">
        <f>IF(Source!BA36&lt;&gt; 0, Source!BA36, 1)</f>
        <v>33.32</v>
      </c>
      <c r="K79" s="35">
        <f>Source!S36</f>
        <v>3732.17</v>
      </c>
      <c r="L79" s="36"/>
      <c r="R79">
        <f>H79</f>
        <v>112.01</v>
      </c>
    </row>
    <row r="80" spans="1:26" ht="14.25" x14ac:dyDescent="0.2">
      <c r="A80" s="16"/>
      <c r="B80" s="46"/>
      <c r="C80" s="46" t="s">
        <v>157</v>
      </c>
      <c r="D80" s="32"/>
      <c r="E80" s="22"/>
      <c r="F80" s="33">
        <f>Source!AM36</f>
        <v>43.95</v>
      </c>
      <c r="G80" s="34" t="str">
        <f>Source!DE36</f>
        <v/>
      </c>
      <c r="H80" s="35">
        <f>ROUND(Source!AD36*Source!I36, 2)</f>
        <v>43.95</v>
      </c>
      <c r="I80" s="34"/>
      <c r="J80" s="34">
        <f>IF(Source!BB36&lt;&gt; 0, Source!BB36, 1)</f>
        <v>9.02</v>
      </c>
      <c r="K80" s="35">
        <f>Source!Q36</f>
        <v>396.43</v>
      </c>
      <c r="L80" s="36"/>
    </row>
    <row r="81" spans="1:26" ht="14.25" x14ac:dyDescent="0.2">
      <c r="A81" s="16"/>
      <c r="B81" s="46"/>
      <c r="C81" s="46" t="s">
        <v>494</v>
      </c>
      <c r="D81" s="32"/>
      <c r="E81" s="22"/>
      <c r="F81" s="33">
        <f>Source!AN36</f>
        <v>4.43</v>
      </c>
      <c r="G81" s="34" t="str">
        <f>Source!DF36</f>
        <v/>
      </c>
      <c r="H81" s="45">
        <f>ROUND(Source!AE36*Source!I36, 2)</f>
        <v>4.43</v>
      </c>
      <c r="I81" s="34"/>
      <c r="J81" s="34">
        <f>IF(Source!BS36&lt;&gt; 0, Source!BS36, 1)</f>
        <v>33.32</v>
      </c>
      <c r="K81" s="45">
        <f>Source!R36</f>
        <v>147.61000000000001</v>
      </c>
      <c r="L81" s="36"/>
      <c r="R81">
        <f>H81</f>
        <v>4.43</v>
      </c>
    </row>
    <row r="82" spans="1:26" ht="14.25" x14ac:dyDescent="0.2">
      <c r="A82" s="16"/>
      <c r="B82" s="46"/>
      <c r="C82" s="46" t="s">
        <v>488</v>
      </c>
      <c r="D82" s="32"/>
      <c r="E82" s="22"/>
      <c r="F82" s="33">
        <f>Source!AL36</f>
        <v>33.89</v>
      </c>
      <c r="G82" s="34" t="str">
        <f>Source!DD36</f>
        <v/>
      </c>
      <c r="H82" s="35">
        <f>ROUND(Source!AC36*Source!I36, 2)</f>
        <v>33.89</v>
      </c>
      <c r="I82" s="34"/>
      <c r="J82" s="34">
        <f>IF(Source!BC36&lt;&gt; 0, Source!BC36, 1)</f>
        <v>8.77</v>
      </c>
      <c r="K82" s="35">
        <f>Source!P36</f>
        <v>297.22000000000003</v>
      </c>
      <c r="L82" s="36"/>
    </row>
    <row r="83" spans="1:26" ht="14.25" x14ac:dyDescent="0.2">
      <c r="A83" s="16"/>
      <c r="B83" s="46"/>
      <c r="C83" s="46" t="s">
        <v>489</v>
      </c>
      <c r="D83" s="32" t="s">
        <v>490</v>
      </c>
      <c r="E83" s="22">
        <f>Source!BZ36</f>
        <v>80</v>
      </c>
      <c r="F83" s="49"/>
      <c r="G83" s="34"/>
      <c r="H83" s="35">
        <f>SUM(S78:S85)</f>
        <v>93.15</v>
      </c>
      <c r="I83" s="37"/>
      <c r="J83" s="31">
        <f>Source!AT36</f>
        <v>80</v>
      </c>
      <c r="K83" s="35">
        <f>SUM(T78:T85)</f>
        <v>3103.82</v>
      </c>
      <c r="L83" s="36"/>
    </row>
    <row r="84" spans="1:26" ht="14.25" x14ac:dyDescent="0.2">
      <c r="A84" s="16"/>
      <c r="B84" s="46"/>
      <c r="C84" s="46" t="s">
        <v>491</v>
      </c>
      <c r="D84" s="32" t="s">
        <v>490</v>
      </c>
      <c r="E84" s="22">
        <f>Source!CA36</f>
        <v>60</v>
      </c>
      <c r="F84" s="49"/>
      <c r="G84" s="34"/>
      <c r="H84" s="35">
        <f>SUM(U78:U85)</f>
        <v>69.86</v>
      </c>
      <c r="I84" s="37"/>
      <c r="J84" s="31">
        <f>Source!AU36</f>
        <v>60</v>
      </c>
      <c r="K84" s="35">
        <f>SUM(V78:V85)</f>
        <v>2327.87</v>
      </c>
      <c r="L84" s="36"/>
    </row>
    <row r="85" spans="1:26" ht="14.25" x14ac:dyDescent="0.2">
      <c r="A85" s="47"/>
      <c r="B85" s="48"/>
      <c r="C85" s="48" t="s">
        <v>492</v>
      </c>
      <c r="D85" s="38" t="s">
        <v>493</v>
      </c>
      <c r="E85" s="39">
        <f>Source!AQ36</f>
        <v>10.1</v>
      </c>
      <c r="F85" s="40"/>
      <c r="G85" s="41" t="str">
        <f>Source!DI36</f>
        <v/>
      </c>
      <c r="H85" s="42"/>
      <c r="I85" s="41"/>
      <c r="J85" s="41"/>
      <c r="K85" s="42"/>
      <c r="L85" s="43">
        <f>Source!U36</f>
        <v>10.1</v>
      </c>
    </row>
    <row r="86" spans="1:26" ht="15" x14ac:dyDescent="0.25">
      <c r="G86" s="69">
        <f>H79+H80+H82+H83+H84</f>
        <v>352.86</v>
      </c>
      <c r="H86" s="69"/>
      <c r="J86" s="69">
        <f>K79+K80+K82+K83+K84</f>
        <v>9857.510000000002</v>
      </c>
      <c r="K86" s="69"/>
      <c r="L86" s="44">
        <f>Source!U36</f>
        <v>10.1</v>
      </c>
      <c r="O86" s="26">
        <f>G86</f>
        <v>352.86</v>
      </c>
      <c r="P86" s="26">
        <f>J86</f>
        <v>9857.510000000002</v>
      </c>
      <c r="Q86" s="26">
        <f>L86</f>
        <v>10.1</v>
      </c>
      <c r="W86">
        <f>IF(Source!BI36&lt;=1,H79+H80+H82+H83+H84, 0)</f>
        <v>0</v>
      </c>
      <c r="X86">
        <f>IF(Source!BI36=2,H79+H80+H82+H83+H84, 0)</f>
        <v>352.86</v>
      </c>
      <c r="Y86">
        <f>IF(Source!BI36=3,H79+H80+H82+H83+H84, 0)</f>
        <v>0</v>
      </c>
      <c r="Z86">
        <f>IF(Source!BI36=4,H79+H80+H82+H83+H84, 0)</f>
        <v>0</v>
      </c>
    </row>
    <row r="87" spans="1:26" ht="42.75" x14ac:dyDescent="0.2">
      <c r="A87" s="16" t="str">
        <f>Source!E38</f>
        <v>7</v>
      </c>
      <c r="B87" s="46" t="str">
        <f>Source!F38</f>
        <v>м12-01-105-1</v>
      </c>
      <c r="C87" s="46" t="str">
        <f>Source!G38</f>
        <v>Трубопровод из медных труб на условное давление до 2,5 МПа, диаметр труб наружный 18 мм</v>
      </c>
      <c r="D87" s="32" t="str">
        <f>Source!H38</f>
        <v>100 м</v>
      </c>
      <c r="E87" s="22">
        <f>Source!I38</f>
        <v>1</v>
      </c>
      <c r="F87" s="33">
        <f>Source!AL38+Source!AM38+Source!AO38</f>
        <v>1203.5900000000001</v>
      </c>
      <c r="G87" s="34"/>
      <c r="H87" s="35"/>
      <c r="I87" s="34" t="str">
        <f>Source!BO38</f>
        <v>м12-01-105-1</v>
      </c>
      <c r="J87" s="34"/>
      <c r="K87" s="35"/>
      <c r="L87" s="36"/>
      <c r="S87">
        <f>ROUND((Source!FX38/100)*((ROUND(Source!AF38*Source!I38, 2)+ROUND(Source!AE38*Source!I38, 2))), 2)</f>
        <v>694.46</v>
      </c>
      <c r="T87">
        <f>Source!X38</f>
        <v>23139.54</v>
      </c>
      <c r="U87">
        <f>ROUND((Source!FY38/100)*((ROUND(Source!AF38*Source!I38, 2)+ROUND(Source!AE38*Source!I38, 2))), 2)</f>
        <v>520.85</v>
      </c>
      <c r="V87">
        <f>Source!Y38</f>
        <v>17354.650000000001</v>
      </c>
    </row>
    <row r="88" spans="1:26" x14ac:dyDescent="0.2">
      <c r="C88" s="28" t="str">
        <f>"Объем: "&amp;Source!I38&amp;"=(60+"&amp;"40)/"&amp;"100"</f>
        <v>Объем: 1=(60+40)/100</v>
      </c>
    </row>
    <row r="89" spans="1:26" ht="14.25" x14ac:dyDescent="0.2">
      <c r="A89" s="16"/>
      <c r="B89" s="46"/>
      <c r="C89" s="46" t="s">
        <v>487</v>
      </c>
      <c r="D89" s="32"/>
      <c r="E89" s="22"/>
      <c r="F89" s="33">
        <f>Source!AO38</f>
        <v>849.45</v>
      </c>
      <c r="G89" s="34" t="str">
        <f>Source!DG38</f>
        <v/>
      </c>
      <c r="H89" s="35">
        <f>ROUND(Source!AF38*Source!I38, 2)</f>
        <v>849.45</v>
      </c>
      <c r="I89" s="34"/>
      <c r="J89" s="34">
        <f>IF(Source!BA38&lt;&gt; 0, Source!BA38, 1)</f>
        <v>33.32</v>
      </c>
      <c r="K89" s="35">
        <f>Source!S38</f>
        <v>28303.67</v>
      </c>
      <c r="L89" s="36"/>
      <c r="R89">
        <f>H89</f>
        <v>849.45</v>
      </c>
    </row>
    <row r="90" spans="1:26" ht="14.25" x14ac:dyDescent="0.2">
      <c r="A90" s="16"/>
      <c r="B90" s="46"/>
      <c r="C90" s="46" t="s">
        <v>157</v>
      </c>
      <c r="D90" s="32"/>
      <c r="E90" s="22"/>
      <c r="F90" s="33">
        <f>Source!AM38</f>
        <v>294.56</v>
      </c>
      <c r="G90" s="34" t="str">
        <f>Source!DE38</f>
        <v/>
      </c>
      <c r="H90" s="35">
        <f>ROUND(Source!AD38*Source!I38, 2)</f>
        <v>294.56</v>
      </c>
      <c r="I90" s="34"/>
      <c r="J90" s="34">
        <f>IF(Source!BB38&lt;&gt; 0, Source!BB38, 1)</f>
        <v>8.81</v>
      </c>
      <c r="K90" s="35">
        <f>Source!Q38</f>
        <v>2595.0700000000002</v>
      </c>
      <c r="L90" s="36"/>
    </row>
    <row r="91" spans="1:26" ht="14.25" x14ac:dyDescent="0.2">
      <c r="A91" s="16"/>
      <c r="B91" s="46"/>
      <c r="C91" s="46" t="s">
        <v>494</v>
      </c>
      <c r="D91" s="32"/>
      <c r="E91" s="22"/>
      <c r="F91" s="33">
        <f>Source!AN38</f>
        <v>18.63</v>
      </c>
      <c r="G91" s="34" t="str">
        <f>Source!DF38</f>
        <v/>
      </c>
      <c r="H91" s="45">
        <f>ROUND(Source!AE38*Source!I38, 2)</f>
        <v>18.63</v>
      </c>
      <c r="I91" s="34"/>
      <c r="J91" s="34">
        <f>IF(Source!BS38&lt;&gt; 0, Source!BS38, 1)</f>
        <v>33.32</v>
      </c>
      <c r="K91" s="45">
        <f>Source!R38</f>
        <v>620.75</v>
      </c>
      <c r="L91" s="36"/>
      <c r="R91">
        <f>H91</f>
        <v>18.63</v>
      </c>
    </row>
    <row r="92" spans="1:26" ht="14.25" x14ac:dyDescent="0.2">
      <c r="A92" s="16"/>
      <c r="B92" s="46"/>
      <c r="C92" s="46" t="s">
        <v>488</v>
      </c>
      <c r="D92" s="32"/>
      <c r="E92" s="22"/>
      <c r="F92" s="33">
        <f>Source!AL38</f>
        <v>59.58</v>
      </c>
      <c r="G92" s="34" t="str">
        <f>Source!DD38</f>
        <v/>
      </c>
      <c r="H92" s="35">
        <f>ROUND(Source!AC38*Source!I38, 2)</f>
        <v>59.58</v>
      </c>
      <c r="I92" s="34"/>
      <c r="J92" s="34">
        <f>IF(Source!BC38&lt;&gt; 0, Source!BC38, 1)</f>
        <v>16.260000000000002</v>
      </c>
      <c r="K92" s="35">
        <f>Source!P38</f>
        <v>968.77</v>
      </c>
      <c r="L92" s="36"/>
    </row>
    <row r="93" spans="1:26" ht="14.25" x14ac:dyDescent="0.2">
      <c r="A93" s="16"/>
      <c r="B93" s="46"/>
      <c r="C93" s="46" t="s">
        <v>489</v>
      </c>
      <c r="D93" s="32" t="s">
        <v>490</v>
      </c>
      <c r="E93" s="22">
        <f>Source!BZ38</f>
        <v>80</v>
      </c>
      <c r="F93" s="49"/>
      <c r="G93" s="34"/>
      <c r="H93" s="35">
        <f>SUM(S87:S95)</f>
        <v>694.46</v>
      </c>
      <c r="I93" s="37"/>
      <c r="J93" s="31">
        <f>Source!AT38</f>
        <v>80</v>
      </c>
      <c r="K93" s="35">
        <f>SUM(T87:T95)</f>
        <v>23139.54</v>
      </c>
      <c r="L93" s="36"/>
    </row>
    <row r="94" spans="1:26" ht="14.25" x14ac:dyDescent="0.2">
      <c r="A94" s="16"/>
      <c r="B94" s="46"/>
      <c r="C94" s="46" t="s">
        <v>491</v>
      </c>
      <c r="D94" s="32" t="s">
        <v>490</v>
      </c>
      <c r="E94" s="22">
        <f>Source!CA38</f>
        <v>60</v>
      </c>
      <c r="F94" s="49"/>
      <c r="G94" s="34"/>
      <c r="H94" s="35">
        <f>SUM(U87:U95)</f>
        <v>520.85</v>
      </c>
      <c r="I94" s="37"/>
      <c r="J94" s="31">
        <f>Source!AU38</f>
        <v>60</v>
      </c>
      <c r="K94" s="35">
        <f>SUM(V87:V95)</f>
        <v>17354.650000000001</v>
      </c>
      <c r="L94" s="36"/>
    </row>
    <row r="95" spans="1:26" ht="14.25" x14ac:dyDescent="0.2">
      <c r="A95" s="47"/>
      <c r="B95" s="48"/>
      <c r="C95" s="48" t="s">
        <v>492</v>
      </c>
      <c r="D95" s="38" t="s">
        <v>493</v>
      </c>
      <c r="E95" s="39">
        <f>Source!AQ38</f>
        <v>88.3</v>
      </c>
      <c r="F95" s="40"/>
      <c r="G95" s="41" t="str">
        <f>Source!DI38</f>
        <v/>
      </c>
      <c r="H95" s="42"/>
      <c r="I95" s="41"/>
      <c r="J95" s="41"/>
      <c r="K95" s="42"/>
      <c r="L95" s="43">
        <f>Source!U38</f>
        <v>88.3</v>
      </c>
    </row>
    <row r="96" spans="1:26" ht="15" x14ac:dyDescent="0.25">
      <c r="G96" s="69">
        <f>H89+H90+H92+H93+H94</f>
        <v>2418.9</v>
      </c>
      <c r="H96" s="69"/>
      <c r="J96" s="69">
        <f>K89+K90+K92+K93+K94</f>
        <v>72361.700000000012</v>
      </c>
      <c r="K96" s="69"/>
      <c r="L96" s="44">
        <f>Source!U38</f>
        <v>88.3</v>
      </c>
      <c r="O96" s="26">
        <f>G96</f>
        <v>2418.9</v>
      </c>
      <c r="P96" s="26">
        <f>J96</f>
        <v>72361.700000000012</v>
      </c>
      <c r="Q96" s="26">
        <f>L96</f>
        <v>88.3</v>
      </c>
      <c r="W96">
        <f>IF(Source!BI38&lt;=1,H89+H90+H92+H93+H94, 0)</f>
        <v>0</v>
      </c>
      <c r="X96">
        <f>IF(Source!BI38=2,H89+H90+H92+H93+H94, 0)</f>
        <v>2418.9</v>
      </c>
      <c r="Y96">
        <f>IF(Source!BI38=3,H89+H90+H92+H93+H94, 0)</f>
        <v>0</v>
      </c>
      <c r="Z96">
        <f>IF(Source!BI38=4,H89+H90+H92+H93+H94, 0)</f>
        <v>0</v>
      </c>
    </row>
    <row r="97" spans="1:26" ht="57" x14ac:dyDescent="0.2">
      <c r="A97" s="16" t="str">
        <f>Source!E41</f>
        <v>8</v>
      </c>
      <c r="B97" s="46" t="str">
        <f>Source!F41</f>
        <v>46-03-014-45</v>
      </c>
      <c r="C97" s="46" t="str">
        <f>Source!G41</f>
        <v>Сверление горизонтальных отверстий в железобетонных конструкциях стен перфоратором глубиной 200 мм диаметром 20 мм</v>
      </c>
      <c r="D97" s="32" t="str">
        <f>Source!H41</f>
        <v>100 отверстий</v>
      </c>
      <c r="E97" s="22">
        <f>Source!I41</f>
        <v>0.04</v>
      </c>
      <c r="F97" s="33">
        <f>Source!AL41+Source!AM41+Source!AO41</f>
        <v>219.76999999999998</v>
      </c>
      <c r="G97" s="34"/>
      <c r="H97" s="35"/>
      <c r="I97" s="34" t="str">
        <f>Source!BO41</f>
        <v>46-03-014-45</v>
      </c>
      <c r="J97" s="34"/>
      <c r="K97" s="35"/>
      <c r="L97" s="36"/>
      <c r="S97">
        <f>ROUND((Source!FX41/100)*((ROUND(Source!AF41*Source!I41, 2)+ROUND(Source!AE41*Source!I41, 2))), 2)</f>
        <v>2.5499999999999998</v>
      </c>
      <c r="T97">
        <f>Source!X41</f>
        <v>85.2</v>
      </c>
      <c r="U97">
        <f>ROUND((Source!FY41/100)*((ROUND(Source!AF41*Source!I41, 2)+ROUND(Source!AE41*Source!I41, 2))), 2)</f>
        <v>1.54</v>
      </c>
      <c r="V97">
        <f>Source!Y41</f>
        <v>51.64</v>
      </c>
    </row>
    <row r="98" spans="1:26" x14ac:dyDescent="0.2">
      <c r="C98" s="28" t="str">
        <f>"Объем: "&amp;Source!I41&amp;"=4/"&amp;"100"</f>
        <v>Объем: 0,04=4/100</v>
      </c>
    </row>
    <row r="99" spans="1:26" ht="14.25" x14ac:dyDescent="0.2">
      <c r="A99" s="16"/>
      <c r="B99" s="46"/>
      <c r="C99" s="46" t="s">
        <v>487</v>
      </c>
      <c r="D99" s="32"/>
      <c r="E99" s="22"/>
      <c r="F99" s="33">
        <f>Source!AO41</f>
        <v>64.569999999999993</v>
      </c>
      <c r="G99" s="34" t="str">
        <f>Source!DG41</f>
        <v/>
      </c>
      <c r="H99" s="35">
        <f>ROUND(Source!AF41*Source!I41, 2)</f>
        <v>2.58</v>
      </c>
      <c r="I99" s="34"/>
      <c r="J99" s="34">
        <f>IF(Source!BA41&lt;&gt; 0, Source!BA41, 1)</f>
        <v>33.32</v>
      </c>
      <c r="K99" s="35">
        <f>Source!S41</f>
        <v>86.06</v>
      </c>
      <c r="L99" s="36"/>
      <c r="R99">
        <f>H99</f>
        <v>2.58</v>
      </c>
    </row>
    <row r="100" spans="1:26" ht="14.25" x14ac:dyDescent="0.2">
      <c r="A100" s="16"/>
      <c r="B100" s="46"/>
      <c r="C100" s="46" t="s">
        <v>157</v>
      </c>
      <c r="D100" s="32"/>
      <c r="E100" s="22"/>
      <c r="F100" s="33">
        <f>Source!AM41</f>
        <v>155.19999999999999</v>
      </c>
      <c r="G100" s="34" t="str">
        <f>Source!DE41</f>
        <v/>
      </c>
      <c r="H100" s="35">
        <f>ROUND(Source!AD41*Source!I41, 2)</f>
        <v>6.21</v>
      </c>
      <c r="I100" s="34"/>
      <c r="J100" s="34">
        <f>IF(Source!BB41&lt;&gt; 0, Source!BB41, 1)</f>
        <v>1.24</v>
      </c>
      <c r="K100" s="35">
        <f>Source!Q41</f>
        <v>7.7</v>
      </c>
      <c r="L100" s="36"/>
    </row>
    <row r="101" spans="1:26" ht="14.25" x14ac:dyDescent="0.2">
      <c r="A101" s="16"/>
      <c r="B101" s="46"/>
      <c r="C101" s="46" t="s">
        <v>489</v>
      </c>
      <c r="D101" s="32" t="s">
        <v>490</v>
      </c>
      <c r="E101" s="22">
        <f>Source!BZ41</f>
        <v>110</v>
      </c>
      <c r="F101" s="71" t="str">
        <f>CONCATENATE(" )", Source!DL41, Source!FT41, "=", Source!FX41)</f>
        <v xml:space="preserve"> )*0,9=99</v>
      </c>
      <c r="G101" s="72"/>
      <c r="H101" s="35">
        <f>SUM(S97:S103)</f>
        <v>2.5499999999999998</v>
      </c>
      <c r="I101" s="37"/>
      <c r="J101" s="31">
        <f>Source!AT41</f>
        <v>99</v>
      </c>
      <c r="K101" s="35">
        <f>SUM(T97:T103)</f>
        <v>85.2</v>
      </c>
      <c r="L101" s="36"/>
    </row>
    <row r="102" spans="1:26" ht="14.25" x14ac:dyDescent="0.2">
      <c r="A102" s="16"/>
      <c r="B102" s="46"/>
      <c r="C102" s="46" t="s">
        <v>491</v>
      </c>
      <c r="D102" s="32" t="s">
        <v>490</v>
      </c>
      <c r="E102" s="22">
        <f>Source!CA41</f>
        <v>70</v>
      </c>
      <c r="F102" s="71" t="str">
        <f>CONCATENATE(" )", Source!DM41, Source!FU41, "=", Source!FY41)</f>
        <v xml:space="preserve"> )*0,85=59,5</v>
      </c>
      <c r="G102" s="72"/>
      <c r="H102" s="35">
        <f>SUM(U97:U103)</f>
        <v>1.54</v>
      </c>
      <c r="I102" s="37"/>
      <c r="J102" s="31">
        <f>Source!AU41</f>
        <v>60</v>
      </c>
      <c r="K102" s="35">
        <f>SUM(V97:V103)</f>
        <v>51.64</v>
      </c>
      <c r="L102" s="36"/>
    </row>
    <row r="103" spans="1:26" ht="14.25" x14ac:dyDescent="0.2">
      <c r="A103" s="47"/>
      <c r="B103" s="48"/>
      <c r="C103" s="48" t="s">
        <v>492</v>
      </c>
      <c r="D103" s="38" t="s">
        <v>493</v>
      </c>
      <c r="E103" s="39">
        <f>Source!AQ41</f>
        <v>7.57</v>
      </c>
      <c r="F103" s="40"/>
      <c r="G103" s="41" t="str">
        <f>Source!DI41</f>
        <v/>
      </c>
      <c r="H103" s="42"/>
      <c r="I103" s="41"/>
      <c r="J103" s="41"/>
      <c r="K103" s="42"/>
      <c r="L103" s="43">
        <f>Source!U41</f>
        <v>0.30280000000000001</v>
      </c>
    </row>
    <row r="104" spans="1:26" ht="15" x14ac:dyDescent="0.25">
      <c r="G104" s="69">
        <f>H99+H100+H101+H102</f>
        <v>12.879999999999999</v>
      </c>
      <c r="H104" s="69"/>
      <c r="J104" s="69">
        <f>K99+K100+K101+K102</f>
        <v>230.60000000000002</v>
      </c>
      <c r="K104" s="69"/>
      <c r="L104" s="44">
        <f>Source!U41</f>
        <v>0.30280000000000001</v>
      </c>
      <c r="O104" s="26">
        <f>G104</f>
        <v>12.879999999999999</v>
      </c>
      <c r="P104" s="26">
        <f>J104</f>
        <v>230.60000000000002</v>
      </c>
      <c r="Q104" s="26">
        <f>L104</f>
        <v>0.30280000000000001</v>
      </c>
      <c r="W104">
        <f>IF(Source!BI41&lt;=1,H99+H100+H101+H102, 0)</f>
        <v>12.879999999999999</v>
      </c>
      <c r="X104">
        <f>IF(Source!BI41=2,H99+H100+H101+H102, 0)</f>
        <v>0</v>
      </c>
      <c r="Y104">
        <f>IF(Source!BI41=3,H99+H100+H101+H102, 0)</f>
        <v>0</v>
      </c>
      <c r="Z104">
        <f>IF(Source!BI41=4,H99+H100+H101+H102, 0)</f>
        <v>0</v>
      </c>
    </row>
    <row r="105" spans="1:26" ht="79.5" x14ac:dyDescent="0.2">
      <c r="A105" s="16" t="str">
        <f>Source!E42</f>
        <v>9</v>
      </c>
      <c r="B105" s="46" t="s">
        <v>495</v>
      </c>
      <c r="C105" s="46" t="str">
        <f>Source!G42</f>
        <v>Прокладка трубопроводов отопления из стальных водогазопроводных неоцинкованных труб диаметром 15 мм (прим. 17х2 мм для гильз)</v>
      </c>
      <c r="D105" s="32" t="str">
        <f>Source!H42</f>
        <v>100 м трубопровода</v>
      </c>
      <c r="E105" s="22">
        <f>Source!I42</f>
        <v>0.01</v>
      </c>
      <c r="F105" s="33">
        <f>Source!AL42+Source!AM42+Source!AO42</f>
        <v>2352.62</v>
      </c>
      <c r="G105" s="34"/>
      <c r="H105" s="35"/>
      <c r="I105" s="34" t="str">
        <f>Source!BO42</f>
        <v>16-02-001-1</v>
      </c>
      <c r="J105" s="34"/>
      <c r="K105" s="35"/>
      <c r="L105" s="36"/>
      <c r="S105">
        <f>ROUND((Source!FX42/100)*((ROUND(Source!AF42*Source!I42, 2)+ROUND(Source!AE42*Source!I42, 2))), 2)</f>
        <v>4.24</v>
      </c>
      <c r="T105">
        <f>Source!X42</f>
        <v>140.74</v>
      </c>
      <c r="U105">
        <f>ROUND((Source!FY42/100)*((ROUND(Source!AF42*Source!I42, 2)+ROUND(Source!AE42*Source!I42, 2))), 2)</f>
        <v>2.6</v>
      </c>
      <c r="V105">
        <f>Source!Y42</f>
        <v>86.89</v>
      </c>
    </row>
    <row r="106" spans="1:26" x14ac:dyDescent="0.2">
      <c r="C106" s="28" t="str">
        <f>"Объем: "&amp;Source!I42&amp;"=1/"&amp;"100"</f>
        <v>Объем: 0,01=1/100</v>
      </c>
    </row>
    <row r="107" spans="1:26" ht="14.25" x14ac:dyDescent="0.2">
      <c r="A107" s="16"/>
      <c r="B107" s="46"/>
      <c r="C107" s="46" t="s">
        <v>487</v>
      </c>
      <c r="D107" s="32"/>
      <c r="E107" s="22"/>
      <c r="F107" s="33">
        <f>Source!AO42</f>
        <v>317.17</v>
      </c>
      <c r="G107" s="34" t="str">
        <f>Source!DG42</f>
        <v>)*1,15</v>
      </c>
      <c r="H107" s="35">
        <f>ROUND(Source!AF42*Source!I42, 2)</f>
        <v>3.65</v>
      </c>
      <c r="I107" s="34"/>
      <c r="J107" s="34">
        <f>IF(Source!BA42&lt;&gt; 0, Source!BA42, 1)</f>
        <v>33.32</v>
      </c>
      <c r="K107" s="35">
        <f>Source!S42</f>
        <v>121.53</v>
      </c>
      <c r="L107" s="36"/>
      <c r="R107">
        <f>H107</f>
        <v>3.65</v>
      </c>
    </row>
    <row r="108" spans="1:26" ht="14.25" x14ac:dyDescent="0.2">
      <c r="A108" s="16"/>
      <c r="B108" s="46"/>
      <c r="C108" s="46" t="s">
        <v>157</v>
      </c>
      <c r="D108" s="32"/>
      <c r="E108" s="22"/>
      <c r="F108" s="33">
        <f>Source!AM42</f>
        <v>46.64</v>
      </c>
      <c r="G108" s="34" t="str">
        <f>Source!DE42</f>
        <v>)*1,25</v>
      </c>
      <c r="H108" s="35">
        <f>ROUND(Source!AD42*Source!I42, 2)</f>
        <v>0.57999999999999996</v>
      </c>
      <c r="I108" s="34"/>
      <c r="J108" s="34">
        <f>IF(Source!BB42&lt;&gt; 0, Source!BB42, 1)</f>
        <v>10.39</v>
      </c>
      <c r="K108" s="35">
        <f>Source!Q42</f>
        <v>6.06</v>
      </c>
      <c r="L108" s="36"/>
    </row>
    <row r="109" spans="1:26" ht="14.25" x14ac:dyDescent="0.2">
      <c r="A109" s="16"/>
      <c r="B109" s="46"/>
      <c r="C109" s="46" t="s">
        <v>494</v>
      </c>
      <c r="D109" s="32"/>
      <c r="E109" s="22"/>
      <c r="F109" s="33">
        <f>Source!AN42</f>
        <v>2.0299999999999998</v>
      </c>
      <c r="G109" s="34" t="str">
        <f>Source!DF42</f>
        <v>)*1,25</v>
      </c>
      <c r="H109" s="45">
        <f>ROUND(Source!AE42*Source!I42, 2)</f>
        <v>0.03</v>
      </c>
      <c r="I109" s="34"/>
      <c r="J109" s="34">
        <f>IF(Source!BS42&lt;&gt; 0, Source!BS42, 1)</f>
        <v>33.32</v>
      </c>
      <c r="K109" s="45">
        <f>Source!R42</f>
        <v>0.85</v>
      </c>
      <c r="L109" s="36"/>
      <c r="R109">
        <f>H109</f>
        <v>0.03</v>
      </c>
    </row>
    <row r="110" spans="1:26" ht="14.25" x14ac:dyDescent="0.2">
      <c r="A110" s="16"/>
      <c r="B110" s="46"/>
      <c r="C110" s="46" t="s">
        <v>488</v>
      </c>
      <c r="D110" s="32"/>
      <c r="E110" s="22"/>
      <c r="F110" s="33">
        <f>Source!AL42</f>
        <v>1988.81</v>
      </c>
      <c r="G110" s="34" t="str">
        <f>Source!DD42</f>
        <v/>
      </c>
      <c r="H110" s="35">
        <f>ROUND(Source!AC42*Source!I42, 2)</f>
        <v>19.89</v>
      </c>
      <c r="I110" s="34"/>
      <c r="J110" s="34">
        <f>IF(Source!BC42&lt;&gt; 0, Source!BC42, 1)</f>
        <v>5.56</v>
      </c>
      <c r="K110" s="35">
        <f>Source!P42</f>
        <v>110.58</v>
      </c>
      <c r="L110" s="36"/>
    </row>
    <row r="111" spans="1:26" ht="14.25" x14ac:dyDescent="0.2">
      <c r="A111" s="16"/>
      <c r="B111" s="46"/>
      <c r="C111" s="46" t="s">
        <v>489</v>
      </c>
      <c r="D111" s="32" t="s">
        <v>490</v>
      </c>
      <c r="E111" s="22">
        <f>Source!BZ42</f>
        <v>128</v>
      </c>
      <c r="F111" s="71" t="str">
        <f>CONCATENATE(" )", Source!DL42, Source!FT42, "=", Source!FX42)</f>
        <v xml:space="preserve"> )*0,9=115,2</v>
      </c>
      <c r="G111" s="72"/>
      <c r="H111" s="35">
        <f>SUM(S105:S113)</f>
        <v>4.24</v>
      </c>
      <c r="I111" s="37"/>
      <c r="J111" s="31">
        <f>Source!AT42</f>
        <v>115</v>
      </c>
      <c r="K111" s="35">
        <f>SUM(T105:T113)</f>
        <v>140.74</v>
      </c>
      <c r="L111" s="36"/>
    </row>
    <row r="112" spans="1:26" ht="14.25" x14ac:dyDescent="0.2">
      <c r="A112" s="16"/>
      <c r="B112" s="46"/>
      <c r="C112" s="46" t="s">
        <v>491</v>
      </c>
      <c r="D112" s="32" t="s">
        <v>490</v>
      </c>
      <c r="E112" s="22">
        <f>Source!CA42</f>
        <v>83</v>
      </c>
      <c r="F112" s="71" t="str">
        <f>CONCATENATE(" )", Source!DM42, Source!FU42, "=", Source!FY42)</f>
        <v xml:space="preserve"> )*0,85=70,55</v>
      </c>
      <c r="G112" s="72"/>
      <c r="H112" s="35">
        <f>SUM(U105:U113)</f>
        <v>2.6</v>
      </c>
      <c r="I112" s="37"/>
      <c r="J112" s="31">
        <f>Source!AU42</f>
        <v>71</v>
      </c>
      <c r="K112" s="35">
        <f>SUM(V105:V113)</f>
        <v>86.89</v>
      </c>
      <c r="L112" s="36"/>
    </row>
    <row r="113" spans="1:26" ht="14.25" x14ac:dyDescent="0.2">
      <c r="A113" s="47"/>
      <c r="B113" s="48"/>
      <c r="C113" s="48" t="s">
        <v>492</v>
      </c>
      <c r="D113" s="38" t="s">
        <v>493</v>
      </c>
      <c r="E113" s="39">
        <f>Source!AQ42</f>
        <v>32.97</v>
      </c>
      <c r="F113" s="40"/>
      <c r="G113" s="41" t="str">
        <f>Source!DI42</f>
        <v>)*1,15</v>
      </c>
      <c r="H113" s="42"/>
      <c r="I113" s="41"/>
      <c r="J113" s="41"/>
      <c r="K113" s="42"/>
      <c r="L113" s="43">
        <f>Source!U42</f>
        <v>0.37915499999999996</v>
      </c>
    </row>
    <row r="114" spans="1:26" ht="15" x14ac:dyDescent="0.25">
      <c r="G114" s="69">
        <f>H107+H108+H110+H111+H112</f>
        <v>30.96</v>
      </c>
      <c r="H114" s="69"/>
      <c r="J114" s="69">
        <f>K107+K108+K110+K111+K112</f>
        <v>465.8</v>
      </c>
      <c r="K114" s="69"/>
      <c r="L114" s="44">
        <f>Source!U42</f>
        <v>0.37915499999999996</v>
      </c>
      <c r="O114" s="26">
        <f>G114</f>
        <v>30.96</v>
      </c>
      <c r="P114" s="26">
        <f>J114</f>
        <v>465.8</v>
      </c>
      <c r="Q114" s="26">
        <f>L114</f>
        <v>0.37915499999999996</v>
      </c>
      <c r="W114">
        <f>IF(Source!BI42&lt;=1,H107+H108+H110+H111+H112, 0)</f>
        <v>30.96</v>
      </c>
      <c r="X114">
        <f>IF(Source!BI42=2,H107+H108+H110+H111+H112, 0)</f>
        <v>0</v>
      </c>
      <c r="Y114">
        <f>IF(Source!BI42=3,H107+H108+H110+H111+H112, 0)</f>
        <v>0</v>
      </c>
      <c r="Z114">
        <f>IF(Source!BI42=4,H107+H108+H110+H111+H112, 0)</f>
        <v>0</v>
      </c>
    </row>
    <row r="115" spans="1:26" ht="28.5" x14ac:dyDescent="0.2">
      <c r="A115" s="16" t="str">
        <f>Source!E45</f>
        <v>10</v>
      </c>
      <c r="B115" s="46" t="str">
        <f>Source!F45</f>
        <v>м08-02-390-1</v>
      </c>
      <c r="C115" s="46" t="str">
        <f>Source!G45</f>
        <v>Короба пластмассовые шириной до 40 мм</v>
      </c>
      <c r="D115" s="32" t="str">
        <f>Source!H45</f>
        <v>100 м</v>
      </c>
      <c r="E115" s="22">
        <f>Source!I45</f>
        <v>1</v>
      </c>
      <c r="F115" s="33">
        <f>Source!AL45+Source!AM45+Source!AO45</f>
        <v>237.45</v>
      </c>
      <c r="G115" s="34"/>
      <c r="H115" s="35"/>
      <c r="I115" s="34" t="str">
        <f>Source!BO45</f>
        <v>м08-02-390-1</v>
      </c>
      <c r="J115" s="34"/>
      <c r="K115" s="35"/>
      <c r="L115" s="36"/>
      <c r="S115">
        <f>ROUND((Source!FX45/100)*((ROUND(Source!AF45*Source!I45, 2)+ROUND(Source!AE45*Source!I45, 2))), 2)</f>
        <v>147.31</v>
      </c>
      <c r="T115">
        <f>Source!X45</f>
        <v>4908.26</v>
      </c>
      <c r="U115">
        <f>ROUND((Source!FY45/100)*((ROUND(Source!AF45*Source!I45, 2)+ROUND(Source!AE45*Source!I45, 2))), 2)</f>
        <v>100.79</v>
      </c>
      <c r="V115">
        <f>Source!Y45</f>
        <v>3358.28</v>
      </c>
    </row>
    <row r="116" spans="1:26" x14ac:dyDescent="0.2">
      <c r="C116" s="28" t="str">
        <f>"Объем: "&amp;Source!I45&amp;"=(100)/"&amp;"100"</f>
        <v>Объем: 1=(100)/100</v>
      </c>
    </row>
    <row r="117" spans="1:26" ht="14.25" x14ac:dyDescent="0.2">
      <c r="A117" s="16"/>
      <c r="B117" s="46"/>
      <c r="C117" s="46" t="s">
        <v>487</v>
      </c>
      <c r="D117" s="32"/>
      <c r="E117" s="22"/>
      <c r="F117" s="33">
        <f>Source!AO45</f>
        <v>154.91999999999999</v>
      </c>
      <c r="G117" s="34" t="str">
        <f>Source!DG45</f>
        <v/>
      </c>
      <c r="H117" s="35">
        <f>ROUND(Source!AF45*Source!I45, 2)</f>
        <v>154.91999999999999</v>
      </c>
      <c r="I117" s="34"/>
      <c r="J117" s="34">
        <f>IF(Source!BA45&lt;&gt; 0, Source!BA45, 1)</f>
        <v>33.32</v>
      </c>
      <c r="K117" s="35">
        <f>Source!S45</f>
        <v>5161.93</v>
      </c>
      <c r="L117" s="36"/>
      <c r="R117">
        <f>H117</f>
        <v>154.91999999999999</v>
      </c>
    </row>
    <row r="118" spans="1:26" ht="14.25" x14ac:dyDescent="0.2">
      <c r="A118" s="16"/>
      <c r="B118" s="46"/>
      <c r="C118" s="46" t="s">
        <v>157</v>
      </c>
      <c r="D118" s="32"/>
      <c r="E118" s="22"/>
      <c r="F118" s="33">
        <f>Source!AM45</f>
        <v>31.2</v>
      </c>
      <c r="G118" s="34" t="str">
        <f>Source!DE45</f>
        <v/>
      </c>
      <c r="H118" s="35">
        <f>ROUND(Source!AD45*Source!I45, 2)</f>
        <v>31.2</v>
      </c>
      <c r="I118" s="34"/>
      <c r="J118" s="34">
        <f>IF(Source!BB45&lt;&gt; 0, Source!BB45, 1)</f>
        <v>8.84</v>
      </c>
      <c r="K118" s="35">
        <f>Source!Q45</f>
        <v>275.81</v>
      </c>
      <c r="L118" s="36"/>
    </row>
    <row r="119" spans="1:26" ht="14.25" x14ac:dyDescent="0.2">
      <c r="A119" s="16"/>
      <c r="B119" s="46"/>
      <c r="C119" s="46" t="s">
        <v>494</v>
      </c>
      <c r="D119" s="32"/>
      <c r="E119" s="22"/>
      <c r="F119" s="33">
        <f>Source!AN45</f>
        <v>0.14000000000000001</v>
      </c>
      <c r="G119" s="34" t="str">
        <f>Source!DF45</f>
        <v/>
      </c>
      <c r="H119" s="45">
        <f>ROUND(Source!AE45*Source!I45, 2)</f>
        <v>0.14000000000000001</v>
      </c>
      <c r="I119" s="34"/>
      <c r="J119" s="34">
        <f>IF(Source!BS45&lt;&gt; 0, Source!BS45, 1)</f>
        <v>33.32</v>
      </c>
      <c r="K119" s="45">
        <f>Source!R45</f>
        <v>4.66</v>
      </c>
      <c r="L119" s="36"/>
      <c r="R119">
        <f>H119</f>
        <v>0.14000000000000001</v>
      </c>
    </row>
    <row r="120" spans="1:26" ht="14.25" x14ac:dyDescent="0.2">
      <c r="A120" s="16"/>
      <c r="B120" s="46"/>
      <c r="C120" s="46" t="s">
        <v>488</v>
      </c>
      <c r="D120" s="32"/>
      <c r="E120" s="22"/>
      <c r="F120" s="33">
        <f>Source!AL45</f>
        <v>51.33</v>
      </c>
      <c r="G120" s="34" t="str">
        <f>Source!DD45</f>
        <v/>
      </c>
      <c r="H120" s="35">
        <f>ROUND(Source!AC45*Source!I45, 2)</f>
        <v>51.33</v>
      </c>
      <c r="I120" s="34"/>
      <c r="J120" s="34">
        <f>IF(Source!BC45&lt;&gt; 0, Source!BC45, 1)</f>
        <v>4.6399999999999997</v>
      </c>
      <c r="K120" s="35">
        <f>Source!P45</f>
        <v>238.17</v>
      </c>
      <c r="L120" s="36"/>
    </row>
    <row r="121" spans="1:26" ht="14.25" x14ac:dyDescent="0.2">
      <c r="A121" s="16"/>
      <c r="B121" s="46"/>
      <c r="C121" s="46" t="s">
        <v>489</v>
      </c>
      <c r="D121" s="32" t="s">
        <v>490</v>
      </c>
      <c r="E121" s="22">
        <f>Source!BZ45</f>
        <v>95</v>
      </c>
      <c r="F121" s="49"/>
      <c r="G121" s="34"/>
      <c r="H121" s="35">
        <f>SUM(S115:S123)</f>
        <v>147.31</v>
      </c>
      <c r="I121" s="37"/>
      <c r="J121" s="31">
        <f>Source!AT45</f>
        <v>95</v>
      </c>
      <c r="K121" s="35">
        <f>SUM(T115:T123)</f>
        <v>4908.26</v>
      </c>
      <c r="L121" s="36"/>
    </row>
    <row r="122" spans="1:26" ht="14.25" x14ac:dyDescent="0.2">
      <c r="A122" s="16"/>
      <c r="B122" s="46"/>
      <c r="C122" s="46" t="s">
        <v>491</v>
      </c>
      <c r="D122" s="32" t="s">
        <v>490</v>
      </c>
      <c r="E122" s="22">
        <f>Source!CA45</f>
        <v>65</v>
      </c>
      <c r="F122" s="49"/>
      <c r="G122" s="34"/>
      <c r="H122" s="35">
        <f>SUM(U115:U123)</f>
        <v>100.79</v>
      </c>
      <c r="I122" s="37"/>
      <c r="J122" s="31">
        <f>Source!AU45</f>
        <v>65</v>
      </c>
      <c r="K122" s="35">
        <f>SUM(V115:V123)</f>
        <v>3358.28</v>
      </c>
      <c r="L122" s="36"/>
    </row>
    <row r="123" spans="1:26" ht="14.25" x14ac:dyDescent="0.2">
      <c r="A123" s="47"/>
      <c r="B123" s="48"/>
      <c r="C123" s="48" t="s">
        <v>492</v>
      </c>
      <c r="D123" s="38" t="s">
        <v>493</v>
      </c>
      <c r="E123" s="39">
        <f>Source!AQ45</f>
        <v>16.29</v>
      </c>
      <c r="F123" s="40"/>
      <c r="G123" s="41" t="str">
        <f>Source!DI45</f>
        <v/>
      </c>
      <c r="H123" s="42"/>
      <c r="I123" s="41"/>
      <c r="J123" s="41"/>
      <c r="K123" s="42"/>
      <c r="L123" s="43">
        <f>Source!U45</f>
        <v>16.29</v>
      </c>
    </row>
    <row r="124" spans="1:26" ht="15" x14ac:dyDescent="0.25">
      <c r="G124" s="69">
        <f>H117+H118+H120+H121+H122</f>
        <v>485.55</v>
      </c>
      <c r="H124" s="69"/>
      <c r="J124" s="69">
        <f>K117+K118+K120+K121+K122</f>
        <v>13942.450000000003</v>
      </c>
      <c r="K124" s="69"/>
      <c r="L124" s="44">
        <f>Source!U45</f>
        <v>16.29</v>
      </c>
      <c r="O124" s="26">
        <f>G124</f>
        <v>485.55</v>
      </c>
      <c r="P124" s="26">
        <f>J124</f>
        <v>13942.450000000003</v>
      </c>
      <c r="Q124" s="26">
        <f>L124</f>
        <v>16.29</v>
      </c>
      <c r="W124">
        <f>IF(Source!BI45&lt;=1,H117+H118+H120+H121+H122, 0)</f>
        <v>0</v>
      </c>
      <c r="X124">
        <f>IF(Source!BI45=2,H117+H118+H120+H121+H122, 0)</f>
        <v>485.55</v>
      </c>
      <c r="Y124">
        <f>IF(Source!BI45=3,H117+H118+H120+H121+H122, 0)</f>
        <v>0</v>
      </c>
      <c r="Z124">
        <f>IF(Source!BI45=4,H117+H118+H120+H121+H122, 0)</f>
        <v>0</v>
      </c>
    </row>
    <row r="125" spans="1:26" ht="42.75" x14ac:dyDescent="0.2">
      <c r="A125" s="16" t="str">
        <f>Source!E47</f>
        <v>11</v>
      </c>
      <c r="B125" s="46" t="str">
        <f>Source!F47</f>
        <v>м12-11-004-1</v>
      </c>
      <c r="C125" s="46" t="str">
        <f>Source!G47</f>
        <v>Протравка и промывка труб различными реактивами, диаметр труб наружный 15-38 мм</v>
      </c>
      <c r="D125" s="32" t="str">
        <f>Source!H47</f>
        <v>100 м</v>
      </c>
      <c r="E125" s="22">
        <f>Source!I47</f>
        <v>1</v>
      </c>
      <c r="F125" s="33">
        <f>Source!AL47+Source!AM47+Source!AO47</f>
        <v>1984.05</v>
      </c>
      <c r="G125" s="34"/>
      <c r="H125" s="35"/>
      <c r="I125" s="34" t="str">
        <f>Source!BO47</f>
        <v>м12-11-004-1</v>
      </c>
      <c r="J125" s="34"/>
      <c r="K125" s="35"/>
      <c r="L125" s="36"/>
      <c r="S125">
        <f>ROUND((Source!FX47/100)*((ROUND(Source!AF47*Source!I47, 2)+ROUND(Source!AE47*Source!I47, 2))), 2)</f>
        <v>264.3</v>
      </c>
      <c r="T125">
        <f>Source!X47</f>
        <v>8806.61</v>
      </c>
      <c r="U125">
        <f>ROUND((Source!FY47/100)*((ROUND(Source!AF47*Source!I47, 2)+ROUND(Source!AE47*Source!I47, 2))), 2)</f>
        <v>198.23</v>
      </c>
      <c r="V125">
        <f>Source!Y47</f>
        <v>6604.96</v>
      </c>
    </row>
    <row r="126" spans="1:26" x14ac:dyDescent="0.2">
      <c r="C126" s="28" t="str">
        <f>"Объем: "&amp;Source!I47&amp;"=(60+"&amp;"40)/"&amp;"100"</f>
        <v>Объем: 1=(60+40)/100</v>
      </c>
    </row>
    <row r="127" spans="1:26" ht="14.25" x14ac:dyDescent="0.2">
      <c r="A127" s="16"/>
      <c r="B127" s="46"/>
      <c r="C127" s="46" t="s">
        <v>487</v>
      </c>
      <c r="D127" s="32"/>
      <c r="E127" s="22"/>
      <c r="F127" s="33">
        <f>Source!AO47</f>
        <v>217.41</v>
      </c>
      <c r="G127" s="34" t="str">
        <f>Source!DG47</f>
        <v/>
      </c>
      <c r="H127" s="35">
        <f>ROUND(Source!AF47*Source!I47, 2)</f>
        <v>217.41</v>
      </c>
      <c r="I127" s="34"/>
      <c r="J127" s="34">
        <f>IF(Source!BA47&lt;&gt; 0, Source!BA47, 1)</f>
        <v>33.32</v>
      </c>
      <c r="K127" s="35">
        <f>Source!S47</f>
        <v>7244.1</v>
      </c>
      <c r="L127" s="36"/>
      <c r="R127">
        <f>H127</f>
        <v>217.41</v>
      </c>
    </row>
    <row r="128" spans="1:26" ht="14.25" x14ac:dyDescent="0.2">
      <c r="A128" s="16"/>
      <c r="B128" s="46"/>
      <c r="C128" s="46" t="s">
        <v>157</v>
      </c>
      <c r="D128" s="32"/>
      <c r="E128" s="22"/>
      <c r="F128" s="33">
        <f>Source!AM47</f>
        <v>1762.29</v>
      </c>
      <c r="G128" s="34" t="str">
        <f>Source!DE47</f>
        <v/>
      </c>
      <c r="H128" s="35">
        <f>ROUND(Source!AD47*Source!I47, 2)</f>
        <v>1762.29</v>
      </c>
      <c r="I128" s="34"/>
      <c r="J128" s="34">
        <f>IF(Source!BB47&lt;&gt; 0, Source!BB47, 1)</f>
        <v>9.17</v>
      </c>
      <c r="K128" s="35">
        <f>Source!Q47</f>
        <v>16160.2</v>
      </c>
      <c r="L128" s="36"/>
    </row>
    <row r="129" spans="1:32" ht="14.25" x14ac:dyDescent="0.2">
      <c r="A129" s="16"/>
      <c r="B129" s="46"/>
      <c r="C129" s="46" t="s">
        <v>494</v>
      </c>
      <c r="D129" s="32"/>
      <c r="E129" s="22"/>
      <c r="F129" s="33">
        <f>Source!AN47</f>
        <v>112.97</v>
      </c>
      <c r="G129" s="34" t="str">
        <f>Source!DF47</f>
        <v/>
      </c>
      <c r="H129" s="45">
        <f>ROUND(Source!AE47*Source!I47, 2)</f>
        <v>112.97</v>
      </c>
      <c r="I129" s="34"/>
      <c r="J129" s="34">
        <f>IF(Source!BS47&lt;&gt; 0, Source!BS47, 1)</f>
        <v>33.32</v>
      </c>
      <c r="K129" s="45">
        <f>Source!R47</f>
        <v>3764.16</v>
      </c>
      <c r="L129" s="36"/>
      <c r="R129">
        <f>H129</f>
        <v>112.97</v>
      </c>
    </row>
    <row r="130" spans="1:32" ht="14.25" x14ac:dyDescent="0.2">
      <c r="A130" s="16"/>
      <c r="B130" s="46"/>
      <c r="C130" s="46" t="s">
        <v>488</v>
      </c>
      <c r="D130" s="32"/>
      <c r="E130" s="22"/>
      <c r="F130" s="33">
        <f>Source!AL47</f>
        <v>4.3499999999999996</v>
      </c>
      <c r="G130" s="34" t="str">
        <f>Source!DD47</f>
        <v/>
      </c>
      <c r="H130" s="35">
        <f>ROUND(Source!AC47*Source!I47, 2)</f>
        <v>4.3499999999999996</v>
      </c>
      <c r="I130" s="34"/>
      <c r="J130" s="34">
        <f>IF(Source!BC47&lt;&gt; 0, Source!BC47, 1)</f>
        <v>33.31</v>
      </c>
      <c r="K130" s="35">
        <f>Source!P47</f>
        <v>144.9</v>
      </c>
      <c r="L130" s="36"/>
    </row>
    <row r="131" spans="1:32" ht="14.25" x14ac:dyDescent="0.2">
      <c r="A131" s="16"/>
      <c r="B131" s="46"/>
      <c r="C131" s="46" t="s">
        <v>489</v>
      </c>
      <c r="D131" s="32" t="s">
        <v>490</v>
      </c>
      <c r="E131" s="22">
        <f>Source!BZ47</f>
        <v>80</v>
      </c>
      <c r="F131" s="49"/>
      <c r="G131" s="34"/>
      <c r="H131" s="35">
        <f>SUM(S125:S133)</f>
        <v>264.3</v>
      </c>
      <c r="I131" s="37"/>
      <c r="J131" s="31">
        <f>Source!AT47</f>
        <v>80</v>
      </c>
      <c r="K131" s="35">
        <f>SUM(T125:T133)</f>
        <v>8806.61</v>
      </c>
      <c r="L131" s="36"/>
    </row>
    <row r="132" spans="1:32" ht="14.25" x14ac:dyDescent="0.2">
      <c r="A132" s="16"/>
      <c r="B132" s="46"/>
      <c r="C132" s="46" t="s">
        <v>491</v>
      </c>
      <c r="D132" s="32" t="s">
        <v>490</v>
      </c>
      <c r="E132" s="22">
        <f>Source!CA47</f>
        <v>60</v>
      </c>
      <c r="F132" s="49"/>
      <c r="G132" s="34"/>
      <c r="H132" s="35">
        <f>SUM(U125:U133)</f>
        <v>198.23</v>
      </c>
      <c r="I132" s="37"/>
      <c r="J132" s="31">
        <f>Source!AU47</f>
        <v>60</v>
      </c>
      <c r="K132" s="35">
        <f>SUM(V125:V133)</f>
        <v>6604.96</v>
      </c>
      <c r="L132" s="36"/>
    </row>
    <row r="133" spans="1:32" ht="14.25" x14ac:dyDescent="0.2">
      <c r="A133" s="47"/>
      <c r="B133" s="48"/>
      <c r="C133" s="48" t="s">
        <v>492</v>
      </c>
      <c r="D133" s="38" t="s">
        <v>493</v>
      </c>
      <c r="E133" s="39">
        <f>Source!AQ47</f>
        <v>22.6</v>
      </c>
      <c r="F133" s="40"/>
      <c r="G133" s="41" t="str">
        <f>Source!DI47</f>
        <v/>
      </c>
      <c r="H133" s="42"/>
      <c r="I133" s="41"/>
      <c r="J133" s="41"/>
      <c r="K133" s="42"/>
      <c r="L133" s="43">
        <f>Source!U47</f>
        <v>22.6</v>
      </c>
    </row>
    <row r="134" spans="1:32" ht="15" x14ac:dyDescent="0.25">
      <c r="G134" s="69">
        <f>H127+H128+H130+H131+H132</f>
        <v>2446.58</v>
      </c>
      <c r="H134" s="69"/>
      <c r="J134" s="69">
        <f>K127+K128+K130+K131+K132</f>
        <v>38960.770000000004</v>
      </c>
      <c r="K134" s="69"/>
      <c r="L134" s="44">
        <f>Source!U47</f>
        <v>22.6</v>
      </c>
      <c r="O134" s="26">
        <f>G134</f>
        <v>2446.58</v>
      </c>
      <c r="P134" s="26">
        <f>J134</f>
        <v>38960.770000000004</v>
      </c>
      <c r="Q134" s="26">
        <f>L134</f>
        <v>22.6</v>
      </c>
      <c r="W134">
        <f>IF(Source!BI47&lt;=1,H127+H128+H130+H131+H132, 0)</f>
        <v>0</v>
      </c>
      <c r="X134">
        <f>IF(Source!BI47=2,H127+H128+H130+H131+H132, 0)</f>
        <v>2446.58</v>
      </c>
      <c r="Y134">
        <f>IF(Source!BI47=3,H127+H128+H130+H131+H132, 0)</f>
        <v>0</v>
      </c>
      <c r="Z134">
        <f>IF(Source!BI47=4,H127+H128+H130+H131+H132, 0)</f>
        <v>0</v>
      </c>
    </row>
    <row r="136" spans="1:32" ht="15" x14ac:dyDescent="0.25">
      <c r="A136" s="68" t="str">
        <f>CONCATENATE("Итого по локальной смете: ",IF(Source!G50&lt;&gt;"Новая локальная смета", Source!G50, ""))</f>
        <v xml:space="preserve">Итого по локальной смете: </v>
      </c>
      <c r="B136" s="68"/>
      <c r="C136" s="68"/>
      <c r="D136" s="68"/>
      <c r="E136" s="68"/>
      <c r="F136" s="68"/>
      <c r="G136" s="67">
        <f>SUM(O34:O135)</f>
        <v>6547.96</v>
      </c>
      <c r="H136" s="67"/>
      <c r="I136" s="30"/>
      <c r="J136" s="67">
        <f>SUM(P34:P135)</f>
        <v>160863.22000000003</v>
      </c>
      <c r="K136" s="67"/>
      <c r="L136" s="44">
        <f>SUM(Q34:Q135)</f>
        <v>171.61395499999998</v>
      </c>
    </row>
    <row r="140" spans="1:32" ht="15" customHeight="1" x14ac:dyDescent="0.25">
      <c r="A140" s="50"/>
      <c r="B140" s="50"/>
      <c r="C140" s="50" t="s">
        <v>558</v>
      </c>
      <c r="D140" s="50"/>
      <c r="E140" s="50"/>
      <c r="F140" s="50"/>
      <c r="G140" s="67">
        <f>SUM(O1:O139)</f>
        <v>6547.96</v>
      </c>
      <c r="H140" s="67"/>
      <c r="I140" s="30"/>
      <c r="J140" s="67">
        <f>SUM(P1:P139)</f>
        <v>160863.22000000003</v>
      </c>
      <c r="K140" s="67"/>
      <c r="L140" s="44">
        <f>SUM(Q1:Q139)</f>
        <v>171.61395499999998</v>
      </c>
      <c r="AF140" s="50" t="str">
        <f>CONCATENATE("Итого по смете: ",IF(Source!G80&lt;&gt;"Новый объект", Source!G80, ""))</f>
        <v>Итого по смете: МОСП ул.Щепкина д.61/2_(Монтаж)</v>
      </c>
    </row>
    <row r="141" spans="1:32" ht="14.25" x14ac:dyDescent="0.2">
      <c r="C141" s="31" t="s">
        <v>559</v>
      </c>
    </row>
    <row r="142" spans="1:32" ht="15" x14ac:dyDescent="0.25">
      <c r="C142" s="31" t="s">
        <v>560</v>
      </c>
      <c r="K142" s="65">
        <f>ROUND((I19+I20)*1000,2)</f>
        <v>160863.22</v>
      </c>
      <c r="L142" s="65"/>
    </row>
    <row r="143" spans="1:32" ht="15" x14ac:dyDescent="0.25">
      <c r="C143" s="31" t="s">
        <v>561</v>
      </c>
      <c r="K143" s="65">
        <f>ROUND(J140*20%,2)</f>
        <v>32172.639999999999</v>
      </c>
    </row>
    <row r="144" spans="1:32" ht="15" x14ac:dyDescent="0.25">
      <c r="K144" s="65">
        <f>ROUND(K142+K143,2)</f>
        <v>193035.86</v>
      </c>
    </row>
    <row r="151" spans="1:12" ht="9" customHeight="1" x14ac:dyDescent="0.2"/>
    <row r="152" spans="1:12" ht="14.25" x14ac:dyDescent="0.2">
      <c r="A152" s="29" t="s">
        <v>496</v>
      </c>
      <c r="B152" s="29"/>
      <c r="C152" s="22" t="s">
        <v>498</v>
      </c>
      <c r="D152" s="27" t="str">
        <f>IF(Source!AC12&lt;&gt;"", Source!AC12," ")</f>
        <v xml:space="preserve"> </v>
      </c>
      <c r="E152" s="27"/>
      <c r="F152" s="27"/>
      <c r="G152" s="27"/>
      <c r="H152" s="27"/>
      <c r="I152" s="11" t="str">
        <f>IF(Source!AB12&lt;&gt;"", Source!AB12," ")</f>
        <v xml:space="preserve"> </v>
      </c>
      <c r="J152" s="22"/>
      <c r="K152" s="11"/>
      <c r="L152" s="11"/>
    </row>
    <row r="153" spans="1:12" ht="14.25" x14ac:dyDescent="0.2">
      <c r="A153" s="11"/>
      <c r="B153" s="11"/>
      <c r="C153" s="11"/>
      <c r="D153" s="70" t="s">
        <v>497</v>
      </c>
      <c r="E153" s="70"/>
      <c r="F153" s="70"/>
      <c r="G153" s="70"/>
      <c r="H153" s="70"/>
      <c r="I153" s="11"/>
      <c r="J153" s="11"/>
      <c r="K153" s="11"/>
      <c r="L153" s="11"/>
    </row>
    <row r="154" spans="1:12" ht="14.2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1:12" ht="14.25" x14ac:dyDescent="0.2">
      <c r="A155" s="11"/>
      <c r="B155" s="11"/>
      <c r="C155" s="22" t="s">
        <v>499</v>
      </c>
      <c r="D155" s="27" t="str">
        <f>IF(Source!AE12&lt;&gt;"", Source!AE12," ")</f>
        <v xml:space="preserve"> </v>
      </c>
      <c r="E155" s="27"/>
      <c r="F155" s="27"/>
      <c r="G155" s="27"/>
      <c r="H155" s="27"/>
      <c r="I155" s="11" t="str">
        <f>IF(Source!AD12&lt;&gt;"", Source!AD12," ")</f>
        <v xml:space="preserve"> </v>
      </c>
      <c r="J155" s="22"/>
      <c r="K155" s="11"/>
      <c r="L155" s="11"/>
    </row>
    <row r="156" spans="1:12" ht="14.25" x14ac:dyDescent="0.2">
      <c r="A156" s="11"/>
      <c r="B156" s="11"/>
      <c r="C156" s="11"/>
      <c r="D156" s="70" t="s">
        <v>497</v>
      </c>
      <c r="E156" s="70"/>
      <c r="F156" s="70"/>
      <c r="G156" s="70"/>
      <c r="H156" s="70"/>
      <c r="I156" s="11"/>
      <c r="J156" s="11"/>
      <c r="K156" s="11"/>
      <c r="L156" s="11"/>
    </row>
  </sheetData>
  <mergeCells count="77">
    <mergeCell ref="C18:F18"/>
    <mergeCell ref="G18:H18"/>
    <mergeCell ref="I18:J18"/>
    <mergeCell ref="K18:L18"/>
    <mergeCell ref="B2:K2"/>
    <mergeCell ref="B3:K3"/>
    <mergeCell ref="F5:G5"/>
    <mergeCell ref="H5:K5"/>
    <mergeCell ref="B7:K7"/>
    <mergeCell ref="B9:K9"/>
    <mergeCell ref="B11:K11"/>
    <mergeCell ref="B12:K12"/>
    <mergeCell ref="A14:L14"/>
    <mergeCell ref="G17:H17"/>
    <mergeCell ref="I17:J17"/>
    <mergeCell ref="C19:F19"/>
    <mergeCell ref="G19:H19"/>
    <mergeCell ref="I19:J19"/>
    <mergeCell ref="K19:L19"/>
    <mergeCell ref="C20:F20"/>
    <mergeCell ref="G20:H20"/>
    <mergeCell ref="I20:J20"/>
    <mergeCell ref="K20:L20"/>
    <mergeCell ref="C21:F21"/>
    <mergeCell ref="G21:H21"/>
    <mergeCell ref="I21:J21"/>
    <mergeCell ref="K21:L21"/>
    <mergeCell ref="C22:F22"/>
    <mergeCell ref="G22:H22"/>
    <mergeCell ref="I22:J22"/>
    <mergeCell ref="K22:L22"/>
    <mergeCell ref="C23:F23"/>
    <mergeCell ref="G23:H23"/>
    <mergeCell ref="I23:J23"/>
    <mergeCell ref="K23:L23"/>
    <mergeCell ref="C24:F24"/>
    <mergeCell ref="G24:H24"/>
    <mergeCell ref="I24:J24"/>
    <mergeCell ref="K24:L24"/>
    <mergeCell ref="J104:K104"/>
    <mergeCell ref="G104:H104"/>
    <mergeCell ref="G124:H124"/>
    <mergeCell ref="C25:F25"/>
    <mergeCell ref="G25:H25"/>
    <mergeCell ref="I25:J25"/>
    <mergeCell ref="A30:L30"/>
    <mergeCell ref="F102:G102"/>
    <mergeCell ref="F101:G101"/>
    <mergeCell ref="J96:K96"/>
    <mergeCell ref="G96:H96"/>
    <mergeCell ref="D156:H156"/>
    <mergeCell ref="J114:K114"/>
    <mergeCell ref="G114:H114"/>
    <mergeCell ref="F112:G112"/>
    <mergeCell ref="F111:G111"/>
    <mergeCell ref="D153:H153"/>
    <mergeCell ref="G86:H86"/>
    <mergeCell ref="J77:K77"/>
    <mergeCell ref="G77:H77"/>
    <mergeCell ref="J67:K67"/>
    <mergeCell ref="G67:H67"/>
    <mergeCell ref="A34:L34"/>
    <mergeCell ref="G140:H140"/>
    <mergeCell ref="J140:K140"/>
    <mergeCell ref="G136:H136"/>
    <mergeCell ref="J136:K136"/>
    <mergeCell ref="A136:F136"/>
    <mergeCell ref="J134:K134"/>
    <mergeCell ref="G134:H134"/>
    <mergeCell ref="J124:K124"/>
    <mergeCell ref="J57:K57"/>
    <mergeCell ref="G57:H57"/>
    <mergeCell ref="J48:K48"/>
    <mergeCell ref="G48:H48"/>
    <mergeCell ref="J41:K41"/>
    <mergeCell ref="G41:H41"/>
    <mergeCell ref="J86:K86"/>
  </mergeCells>
  <pageMargins left="0.4" right="0.2" top="0.2" bottom="0.4" header="0.2" footer="0.2"/>
  <pageSetup paperSize="9" scale="59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workbookViewId="0"/>
  </sheetViews>
  <sheetFormatPr defaultRowHeight="12.75" x14ac:dyDescent="0.2"/>
  <sheetData>
    <row r="1" spans="1:24" x14ac:dyDescent="0.2">
      <c r="A1" t="s">
        <v>524</v>
      </c>
      <c r="B1" t="s">
        <v>525</v>
      </c>
      <c r="C1" t="s">
        <v>526</v>
      </c>
      <c r="D1" t="s">
        <v>527</v>
      </c>
      <c r="E1" t="s">
        <v>528</v>
      </c>
      <c r="F1" t="s">
        <v>529</v>
      </c>
      <c r="G1" t="s">
        <v>530</v>
      </c>
      <c r="H1" t="s">
        <v>531</v>
      </c>
      <c r="I1" t="s">
        <v>532</v>
      </c>
      <c r="J1" t="s">
        <v>533</v>
      </c>
      <c r="K1" t="s">
        <v>534</v>
      </c>
      <c r="L1" t="s">
        <v>535</v>
      </c>
    </row>
    <row r="2" spans="1:24" x14ac:dyDescent="0.2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0</v>
      </c>
      <c r="I2">
        <v>1</v>
      </c>
      <c r="J2">
        <v>0</v>
      </c>
      <c r="K2">
        <v>1</v>
      </c>
      <c r="L2">
        <v>50121127</v>
      </c>
    </row>
    <row r="4" spans="1:24" x14ac:dyDescent="0.2">
      <c r="A4" t="s">
        <v>500</v>
      </c>
      <c r="B4" t="s">
        <v>501</v>
      </c>
      <c r="C4" t="s">
        <v>502</v>
      </c>
      <c r="D4" t="s">
        <v>503</v>
      </c>
      <c r="E4" t="s">
        <v>504</v>
      </c>
      <c r="F4" t="s">
        <v>505</v>
      </c>
      <c r="G4" t="s">
        <v>506</v>
      </c>
      <c r="H4" t="s">
        <v>507</v>
      </c>
      <c r="I4" t="s">
        <v>508</v>
      </c>
      <c r="J4" t="s">
        <v>509</v>
      </c>
      <c r="K4" t="s">
        <v>510</v>
      </c>
      <c r="L4" t="s">
        <v>511</v>
      </c>
      <c r="M4" t="s">
        <v>512</v>
      </c>
      <c r="N4" t="s">
        <v>513</v>
      </c>
      <c r="O4" t="s">
        <v>514</v>
      </c>
      <c r="P4" t="s">
        <v>515</v>
      </c>
      <c r="Q4" t="s">
        <v>516</v>
      </c>
      <c r="R4" t="s">
        <v>517</v>
      </c>
      <c r="S4" t="s">
        <v>518</v>
      </c>
      <c r="T4" t="s">
        <v>519</v>
      </c>
      <c r="U4" t="s">
        <v>520</v>
      </c>
      <c r="V4" t="s">
        <v>521</v>
      </c>
      <c r="W4" t="s">
        <v>522</v>
      </c>
      <c r="X4" t="s">
        <v>523</v>
      </c>
    </row>
    <row r="6" spans="1:24" x14ac:dyDescent="0.2">
      <c r="A6">
        <f>Source!A20</f>
        <v>3</v>
      </c>
      <c r="B6">
        <v>20</v>
      </c>
      <c r="G6" t="str">
        <f>Source!G20</f>
        <v>Новая локальная смета</v>
      </c>
    </row>
    <row r="7" spans="1:24" x14ac:dyDescent="0.2">
      <c r="A7">
        <v>20</v>
      </c>
      <c r="B7">
        <v>2</v>
      </c>
      <c r="C7">
        <v>3</v>
      </c>
      <c r="D7">
        <v>0</v>
      </c>
      <c r="E7">
        <f>SmtRes!AV2</f>
        <v>0</v>
      </c>
      <c r="F7" t="str">
        <f>SmtRes!I2</f>
        <v>999-9950</v>
      </c>
      <c r="G7" t="str">
        <f>SmtRes!K2</f>
        <v>Вспомогательные ненормируемые материалы (2% от ОЗП)</v>
      </c>
      <c r="H7" t="str">
        <f>SmtRes!O2</f>
        <v>РУБ</v>
      </c>
      <c r="I7">
        <f>SmtRes!Y2*Source!I24</f>
        <v>4.1999999999999993</v>
      </c>
      <c r="J7">
        <f>SmtRes!AO2</f>
        <v>1</v>
      </c>
      <c r="K7">
        <f>SmtRes!AE2</f>
        <v>1</v>
      </c>
      <c r="L7">
        <f>SmtRes!DB2</f>
        <v>0.7</v>
      </c>
      <c r="M7">
        <f>ROUND(ROUND(L7*Source!I24, 6)*1, 2)</f>
        <v>4.2</v>
      </c>
      <c r="N7">
        <f>SmtRes!AA2</f>
        <v>1</v>
      </c>
      <c r="O7">
        <f>ROUND(ROUND(L7*Source!I24, 6)*SmtRes!DA2, 2)</f>
        <v>4.2</v>
      </c>
      <c r="P7">
        <f>SmtRes!AG2</f>
        <v>0</v>
      </c>
      <c r="Q7">
        <f>SmtRes!DC2</f>
        <v>0</v>
      </c>
      <c r="R7">
        <f>ROUND(ROUND(Q7*Source!I24, 6)*1, 2)</f>
        <v>0</v>
      </c>
      <c r="S7">
        <f>SmtRes!AC2</f>
        <v>0</v>
      </c>
      <c r="T7">
        <f>ROUND(ROUND(Q7*Source!I24, 6)*SmtRes!AK2, 2)</f>
        <v>0</v>
      </c>
      <c r="U7">
        <f>SmtRes!X2</f>
        <v>-915781824</v>
      </c>
      <c r="V7">
        <v>655047484</v>
      </c>
      <c r="W7">
        <v>655047484</v>
      </c>
      <c r="X7">
        <v>3</v>
      </c>
    </row>
    <row r="8" spans="1:24" x14ac:dyDescent="0.2">
      <c r="A8">
        <v>20</v>
      </c>
      <c r="B8">
        <v>1</v>
      </c>
      <c r="C8">
        <v>1</v>
      </c>
      <c r="D8">
        <v>0</v>
      </c>
      <c r="E8">
        <f>SmtRes!AV1</f>
        <v>1</v>
      </c>
      <c r="F8" t="str">
        <f>SmtRes!I1</f>
        <v>1-2030-90</v>
      </c>
      <c r="G8" t="str">
        <f>SmtRes!K1</f>
        <v>Рабочий монтажник среднего разряда 3</v>
      </c>
      <c r="H8" t="str">
        <f>SmtRes!O1</f>
        <v>чел.-ч</v>
      </c>
      <c r="I8">
        <f>SmtRes!Y1*Source!I24</f>
        <v>24.72</v>
      </c>
      <c r="J8">
        <f>SmtRes!AO1</f>
        <v>1</v>
      </c>
      <c r="K8">
        <f>SmtRes!AH1</f>
        <v>284.25</v>
      </c>
      <c r="L8">
        <f>SmtRes!DB1</f>
        <v>1171.1099999999999</v>
      </c>
      <c r="M8">
        <f>ROUND(ROUND(L8*Source!I24, 6)*1, 2)</f>
        <v>7026.66</v>
      </c>
      <c r="N8">
        <f>SmtRes!AD1</f>
        <v>284.25</v>
      </c>
      <c r="O8">
        <f>ROUND(ROUND(L8*Source!I24, 6)*SmtRes!DA1, 2)</f>
        <v>7026.66</v>
      </c>
      <c r="P8">
        <f>SmtRes!AG1</f>
        <v>0</v>
      </c>
      <c r="Q8">
        <f>SmtRes!DC1</f>
        <v>0</v>
      </c>
      <c r="R8">
        <f>ROUND(ROUND(Q8*Source!I24, 6)*1, 2)</f>
        <v>0</v>
      </c>
      <c r="S8">
        <f>SmtRes!AC1</f>
        <v>0</v>
      </c>
      <c r="T8">
        <f>ROUND(ROUND(Q8*Source!I24, 6)*SmtRes!AK1, 2)</f>
        <v>0</v>
      </c>
      <c r="U8">
        <f>SmtRes!X1</f>
        <v>-857382621</v>
      </c>
      <c r="V8">
        <v>-502017451</v>
      </c>
      <c r="W8">
        <v>-502017451</v>
      </c>
      <c r="X8">
        <v>1</v>
      </c>
    </row>
    <row r="9" spans="1:24" x14ac:dyDescent="0.2">
      <c r="A9">
        <v>20</v>
      </c>
      <c r="B9">
        <v>5</v>
      </c>
      <c r="C9">
        <v>3</v>
      </c>
      <c r="D9">
        <v>0</v>
      </c>
      <c r="E9">
        <f>SmtRes!AV5</f>
        <v>0</v>
      </c>
      <c r="F9" t="str">
        <f>SmtRes!I5</f>
        <v>999-9950</v>
      </c>
      <c r="G9" t="str">
        <f>SmtRes!K5</f>
        <v>Вспомогательные ненормируемые материалы (2% от ОЗП)</v>
      </c>
      <c r="H9" t="str">
        <f>SmtRes!O5</f>
        <v>РУБ</v>
      </c>
      <c r="I9">
        <f>SmtRes!Y5*Source!I26</f>
        <v>0.2</v>
      </c>
      <c r="J9">
        <f>SmtRes!AO5</f>
        <v>1</v>
      </c>
      <c r="K9">
        <f>SmtRes!AE5</f>
        <v>1</v>
      </c>
      <c r="L9">
        <f>SmtRes!DB5</f>
        <v>0.2</v>
      </c>
      <c r="M9">
        <f>ROUND(ROUND(L9*Source!I26, 6)*1, 2)</f>
        <v>0.2</v>
      </c>
      <c r="N9">
        <f>SmtRes!AA5</f>
        <v>1</v>
      </c>
      <c r="O9">
        <f>ROUND(ROUND(L9*Source!I26, 6)*SmtRes!DA5, 2)</f>
        <v>0.2</v>
      </c>
      <c r="P9">
        <f>SmtRes!AG5</f>
        <v>0</v>
      </c>
      <c r="Q9">
        <f>SmtRes!DC5</f>
        <v>0</v>
      </c>
      <c r="R9">
        <f>ROUND(ROUND(Q9*Source!I26, 6)*1, 2)</f>
        <v>0</v>
      </c>
      <c r="S9">
        <f>SmtRes!AC5</f>
        <v>0</v>
      </c>
      <c r="T9">
        <f>ROUND(ROUND(Q9*Source!I26, 6)*SmtRes!AK5, 2)</f>
        <v>0</v>
      </c>
      <c r="U9">
        <f>SmtRes!X5</f>
        <v>-915781824</v>
      </c>
      <c r="V9">
        <v>655047484</v>
      </c>
      <c r="W9">
        <v>655047484</v>
      </c>
      <c r="X9">
        <v>3</v>
      </c>
    </row>
    <row r="10" spans="1:24" x14ac:dyDescent="0.2">
      <c r="A10">
        <v>20</v>
      </c>
      <c r="B10">
        <v>4</v>
      </c>
      <c r="C10">
        <v>3</v>
      </c>
      <c r="D10">
        <v>0</v>
      </c>
      <c r="E10">
        <f>SmtRes!AV4</f>
        <v>0</v>
      </c>
      <c r="F10" t="str">
        <f>SmtRes!I4</f>
        <v>509-2160</v>
      </c>
      <c r="G10" t="str">
        <f>SmtRes!K4</f>
        <v>Прокладки паронитовые</v>
      </c>
      <c r="H10" t="str">
        <f>SmtRes!O4</f>
        <v>кг</v>
      </c>
      <c r="I10">
        <f>SmtRes!Y4*Source!I26</f>
        <v>4.2000000000000003E-2</v>
      </c>
      <c r="J10">
        <f>SmtRes!AO4</f>
        <v>1</v>
      </c>
      <c r="K10">
        <f>SmtRes!AE4</f>
        <v>26.52</v>
      </c>
      <c r="L10">
        <f>SmtRes!DB4</f>
        <v>1.1100000000000001</v>
      </c>
      <c r="M10">
        <f>ROUND(ROUND(L10*Source!I26, 6)*1, 2)</f>
        <v>1.1100000000000001</v>
      </c>
      <c r="N10">
        <f>SmtRes!AA4</f>
        <v>116.95</v>
      </c>
      <c r="O10">
        <f>ROUND(ROUND(L10*Source!I26, 6)*SmtRes!DA4, 2)</f>
        <v>4.9000000000000004</v>
      </c>
      <c r="P10">
        <f>SmtRes!AG4</f>
        <v>0</v>
      </c>
      <c r="Q10">
        <f>SmtRes!DC4</f>
        <v>0</v>
      </c>
      <c r="R10">
        <f>ROUND(ROUND(Q10*Source!I26, 6)*1, 2)</f>
        <v>0</v>
      </c>
      <c r="S10">
        <f>SmtRes!AC4</f>
        <v>0</v>
      </c>
      <c r="T10">
        <f>ROUND(ROUND(Q10*Source!I26, 6)*SmtRes!AK4, 2)</f>
        <v>0</v>
      </c>
      <c r="U10">
        <f>SmtRes!X4</f>
        <v>-1811314193</v>
      </c>
      <c r="V10">
        <v>-1191323869</v>
      </c>
      <c r="W10">
        <v>-578945158</v>
      </c>
      <c r="X10">
        <v>3</v>
      </c>
    </row>
    <row r="11" spans="1:24" x14ac:dyDescent="0.2">
      <c r="A11">
        <v>20</v>
      </c>
      <c r="B11">
        <v>3</v>
      </c>
      <c r="C11">
        <v>1</v>
      </c>
      <c r="D11">
        <v>0</v>
      </c>
      <c r="E11">
        <f>SmtRes!AV3</f>
        <v>1</v>
      </c>
      <c r="F11" t="str">
        <f>SmtRes!I3</f>
        <v>1-2042-90</v>
      </c>
      <c r="G11" t="str">
        <f>SmtRes!K3</f>
        <v>Рабочий монтажник среднего разряда 4,2</v>
      </c>
      <c r="H11" t="str">
        <f>SmtRes!O3</f>
        <v>чел.-ч</v>
      </c>
      <c r="I11">
        <f>SmtRes!Y3*Source!I26</f>
        <v>1.03</v>
      </c>
      <c r="J11">
        <f>SmtRes!AO3</f>
        <v>1</v>
      </c>
      <c r="K11">
        <f>SmtRes!AH3</f>
        <v>330.57</v>
      </c>
      <c r="L11">
        <f>SmtRes!DB3</f>
        <v>340.49</v>
      </c>
      <c r="M11">
        <f>ROUND(ROUND(L11*Source!I26, 6)*1, 2)</f>
        <v>340.49</v>
      </c>
      <c r="N11">
        <f>SmtRes!AD3</f>
        <v>330.57</v>
      </c>
      <c r="O11">
        <f>ROUND(ROUND(L11*Source!I26, 6)*SmtRes!DA3, 2)</f>
        <v>340.49</v>
      </c>
      <c r="P11">
        <f>SmtRes!AG3</f>
        <v>0</v>
      </c>
      <c r="Q11">
        <f>SmtRes!DC3</f>
        <v>0</v>
      </c>
      <c r="R11">
        <f>ROUND(ROUND(Q11*Source!I26, 6)*1, 2)</f>
        <v>0</v>
      </c>
      <c r="S11">
        <f>SmtRes!AC3</f>
        <v>0</v>
      </c>
      <c r="T11">
        <f>ROUND(ROUND(Q11*Source!I26, 6)*SmtRes!AK3, 2)</f>
        <v>0</v>
      </c>
      <c r="U11">
        <f>SmtRes!X3</f>
        <v>931378261</v>
      </c>
      <c r="V11">
        <v>-638174277</v>
      </c>
      <c r="W11">
        <v>-638174277</v>
      </c>
      <c r="X11">
        <v>1</v>
      </c>
    </row>
    <row r="12" spans="1:24" x14ac:dyDescent="0.2">
      <c r="A12">
        <v>20</v>
      </c>
      <c r="B12">
        <v>16</v>
      </c>
      <c r="C12">
        <v>3</v>
      </c>
      <c r="D12">
        <v>0</v>
      </c>
      <c r="E12">
        <f>SmtRes!AV16</f>
        <v>0</v>
      </c>
      <c r="F12" t="str">
        <f>SmtRes!I16</f>
        <v>999-9950</v>
      </c>
      <c r="G12" t="str">
        <f>SmtRes!K16</f>
        <v>Вспомогательные ненормируемые материалы (2% от ОЗП)</v>
      </c>
      <c r="H12" t="str">
        <f>SmtRes!O16</f>
        <v>РУБ</v>
      </c>
      <c r="I12">
        <f>SmtRes!Y16*Source!I29</f>
        <v>0.47</v>
      </c>
      <c r="J12">
        <f>SmtRes!AO16</f>
        <v>1</v>
      </c>
      <c r="K12">
        <f>SmtRes!AE16</f>
        <v>1</v>
      </c>
      <c r="L12">
        <f>SmtRes!DB16</f>
        <v>0.47</v>
      </c>
      <c r="M12">
        <f>ROUND(ROUND(L12*Source!I29, 6)*1, 2)</f>
        <v>0.47</v>
      </c>
      <c r="N12">
        <f>SmtRes!AA16</f>
        <v>1</v>
      </c>
      <c r="O12">
        <f>ROUND(ROUND(L12*Source!I29, 6)*SmtRes!DA16, 2)</f>
        <v>0.47</v>
      </c>
      <c r="P12">
        <f>SmtRes!AG16</f>
        <v>0</v>
      </c>
      <c r="Q12">
        <f>SmtRes!DC16</f>
        <v>0</v>
      </c>
      <c r="R12">
        <f>ROUND(ROUND(Q12*Source!I29, 6)*1, 2)</f>
        <v>0</v>
      </c>
      <c r="S12">
        <f>SmtRes!AC16</f>
        <v>0</v>
      </c>
      <c r="T12">
        <f>ROUND(ROUND(Q12*Source!I29, 6)*SmtRes!AK16, 2)</f>
        <v>0</v>
      </c>
      <c r="U12">
        <f>SmtRes!X16</f>
        <v>-915781824</v>
      </c>
      <c r="V12">
        <v>655047484</v>
      </c>
      <c r="W12">
        <v>655047484</v>
      </c>
      <c r="X12">
        <v>3</v>
      </c>
    </row>
    <row r="13" spans="1:24" x14ac:dyDescent="0.2">
      <c r="A13">
        <v>20</v>
      </c>
      <c r="B13">
        <v>15</v>
      </c>
      <c r="C13">
        <v>3</v>
      </c>
      <c r="D13">
        <v>0</v>
      </c>
      <c r="E13">
        <f>SmtRes!AV15</f>
        <v>0</v>
      </c>
      <c r="F13" t="str">
        <f>SmtRes!I15</f>
        <v>101-2143</v>
      </c>
      <c r="G13" t="str">
        <f>SmtRes!K15</f>
        <v>Краска</v>
      </c>
      <c r="H13" t="str">
        <f>SmtRes!O15</f>
        <v>кг</v>
      </c>
      <c r="I13">
        <f>SmtRes!Y15*Source!I29</f>
        <v>0.02</v>
      </c>
      <c r="J13">
        <f>SmtRes!AO15</f>
        <v>1</v>
      </c>
      <c r="K13">
        <f>SmtRes!AE15</f>
        <v>28.67</v>
      </c>
      <c r="L13">
        <f>SmtRes!DB15</f>
        <v>0.56999999999999995</v>
      </c>
      <c r="M13">
        <f>ROUND(ROUND(L13*Source!I29, 6)*1, 2)</f>
        <v>0.56999999999999995</v>
      </c>
      <c r="N13">
        <f>SmtRes!AA15</f>
        <v>63.36</v>
      </c>
      <c r="O13">
        <f>ROUND(ROUND(L13*Source!I29, 6)*SmtRes!DA15, 2)</f>
        <v>1.26</v>
      </c>
      <c r="P13">
        <f>SmtRes!AG15</f>
        <v>0</v>
      </c>
      <c r="Q13">
        <f>SmtRes!DC15</f>
        <v>0</v>
      </c>
      <c r="R13">
        <f>ROUND(ROUND(Q13*Source!I29, 6)*1, 2)</f>
        <v>0</v>
      </c>
      <c r="S13">
        <f>SmtRes!AC15</f>
        <v>0</v>
      </c>
      <c r="T13">
        <f>ROUND(ROUND(Q13*Source!I29, 6)*SmtRes!AK15, 2)</f>
        <v>0</v>
      </c>
      <c r="U13">
        <f>SmtRes!X15</f>
        <v>-1768004575</v>
      </c>
      <c r="V13">
        <v>1217422333</v>
      </c>
      <c r="W13">
        <v>1617004271</v>
      </c>
      <c r="X13">
        <v>3</v>
      </c>
    </row>
    <row r="14" spans="1:24" x14ac:dyDescent="0.2">
      <c r="A14">
        <v>20</v>
      </c>
      <c r="B14">
        <v>14</v>
      </c>
      <c r="C14">
        <v>3</v>
      </c>
      <c r="D14">
        <v>0</v>
      </c>
      <c r="E14">
        <f>SmtRes!AV14</f>
        <v>0</v>
      </c>
      <c r="F14" t="str">
        <f>SmtRes!I14</f>
        <v>101-1977</v>
      </c>
      <c r="G14" t="str">
        <f>SmtRes!K14</f>
        <v>Болты с гайками и шайбами строительные</v>
      </c>
      <c r="H14" t="str">
        <f>SmtRes!O14</f>
        <v>кг</v>
      </c>
      <c r="I14">
        <f>SmtRes!Y14*Source!I29</f>
        <v>0.1</v>
      </c>
      <c r="J14">
        <f>SmtRes!AO14</f>
        <v>1</v>
      </c>
      <c r="K14">
        <f>SmtRes!AE14</f>
        <v>9.0399999999999991</v>
      </c>
      <c r="L14">
        <f>SmtRes!DB14</f>
        <v>0.9</v>
      </c>
      <c r="M14">
        <f>ROUND(ROUND(L14*Source!I29, 6)*1, 2)</f>
        <v>0.9</v>
      </c>
      <c r="N14">
        <f>SmtRes!AA14</f>
        <v>83.08</v>
      </c>
      <c r="O14">
        <f>ROUND(ROUND(L14*Source!I29, 6)*SmtRes!DA14, 2)</f>
        <v>8.27</v>
      </c>
      <c r="P14">
        <f>SmtRes!AG14</f>
        <v>0</v>
      </c>
      <c r="Q14">
        <f>SmtRes!DC14</f>
        <v>0</v>
      </c>
      <c r="R14">
        <f>ROUND(ROUND(Q14*Source!I29, 6)*1, 2)</f>
        <v>0</v>
      </c>
      <c r="S14">
        <f>SmtRes!AC14</f>
        <v>0</v>
      </c>
      <c r="T14">
        <f>ROUND(ROUND(Q14*Source!I29, 6)*SmtRes!AK14, 2)</f>
        <v>0</v>
      </c>
      <c r="U14">
        <f>SmtRes!X14</f>
        <v>30920770</v>
      </c>
      <c r="V14">
        <v>-2016438031</v>
      </c>
      <c r="W14">
        <v>1953999720</v>
      </c>
      <c r="X14">
        <v>3</v>
      </c>
    </row>
    <row r="15" spans="1:24" x14ac:dyDescent="0.2">
      <c r="A15">
        <v>20</v>
      </c>
      <c r="B15">
        <v>13</v>
      </c>
      <c r="C15">
        <v>3</v>
      </c>
      <c r="D15">
        <v>0</v>
      </c>
      <c r="E15">
        <f>SmtRes!AV13</f>
        <v>0</v>
      </c>
      <c r="F15" t="str">
        <f>SmtRes!I13</f>
        <v>101-1924</v>
      </c>
      <c r="G15" t="str">
        <f>SmtRes!K13</f>
        <v>Электроды диаметром 4 мм Э42А</v>
      </c>
      <c r="H15" t="str">
        <f>SmtRes!O13</f>
        <v>кг</v>
      </c>
      <c r="I15">
        <f>SmtRes!Y13*Source!I29</f>
        <v>0.1</v>
      </c>
      <c r="J15">
        <f>SmtRes!AO13</f>
        <v>1</v>
      </c>
      <c r="K15">
        <f>SmtRes!AE13</f>
        <v>14.31</v>
      </c>
      <c r="L15">
        <f>SmtRes!DB13</f>
        <v>1.43</v>
      </c>
      <c r="M15">
        <f>ROUND(ROUND(L15*Source!I29, 6)*1, 2)</f>
        <v>1.43</v>
      </c>
      <c r="N15">
        <f>SmtRes!AA13</f>
        <v>93.59</v>
      </c>
      <c r="O15">
        <f>ROUND(ROUND(L15*Source!I29, 6)*SmtRes!DA13, 2)</f>
        <v>9.35</v>
      </c>
      <c r="P15">
        <f>SmtRes!AG13</f>
        <v>0</v>
      </c>
      <c r="Q15">
        <f>SmtRes!DC13</f>
        <v>0</v>
      </c>
      <c r="R15">
        <f>ROUND(ROUND(Q15*Source!I29, 6)*1, 2)</f>
        <v>0</v>
      </c>
      <c r="S15">
        <f>SmtRes!AC13</f>
        <v>0</v>
      </c>
      <c r="T15">
        <f>ROUND(ROUND(Q15*Source!I29, 6)*SmtRes!AK13, 2)</f>
        <v>0</v>
      </c>
      <c r="U15">
        <f>SmtRes!X13</f>
        <v>-1805966371</v>
      </c>
      <c r="V15">
        <v>-1022420247</v>
      </c>
      <c r="W15">
        <v>908674597</v>
      </c>
      <c r="X15">
        <v>3</v>
      </c>
    </row>
    <row r="16" spans="1:24" x14ac:dyDescent="0.2">
      <c r="A16">
        <v>20</v>
      </c>
      <c r="B16">
        <v>12</v>
      </c>
      <c r="C16">
        <v>2</v>
      </c>
      <c r="D16">
        <v>0</v>
      </c>
      <c r="E16">
        <f>SmtRes!AV12</f>
        <v>0</v>
      </c>
      <c r="F16" t="str">
        <f>SmtRes!I12</f>
        <v>400001</v>
      </c>
      <c r="G16" t="str">
        <f>SmtRes!K12</f>
        <v>Автомобили бортовые, грузоподъемность до 5 т</v>
      </c>
      <c r="H16" t="str">
        <f>SmtRes!O12</f>
        <v>маш.-ч</v>
      </c>
      <c r="I16">
        <f>SmtRes!Y12*Source!I29</f>
        <v>7.0000000000000007E-2</v>
      </c>
      <c r="J16">
        <f>SmtRes!AO12</f>
        <v>1</v>
      </c>
      <c r="K16">
        <f>SmtRes!AF12</f>
        <v>87.17</v>
      </c>
      <c r="L16">
        <f>SmtRes!DB12</f>
        <v>6.1</v>
      </c>
      <c r="M16">
        <f>ROUND(ROUND(L16*Source!I29, 6)*1, 2)</f>
        <v>6.1</v>
      </c>
      <c r="N16">
        <f>SmtRes!AB12</f>
        <v>932.72</v>
      </c>
      <c r="O16">
        <f>ROUND(ROUND(L16*Source!I29, 6)*SmtRes!DA12, 2)</f>
        <v>65.27</v>
      </c>
      <c r="P16">
        <f>SmtRes!AG12</f>
        <v>11.6</v>
      </c>
      <c r="Q16">
        <f>SmtRes!DC12</f>
        <v>0.81</v>
      </c>
      <c r="R16">
        <f>ROUND(ROUND(Q16*Source!I29, 6)*1, 2)</f>
        <v>0.81</v>
      </c>
      <c r="S16">
        <f>SmtRes!AC12</f>
        <v>386.51</v>
      </c>
      <c r="T16">
        <f>ROUND(ROUND(Q16*Source!I29, 6)*SmtRes!AK12, 2)</f>
        <v>26.99</v>
      </c>
      <c r="U16">
        <f>SmtRes!X12</f>
        <v>1230759911</v>
      </c>
      <c r="V16">
        <v>954228560</v>
      </c>
      <c r="W16">
        <v>-345871796</v>
      </c>
      <c r="X16">
        <v>2</v>
      </c>
    </row>
    <row r="17" spans="1:24" x14ac:dyDescent="0.2">
      <c r="A17">
        <v>20</v>
      </c>
      <c r="B17">
        <v>11</v>
      </c>
      <c r="C17">
        <v>2</v>
      </c>
      <c r="D17">
        <v>0</v>
      </c>
      <c r="E17">
        <f>SmtRes!AV11</f>
        <v>0</v>
      </c>
      <c r="F17" t="str">
        <f>SmtRes!I11</f>
        <v>100602</v>
      </c>
      <c r="G17" t="str">
        <f>SmtRes!K11</f>
        <v>Молотки бурильные легкие при работе от передвижных компрессорных станций</v>
      </c>
      <c r="H17" t="str">
        <f>SmtRes!O11</f>
        <v>маш.-ч</v>
      </c>
      <c r="I17">
        <f>SmtRes!Y11*Source!I29</f>
        <v>0.22</v>
      </c>
      <c r="J17">
        <f>SmtRes!AO11</f>
        <v>1</v>
      </c>
      <c r="K17">
        <f>SmtRes!AF11</f>
        <v>2.99</v>
      </c>
      <c r="L17">
        <f>SmtRes!DB11</f>
        <v>0.66</v>
      </c>
      <c r="M17">
        <f>ROUND(ROUND(L17*Source!I29, 6)*1, 2)</f>
        <v>0.66</v>
      </c>
      <c r="N17">
        <f>SmtRes!AB11</f>
        <v>13.99</v>
      </c>
      <c r="O17">
        <f>ROUND(ROUND(L17*Source!I29, 6)*SmtRes!DA11, 2)</f>
        <v>3.09</v>
      </c>
      <c r="P17">
        <f>SmtRes!AG11</f>
        <v>0</v>
      </c>
      <c r="Q17">
        <f>SmtRes!DC11</f>
        <v>0</v>
      </c>
      <c r="R17">
        <f>ROUND(ROUND(Q17*Source!I29, 6)*1, 2)</f>
        <v>0</v>
      </c>
      <c r="S17">
        <f>SmtRes!AC11</f>
        <v>0</v>
      </c>
      <c r="T17">
        <f>ROUND(ROUND(Q17*Source!I29, 6)*SmtRes!AK11, 2)</f>
        <v>0</v>
      </c>
      <c r="U17">
        <f>SmtRes!X11</f>
        <v>786036725</v>
      </c>
      <c r="V17">
        <v>414842604</v>
      </c>
      <c r="W17">
        <v>1905536170</v>
      </c>
      <c r="X17">
        <v>2</v>
      </c>
    </row>
    <row r="18" spans="1:24" x14ac:dyDescent="0.2">
      <c r="A18">
        <v>20</v>
      </c>
      <c r="B18">
        <v>10</v>
      </c>
      <c r="C18">
        <v>2</v>
      </c>
      <c r="D18">
        <v>0</v>
      </c>
      <c r="E18">
        <f>SmtRes!AV10</f>
        <v>0</v>
      </c>
      <c r="F18" t="str">
        <f>SmtRes!I10</f>
        <v>050101</v>
      </c>
      <c r="G18" t="str">
        <f>SmtRes!K10</f>
        <v>Компрессоры передвижные с двигателем внутреннего сгорания давлением до 686 кПа (7 ат), производительность  до 5 м3/мин</v>
      </c>
      <c r="H18" t="str">
        <f>SmtRes!O10</f>
        <v>маш.-ч</v>
      </c>
      <c r="I18">
        <f>SmtRes!Y10*Source!I29</f>
        <v>0.22</v>
      </c>
      <c r="J18">
        <f>SmtRes!AO10</f>
        <v>1</v>
      </c>
      <c r="K18">
        <f>SmtRes!AF10</f>
        <v>46.56</v>
      </c>
      <c r="L18">
        <f>SmtRes!DB10</f>
        <v>10.24</v>
      </c>
      <c r="M18">
        <f>ROUND(ROUND(L18*Source!I29, 6)*1, 2)</f>
        <v>10.24</v>
      </c>
      <c r="N18">
        <f>SmtRes!AB10</f>
        <v>539.16</v>
      </c>
      <c r="O18">
        <f>ROUND(ROUND(L18*Source!I29, 6)*SmtRes!DA10, 2)</f>
        <v>118.58</v>
      </c>
      <c r="P18">
        <f>SmtRes!AG10</f>
        <v>10.06</v>
      </c>
      <c r="Q18">
        <f>SmtRes!DC10</f>
        <v>2.21</v>
      </c>
      <c r="R18">
        <f>ROUND(ROUND(Q18*Source!I29, 6)*1, 2)</f>
        <v>2.21</v>
      </c>
      <c r="S18">
        <f>SmtRes!AC10</f>
        <v>335.2</v>
      </c>
      <c r="T18">
        <f>ROUND(ROUND(Q18*Source!I29, 6)*SmtRes!AK10, 2)</f>
        <v>73.64</v>
      </c>
      <c r="U18">
        <f>SmtRes!X10</f>
        <v>315863809</v>
      </c>
      <c r="V18">
        <v>-1310428678</v>
      </c>
      <c r="W18">
        <v>2024566823</v>
      </c>
      <c r="X18">
        <v>2</v>
      </c>
    </row>
    <row r="19" spans="1:24" x14ac:dyDescent="0.2">
      <c r="A19">
        <v>20</v>
      </c>
      <c r="B19">
        <v>9</v>
      </c>
      <c r="C19">
        <v>2</v>
      </c>
      <c r="D19">
        <v>0</v>
      </c>
      <c r="E19">
        <f>SmtRes!AV9</f>
        <v>0</v>
      </c>
      <c r="F19" t="str">
        <f>SmtRes!I9</f>
        <v>040502</v>
      </c>
      <c r="G19" t="str">
        <f>SmtRes!K9</f>
        <v>Установки для сварки ручной дуговой (постоянного тока)</v>
      </c>
      <c r="H19" t="str">
        <f>SmtRes!O9</f>
        <v>маш.-ч</v>
      </c>
      <c r="I19">
        <f>SmtRes!Y9*Source!I29</f>
        <v>0.71</v>
      </c>
      <c r="J19">
        <f>SmtRes!AO9</f>
        <v>1</v>
      </c>
      <c r="K19">
        <f>SmtRes!AF9</f>
        <v>8.1</v>
      </c>
      <c r="L19">
        <f>SmtRes!DB9</f>
        <v>5.75</v>
      </c>
      <c r="M19">
        <f>ROUND(ROUND(L19*Source!I29, 6)*1, 2)</f>
        <v>5.75</v>
      </c>
      <c r="N19">
        <f>SmtRes!AB9</f>
        <v>60.26</v>
      </c>
      <c r="O19">
        <f>ROUND(ROUND(L19*Source!I29, 6)*SmtRes!DA9, 2)</f>
        <v>42.78</v>
      </c>
      <c r="P19">
        <f>SmtRes!AG9</f>
        <v>0</v>
      </c>
      <c r="Q19">
        <f>SmtRes!DC9</f>
        <v>0</v>
      </c>
      <c r="R19">
        <f>ROUND(ROUND(Q19*Source!I29, 6)*1, 2)</f>
        <v>0</v>
      </c>
      <c r="S19">
        <f>SmtRes!AC9</f>
        <v>0</v>
      </c>
      <c r="T19">
        <f>ROUND(ROUND(Q19*Source!I29, 6)*SmtRes!AK9, 2)</f>
        <v>0</v>
      </c>
      <c r="U19">
        <f>SmtRes!X9</f>
        <v>1474986261</v>
      </c>
      <c r="V19">
        <v>926134271</v>
      </c>
      <c r="W19">
        <v>123715914</v>
      </c>
      <c r="X19">
        <v>2</v>
      </c>
    </row>
    <row r="20" spans="1:24" x14ac:dyDescent="0.2">
      <c r="A20">
        <v>20</v>
      </c>
      <c r="B20">
        <v>8</v>
      </c>
      <c r="C20">
        <v>2</v>
      </c>
      <c r="D20">
        <v>0</v>
      </c>
      <c r="E20">
        <f>SmtRes!AV8</f>
        <v>0</v>
      </c>
      <c r="F20" t="str">
        <f>SmtRes!I8</f>
        <v>021102</v>
      </c>
      <c r="G20" t="str">
        <f>SmtRes!K8</f>
        <v>Краны на автомобильном ходу при работе на монтаже технологического оборудования 10 т</v>
      </c>
      <c r="H20" t="str">
        <f>SmtRes!O8</f>
        <v>маш.-ч</v>
      </c>
      <c r="I20">
        <f>SmtRes!Y8*Source!I29</f>
        <v>7.0000000000000007E-2</v>
      </c>
      <c r="J20">
        <f>SmtRes!AO8</f>
        <v>1</v>
      </c>
      <c r="K20">
        <f>SmtRes!AF8</f>
        <v>134.65</v>
      </c>
      <c r="L20">
        <f>SmtRes!DB8</f>
        <v>9.43</v>
      </c>
      <c r="M20">
        <f>ROUND(ROUND(L20*Source!I29, 6)*1, 2)</f>
        <v>9.43</v>
      </c>
      <c r="N20">
        <f>SmtRes!AB8</f>
        <v>1113.56</v>
      </c>
      <c r="O20">
        <f>ROUND(ROUND(L20*Source!I29, 6)*SmtRes!DA8, 2)</f>
        <v>77.989999999999995</v>
      </c>
      <c r="P20">
        <f>SmtRes!AG8</f>
        <v>13.5</v>
      </c>
      <c r="Q20">
        <f>SmtRes!DC8</f>
        <v>0.95</v>
      </c>
      <c r="R20">
        <f>ROUND(ROUND(Q20*Source!I29, 6)*1, 2)</f>
        <v>0.95</v>
      </c>
      <c r="S20">
        <f>SmtRes!AC8</f>
        <v>449.82</v>
      </c>
      <c r="T20">
        <f>ROUND(ROUND(Q20*Source!I29, 6)*SmtRes!AK8, 2)</f>
        <v>31.65</v>
      </c>
      <c r="U20">
        <f>SmtRes!X8</f>
        <v>783836208</v>
      </c>
      <c r="V20">
        <v>1614640909</v>
      </c>
      <c r="W20">
        <v>-7703350</v>
      </c>
      <c r="X20">
        <v>2</v>
      </c>
    </row>
    <row r="21" spans="1:24" x14ac:dyDescent="0.2">
      <c r="A21">
        <v>20</v>
      </c>
      <c r="B21">
        <v>6</v>
      </c>
      <c r="C21">
        <v>1</v>
      </c>
      <c r="D21">
        <v>0</v>
      </c>
      <c r="E21">
        <f>SmtRes!AV6</f>
        <v>1</v>
      </c>
      <c r="F21" t="str">
        <f>SmtRes!I6</f>
        <v>1-2042-90</v>
      </c>
      <c r="G21" t="str">
        <f>SmtRes!K6</f>
        <v>Рабочий монтажник среднего разряда 4,2</v>
      </c>
      <c r="H21" t="str">
        <f>SmtRes!O6</f>
        <v>чел.-ч</v>
      </c>
      <c r="I21">
        <f>SmtRes!Y6*Source!I29</f>
        <v>2.37</v>
      </c>
      <c r="J21">
        <f>SmtRes!AO6</f>
        <v>1</v>
      </c>
      <c r="K21">
        <f>SmtRes!AH6</f>
        <v>330.57</v>
      </c>
      <c r="L21">
        <f>SmtRes!DB6</f>
        <v>783.45</v>
      </c>
      <c r="M21">
        <f>ROUND(ROUND(L21*Source!I29, 6)*1, 2)</f>
        <v>783.45</v>
      </c>
      <c r="N21">
        <f>SmtRes!AD6</f>
        <v>330.57</v>
      </c>
      <c r="O21">
        <f>ROUND(ROUND(L21*Source!I29, 6)*SmtRes!DA6, 2)</f>
        <v>783.45</v>
      </c>
      <c r="P21">
        <f>SmtRes!AG6</f>
        <v>0</v>
      </c>
      <c r="Q21">
        <f>SmtRes!DC6</f>
        <v>0</v>
      </c>
      <c r="R21">
        <f>ROUND(ROUND(Q21*Source!I29, 6)*1, 2)</f>
        <v>0</v>
      </c>
      <c r="S21">
        <f>SmtRes!AC6</f>
        <v>0</v>
      </c>
      <c r="T21">
        <f>ROUND(ROUND(Q21*Source!I29, 6)*SmtRes!AK6, 2)</f>
        <v>0</v>
      </c>
      <c r="U21">
        <f>SmtRes!X6</f>
        <v>931378261</v>
      </c>
      <c r="V21">
        <v>-638174277</v>
      </c>
      <c r="W21">
        <v>-638174277</v>
      </c>
      <c r="X21">
        <v>1</v>
      </c>
    </row>
    <row r="22" spans="1:24" x14ac:dyDescent="0.2">
      <c r="A22">
        <v>20</v>
      </c>
      <c r="B22">
        <v>26</v>
      </c>
      <c r="C22">
        <v>3</v>
      </c>
      <c r="D22">
        <v>0</v>
      </c>
      <c r="E22">
        <f>SmtRes!AV26</f>
        <v>0</v>
      </c>
      <c r="F22" t="str">
        <f>SmtRes!I26</f>
        <v>999-9950</v>
      </c>
      <c r="G22" t="str">
        <f>SmtRes!K26</f>
        <v>Вспомогательные ненормируемые материалы (2% от ОЗП)</v>
      </c>
      <c r="H22" t="str">
        <f>SmtRes!O26</f>
        <v>РУБ</v>
      </c>
      <c r="I22">
        <f>SmtRes!Y26*Source!I31</f>
        <v>0.44060000000000005</v>
      </c>
      <c r="J22">
        <f>SmtRes!AO26</f>
        <v>1</v>
      </c>
      <c r="K22">
        <f>SmtRes!AE26</f>
        <v>1</v>
      </c>
      <c r="L22">
        <f>SmtRes!DB26</f>
        <v>44.06</v>
      </c>
      <c r="M22">
        <f>ROUND(ROUND(L22*Source!I31, 6)*1, 2)</f>
        <v>0.44</v>
      </c>
      <c r="N22">
        <f>SmtRes!AA26</f>
        <v>1</v>
      </c>
      <c r="O22">
        <f>ROUND(ROUND(L22*Source!I31, 6)*SmtRes!DA26, 2)</f>
        <v>0.44</v>
      </c>
      <c r="P22">
        <f>SmtRes!AG26</f>
        <v>0</v>
      </c>
      <c r="Q22">
        <f>SmtRes!DC26</f>
        <v>0</v>
      </c>
      <c r="R22">
        <f>ROUND(ROUND(Q22*Source!I31, 6)*1, 2)</f>
        <v>0</v>
      </c>
      <c r="S22">
        <f>SmtRes!AC26</f>
        <v>0</v>
      </c>
      <c r="T22">
        <f>ROUND(ROUND(Q22*Source!I31, 6)*SmtRes!AK26, 2)</f>
        <v>0</v>
      </c>
      <c r="U22">
        <f>SmtRes!X26</f>
        <v>-915781824</v>
      </c>
      <c r="V22">
        <v>655047484</v>
      </c>
      <c r="W22">
        <v>655047484</v>
      </c>
      <c r="X22">
        <v>3</v>
      </c>
    </row>
    <row r="23" spans="1:24" x14ac:dyDescent="0.2">
      <c r="A23">
        <v>20</v>
      </c>
      <c r="B23">
        <v>25</v>
      </c>
      <c r="C23">
        <v>3</v>
      </c>
      <c r="D23">
        <v>0</v>
      </c>
      <c r="E23">
        <f>SmtRes!AV25</f>
        <v>0</v>
      </c>
      <c r="F23" t="str">
        <f>SmtRes!I25</f>
        <v>509-2160</v>
      </c>
      <c r="G23" t="str">
        <f>SmtRes!K25</f>
        <v>Прокладки паронитовые</v>
      </c>
      <c r="H23" t="str">
        <f>SmtRes!O25</f>
        <v>кг</v>
      </c>
      <c r="I23">
        <f>SmtRes!Y25*Source!I31</f>
        <v>8.8000000000000009E-2</v>
      </c>
      <c r="J23">
        <f>SmtRes!AO25</f>
        <v>1</v>
      </c>
      <c r="K23">
        <f>SmtRes!AE25</f>
        <v>26.52</v>
      </c>
      <c r="L23">
        <f>SmtRes!DB25</f>
        <v>233.38</v>
      </c>
      <c r="M23">
        <f>ROUND(ROUND(L23*Source!I31, 6)*1, 2)</f>
        <v>2.33</v>
      </c>
      <c r="N23">
        <f>SmtRes!AA25</f>
        <v>116.95</v>
      </c>
      <c r="O23">
        <f>ROUND(ROUND(L23*Source!I31, 6)*SmtRes!DA25, 2)</f>
        <v>10.29</v>
      </c>
      <c r="P23">
        <f>SmtRes!AG25</f>
        <v>0</v>
      </c>
      <c r="Q23">
        <f>SmtRes!DC25</f>
        <v>0</v>
      </c>
      <c r="R23">
        <f>ROUND(ROUND(Q23*Source!I31, 6)*1, 2)</f>
        <v>0</v>
      </c>
      <c r="S23">
        <f>SmtRes!AC25</f>
        <v>0</v>
      </c>
      <c r="T23">
        <f>ROUND(ROUND(Q23*Source!I31, 6)*SmtRes!AK25, 2)</f>
        <v>0</v>
      </c>
      <c r="U23">
        <f>SmtRes!X25</f>
        <v>-1811314193</v>
      </c>
      <c r="V23">
        <v>-1191323869</v>
      </c>
      <c r="W23">
        <v>-578945158</v>
      </c>
      <c r="X23">
        <v>3</v>
      </c>
    </row>
    <row r="24" spans="1:24" x14ac:dyDescent="0.2">
      <c r="A24">
        <v>20</v>
      </c>
      <c r="B24">
        <v>24</v>
      </c>
      <c r="C24">
        <v>3</v>
      </c>
      <c r="D24">
        <v>0</v>
      </c>
      <c r="E24">
        <f>SmtRes!AV24</f>
        <v>0</v>
      </c>
      <c r="F24" t="str">
        <f>SmtRes!I24</f>
        <v>506-1384</v>
      </c>
      <c r="G24" t="str">
        <f>SmtRes!K24</f>
        <v>Припои марки ПРМНМЦ 68-4-2</v>
      </c>
      <c r="H24" t="str">
        <f>SmtRes!O24</f>
        <v>кг</v>
      </c>
      <c r="I24">
        <f>SmtRes!Y24*Source!I31</f>
        <v>8.3999999999999995E-3</v>
      </c>
      <c r="J24">
        <f>SmtRes!AO24</f>
        <v>1</v>
      </c>
      <c r="K24">
        <f>SmtRes!AE24</f>
        <v>59.25</v>
      </c>
      <c r="L24">
        <f>SmtRes!DB24</f>
        <v>49.77</v>
      </c>
      <c r="M24">
        <f>ROUND(ROUND(L24*Source!I31, 6)*1, 2)</f>
        <v>0.5</v>
      </c>
      <c r="N24">
        <f>SmtRes!AA24</f>
        <v>2125.3000000000002</v>
      </c>
      <c r="O24">
        <f>ROUND(ROUND(L24*Source!I31, 6)*SmtRes!DA24, 2)</f>
        <v>17.850000000000001</v>
      </c>
      <c r="P24">
        <f>SmtRes!AG24</f>
        <v>0</v>
      </c>
      <c r="Q24">
        <f>SmtRes!DC24</f>
        <v>0</v>
      </c>
      <c r="R24">
        <f>ROUND(ROUND(Q24*Source!I31, 6)*1, 2)</f>
        <v>0</v>
      </c>
      <c r="S24">
        <f>SmtRes!AC24</f>
        <v>0</v>
      </c>
      <c r="T24">
        <f>ROUND(ROUND(Q24*Source!I31, 6)*SmtRes!AK24, 2)</f>
        <v>0</v>
      </c>
      <c r="U24">
        <f>SmtRes!X24</f>
        <v>-1008440403</v>
      </c>
      <c r="V24">
        <v>-1238232317</v>
      </c>
      <c r="W24">
        <v>-141489798</v>
      </c>
      <c r="X24">
        <v>3</v>
      </c>
    </row>
    <row r="25" spans="1:24" x14ac:dyDescent="0.2">
      <c r="A25">
        <v>20</v>
      </c>
      <c r="B25">
        <v>23</v>
      </c>
      <c r="C25">
        <v>3</v>
      </c>
      <c r="D25">
        <v>0</v>
      </c>
      <c r="E25">
        <f>SmtRes!AV23</f>
        <v>0</v>
      </c>
      <c r="F25" t="str">
        <f>SmtRes!I23</f>
        <v>101-1602</v>
      </c>
      <c r="G25" t="str">
        <f>SmtRes!K23</f>
        <v>Ацетилен газообразный технический</v>
      </c>
      <c r="H25" t="str">
        <f>SmtRes!O23</f>
        <v>м3</v>
      </c>
      <c r="I25">
        <f>SmtRes!Y23*Source!I31</f>
        <v>1.9E-2</v>
      </c>
      <c r="J25">
        <f>SmtRes!AO23</f>
        <v>1</v>
      </c>
      <c r="K25">
        <f>SmtRes!AE23</f>
        <v>38.49</v>
      </c>
      <c r="L25">
        <f>SmtRes!DB23</f>
        <v>73.13</v>
      </c>
      <c r="M25">
        <f>ROUND(ROUND(L25*Source!I31, 6)*1, 2)</f>
        <v>0.73</v>
      </c>
      <c r="N25">
        <f>SmtRes!AA23</f>
        <v>401.45</v>
      </c>
      <c r="O25">
        <f>ROUND(ROUND(L25*Source!I31, 6)*SmtRes!DA23, 2)</f>
        <v>7.63</v>
      </c>
      <c r="P25">
        <f>SmtRes!AG23</f>
        <v>0</v>
      </c>
      <c r="Q25">
        <f>SmtRes!DC23</f>
        <v>0</v>
      </c>
      <c r="R25">
        <f>ROUND(ROUND(Q25*Source!I31, 6)*1, 2)</f>
        <v>0</v>
      </c>
      <c r="S25">
        <f>SmtRes!AC23</f>
        <v>0</v>
      </c>
      <c r="T25">
        <f>ROUND(ROUND(Q25*Source!I31, 6)*SmtRes!AK23, 2)</f>
        <v>0</v>
      </c>
      <c r="U25">
        <f>SmtRes!X23</f>
        <v>-203673795</v>
      </c>
      <c r="V25">
        <v>-1187868333</v>
      </c>
      <c r="W25">
        <v>1593270735</v>
      </c>
      <c r="X25">
        <v>3</v>
      </c>
    </row>
    <row r="26" spans="1:24" x14ac:dyDescent="0.2">
      <c r="A26">
        <v>20</v>
      </c>
      <c r="B26">
        <v>22</v>
      </c>
      <c r="C26">
        <v>3</v>
      </c>
      <c r="D26">
        <v>0</v>
      </c>
      <c r="E26">
        <f>SmtRes!AV22</f>
        <v>0</v>
      </c>
      <c r="F26" t="str">
        <f>SmtRes!I22</f>
        <v>101-0324</v>
      </c>
      <c r="G26" t="str">
        <f>SmtRes!K22</f>
        <v>Кислород технический газообразный</v>
      </c>
      <c r="H26" t="str">
        <f>SmtRes!O22</f>
        <v>м3</v>
      </c>
      <c r="I26">
        <f>SmtRes!Y22*Source!I31</f>
        <v>2.2000000000000002E-2</v>
      </c>
      <c r="J26">
        <f>SmtRes!AO22</f>
        <v>1</v>
      </c>
      <c r="K26">
        <f>SmtRes!AE22</f>
        <v>6.23</v>
      </c>
      <c r="L26">
        <f>SmtRes!DB22</f>
        <v>13.71</v>
      </c>
      <c r="M26">
        <f>ROUND(ROUND(L26*Source!I31, 6)*1, 2)</f>
        <v>0.14000000000000001</v>
      </c>
      <c r="N26">
        <f>SmtRes!AA22</f>
        <v>75.069999999999993</v>
      </c>
      <c r="O26">
        <f>ROUND(ROUND(L26*Source!I31, 6)*SmtRes!DA22, 2)</f>
        <v>1.65</v>
      </c>
      <c r="P26">
        <f>SmtRes!AG22</f>
        <v>0</v>
      </c>
      <c r="Q26">
        <f>SmtRes!DC22</f>
        <v>0</v>
      </c>
      <c r="R26">
        <f>ROUND(ROUND(Q26*Source!I31, 6)*1, 2)</f>
        <v>0</v>
      </c>
      <c r="S26">
        <f>SmtRes!AC22</f>
        <v>0</v>
      </c>
      <c r="T26">
        <f>ROUND(ROUND(Q26*Source!I31, 6)*SmtRes!AK22, 2)</f>
        <v>0</v>
      </c>
      <c r="U26">
        <f>SmtRes!X22</f>
        <v>-756465305</v>
      </c>
      <c r="V26">
        <v>-540365543</v>
      </c>
      <c r="W26">
        <v>602916083</v>
      </c>
      <c r="X26">
        <v>3</v>
      </c>
    </row>
    <row r="27" spans="1:24" x14ac:dyDescent="0.2">
      <c r="A27">
        <v>20</v>
      </c>
      <c r="B27">
        <v>21</v>
      </c>
      <c r="C27">
        <v>3</v>
      </c>
      <c r="D27">
        <v>0</v>
      </c>
      <c r="E27">
        <f>SmtRes!AV21</f>
        <v>0</v>
      </c>
      <c r="F27" t="str">
        <f>SmtRes!I21</f>
        <v>101-0112</v>
      </c>
      <c r="G27" t="str">
        <f>SmtRes!K21</f>
        <v>Бура</v>
      </c>
      <c r="H27" t="str">
        <f>SmtRes!O21</f>
        <v>т</v>
      </c>
      <c r="I27">
        <f>SmtRes!Y21*Source!I31</f>
        <v>8.0000000000000007E-7</v>
      </c>
      <c r="J27">
        <f>SmtRes!AO21</f>
        <v>1</v>
      </c>
      <c r="K27">
        <f>SmtRes!AE21</f>
        <v>24599.99</v>
      </c>
      <c r="L27">
        <f>SmtRes!DB21</f>
        <v>1.97</v>
      </c>
      <c r="M27">
        <f>ROUND(ROUND(L27*Source!I31, 6)*1, 2)</f>
        <v>0.02</v>
      </c>
      <c r="N27">
        <f>SmtRes!AA21</f>
        <v>110945.95</v>
      </c>
      <c r="O27">
        <f>ROUND(ROUND(L27*Source!I31, 6)*SmtRes!DA21, 2)</f>
        <v>0.09</v>
      </c>
      <c r="P27">
        <f>SmtRes!AG21</f>
        <v>0</v>
      </c>
      <c r="Q27">
        <f>SmtRes!DC21</f>
        <v>0</v>
      </c>
      <c r="R27">
        <f>ROUND(ROUND(Q27*Source!I31, 6)*1, 2)</f>
        <v>0</v>
      </c>
      <c r="S27">
        <f>SmtRes!AC21</f>
        <v>0</v>
      </c>
      <c r="T27">
        <f>ROUND(ROUND(Q27*Source!I31, 6)*SmtRes!AK21, 2)</f>
        <v>0</v>
      </c>
      <c r="U27">
        <f>SmtRes!X21</f>
        <v>-13328980</v>
      </c>
      <c r="V27">
        <v>442479961</v>
      </c>
      <c r="W27">
        <v>2049260914</v>
      </c>
      <c r="X27">
        <v>3</v>
      </c>
    </row>
    <row r="28" spans="1:24" x14ac:dyDescent="0.2">
      <c r="A28">
        <v>20</v>
      </c>
      <c r="B28">
        <v>20</v>
      </c>
      <c r="C28">
        <v>2</v>
      </c>
      <c r="D28">
        <v>0</v>
      </c>
      <c r="E28">
        <f>SmtRes!AV20</f>
        <v>0</v>
      </c>
      <c r="F28" t="str">
        <f>SmtRes!I20</f>
        <v>400001</v>
      </c>
      <c r="G28" t="str">
        <f>SmtRes!K20</f>
        <v>Автомобили бортовые, грузоподъемность до 5 т</v>
      </c>
      <c r="H28" t="str">
        <f>SmtRes!O20</f>
        <v>маш.-ч</v>
      </c>
      <c r="I28">
        <f>SmtRes!Y20*Source!I31</f>
        <v>1.9599999999999999E-2</v>
      </c>
      <c r="J28">
        <f>SmtRes!AO20</f>
        <v>1</v>
      </c>
      <c r="K28">
        <f>SmtRes!AF20</f>
        <v>87.17</v>
      </c>
      <c r="L28">
        <f>SmtRes!DB20</f>
        <v>170.85</v>
      </c>
      <c r="M28">
        <f>ROUND(ROUND(L28*Source!I31, 6)*1, 2)</f>
        <v>1.71</v>
      </c>
      <c r="N28">
        <f>SmtRes!AB20</f>
        <v>932.72</v>
      </c>
      <c r="O28">
        <f>ROUND(ROUND(L28*Source!I31, 6)*SmtRes!DA20, 2)</f>
        <v>18.28</v>
      </c>
      <c r="P28">
        <f>SmtRes!AG20</f>
        <v>11.6</v>
      </c>
      <c r="Q28">
        <f>SmtRes!DC20</f>
        <v>22.74</v>
      </c>
      <c r="R28">
        <f>ROUND(ROUND(Q28*Source!I31, 6)*1, 2)</f>
        <v>0.23</v>
      </c>
      <c r="S28">
        <f>SmtRes!AC20</f>
        <v>386.51</v>
      </c>
      <c r="T28">
        <f>ROUND(ROUND(Q28*Source!I31, 6)*SmtRes!AK20, 2)</f>
        <v>7.58</v>
      </c>
      <c r="U28">
        <f>SmtRes!X20</f>
        <v>1230759911</v>
      </c>
      <c r="V28">
        <v>954228560</v>
      </c>
      <c r="W28">
        <v>-345871796</v>
      </c>
      <c r="X28">
        <v>2</v>
      </c>
    </row>
    <row r="29" spans="1:24" x14ac:dyDescent="0.2">
      <c r="A29">
        <v>20</v>
      </c>
      <c r="B29">
        <v>19</v>
      </c>
      <c r="C29">
        <v>2</v>
      </c>
      <c r="D29">
        <v>0</v>
      </c>
      <c r="E29">
        <f>SmtRes!AV19</f>
        <v>0</v>
      </c>
      <c r="F29" t="str">
        <f>SmtRes!I19</f>
        <v>021102</v>
      </c>
      <c r="G29" t="str">
        <f>SmtRes!K19</f>
        <v>Краны на автомобильном ходу при работе на монтаже технологического оборудования 10 т</v>
      </c>
      <c r="H29" t="str">
        <f>SmtRes!O19</f>
        <v>маш.-ч</v>
      </c>
      <c r="I29">
        <f>SmtRes!Y19*Source!I31</f>
        <v>1.9599999999999999E-2</v>
      </c>
      <c r="J29">
        <f>SmtRes!AO19</f>
        <v>1</v>
      </c>
      <c r="K29">
        <f>SmtRes!AF19</f>
        <v>134.65</v>
      </c>
      <c r="L29">
        <f>SmtRes!DB19</f>
        <v>263.91000000000003</v>
      </c>
      <c r="M29">
        <f>ROUND(ROUND(L29*Source!I31, 6)*1, 2)</f>
        <v>2.64</v>
      </c>
      <c r="N29">
        <f>SmtRes!AB19</f>
        <v>1113.56</v>
      </c>
      <c r="O29">
        <f>ROUND(ROUND(L29*Source!I31, 6)*SmtRes!DA19, 2)</f>
        <v>21.83</v>
      </c>
      <c r="P29">
        <f>SmtRes!AG19</f>
        <v>13.5</v>
      </c>
      <c r="Q29">
        <f>SmtRes!DC19</f>
        <v>26.46</v>
      </c>
      <c r="R29">
        <f>ROUND(ROUND(Q29*Source!I31, 6)*1, 2)</f>
        <v>0.26</v>
      </c>
      <c r="S29">
        <f>SmtRes!AC19</f>
        <v>449.82</v>
      </c>
      <c r="T29">
        <f>ROUND(ROUND(Q29*Source!I31, 6)*SmtRes!AK19, 2)</f>
        <v>8.82</v>
      </c>
      <c r="U29">
        <f>SmtRes!X19</f>
        <v>783836208</v>
      </c>
      <c r="V29">
        <v>1614640909</v>
      </c>
      <c r="W29">
        <v>-7703350</v>
      </c>
      <c r="X29">
        <v>2</v>
      </c>
    </row>
    <row r="30" spans="1:24" x14ac:dyDescent="0.2">
      <c r="A30">
        <v>20</v>
      </c>
      <c r="B30">
        <v>17</v>
      </c>
      <c r="C30">
        <v>1</v>
      </c>
      <c r="D30">
        <v>0</v>
      </c>
      <c r="E30">
        <f>SmtRes!AV17</f>
        <v>1</v>
      </c>
      <c r="F30" t="str">
        <f>SmtRes!I17</f>
        <v>1-2040-90</v>
      </c>
      <c r="G30" t="str">
        <f>SmtRes!K17</f>
        <v>Рабочий монтажник среднего разряда 4</v>
      </c>
      <c r="H30" t="str">
        <f>SmtRes!O17</f>
        <v>чел.-ч</v>
      </c>
      <c r="I30">
        <f>SmtRes!Y17*Source!I31</f>
        <v>2.29</v>
      </c>
      <c r="J30">
        <f>SmtRes!AO17</f>
        <v>1</v>
      </c>
      <c r="K30">
        <f>SmtRes!AH17</f>
        <v>320.57</v>
      </c>
      <c r="L30">
        <f>SmtRes!DB17</f>
        <v>73410.53</v>
      </c>
      <c r="M30">
        <f>ROUND(ROUND(L30*Source!I31, 6)*1, 2)</f>
        <v>734.11</v>
      </c>
      <c r="N30">
        <f>SmtRes!AD17</f>
        <v>320.57</v>
      </c>
      <c r="O30">
        <f>ROUND(ROUND(L30*Source!I31, 6)*SmtRes!DA17, 2)</f>
        <v>734.11</v>
      </c>
      <c r="P30">
        <f>SmtRes!AG17</f>
        <v>0</v>
      </c>
      <c r="Q30">
        <f>SmtRes!DC17</f>
        <v>0</v>
      </c>
      <c r="R30">
        <f>ROUND(ROUND(Q30*Source!I31, 6)*1, 2)</f>
        <v>0</v>
      </c>
      <c r="S30">
        <f>SmtRes!AC17</f>
        <v>0</v>
      </c>
      <c r="T30">
        <f>ROUND(ROUND(Q30*Source!I31, 6)*SmtRes!AK17, 2)</f>
        <v>0</v>
      </c>
      <c r="U30">
        <f>SmtRes!X17</f>
        <v>604758886</v>
      </c>
      <c r="V30">
        <v>421106553</v>
      </c>
      <c r="W30">
        <v>421106553</v>
      </c>
      <c r="X30">
        <v>1</v>
      </c>
    </row>
    <row r="31" spans="1:24" x14ac:dyDescent="0.2">
      <c r="A31">
        <v>20</v>
      </c>
      <c r="B31">
        <v>38</v>
      </c>
      <c r="C31">
        <v>3</v>
      </c>
      <c r="D31">
        <v>0</v>
      </c>
      <c r="E31">
        <f>SmtRes!AV38</f>
        <v>0</v>
      </c>
      <c r="F31" t="str">
        <f>SmtRes!I38</f>
        <v>999-9950</v>
      </c>
      <c r="G31" t="str">
        <f>SmtRes!K38</f>
        <v>Вспомогательные ненормируемые материалы (2% от ОЗП)</v>
      </c>
      <c r="H31" t="str">
        <f>SmtRes!O38</f>
        <v>РУБ</v>
      </c>
      <c r="I31">
        <f>SmtRes!Y38*Source!I33</f>
        <v>0.6080000000000001</v>
      </c>
      <c r="J31">
        <f>SmtRes!AO38</f>
        <v>1</v>
      </c>
      <c r="K31">
        <f>SmtRes!AE38</f>
        <v>1</v>
      </c>
      <c r="L31">
        <f>SmtRes!DB38</f>
        <v>3.04</v>
      </c>
      <c r="M31">
        <f>ROUND(ROUND(L31*Source!I33, 6)*1, 2)</f>
        <v>0.61</v>
      </c>
      <c r="N31">
        <f>SmtRes!AA38</f>
        <v>1</v>
      </c>
      <c r="O31">
        <f>ROUND(ROUND(L31*Source!I33, 6)*SmtRes!DA38, 2)</f>
        <v>0.61</v>
      </c>
      <c r="P31">
        <f>SmtRes!AG38</f>
        <v>0</v>
      </c>
      <c r="Q31">
        <f>SmtRes!DC38</f>
        <v>0</v>
      </c>
      <c r="R31">
        <f>ROUND(ROUND(Q31*Source!I33, 6)*1, 2)</f>
        <v>0</v>
      </c>
      <c r="S31">
        <f>SmtRes!AC38</f>
        <v>0</v>
      </c>
      <c r="T31">
        <f>ROUND(ROUND(Q31*Source!I33, 6)*SmtRes!AK38, 2)</f>
        <v>0</v>
      </c>
      <c r="U31">
        <f>SmtRes!X38</f>
        <v>-915781824</v>
      </c>
      <c r="V31">
        <v>655047484</v>
      </c>
      <c r="W31">
        <v>655047484</v>
      </c>
      <c r="X31">
        <v>3</v>
      </c>
    </row>
    <row r="32" spans="1:24" x14ac:dyDescent="0.2">
      <c r="A32">
        <v>20</v>
      </c>
      <c r="B32">
        <v>37</v>
      </c>
      <c r="C32">
        <v>3</v>
      </c>
      <c r="D32">
        <v>0</v>
      </c>
      <c r="E32">
        <f>SmtRes!AV37</f>
        <v>0</v>
      </c>
      <c r="F32" t="str">
        <f>SmtRes!I37</f>
        <v>405-0219</v>
      </c>
      <c r="G32" t="str">
        <f>SmtRes!K37</f>
        <v>Гипсовые вяжущие, марка Г3</v>
      </c>
      <c r="H32" t="str">
        <f>SmtRes!O37</f>
        <v>т</v>
      </c>
      <c r="I32">
        <f>SmtRes!Y37*Source!I33</f>
        <v>4.2000000000000006E-3</v>
      </c>
      <c r="J32">
        <f>SmtRes!AO37</f>
        <v>1</v>
      </c>
      <c r="K32">
        <f>SmtRes!AE37</f>
        <v>729.98</v>
      </c>
      <c r="L32">
        <f>SmtRes!DB37</f>
        <v>15.33</v>
      </c>
      <c r="M32">
        <f>ROUND(ROUND(L32*Source!I33, 6)*1, 2)</f>
        <v>3.07</v>
      </c>
      <c r="N32">
        <f>SmtRes!AA37</f>
        <v>4978.46</v>
      </c>
      <c r="O32">
        <f>ROUND(ROUND(L32*Source!I33, 6)*SmtRes!DA37, 2)</f>
        <v>20.91</v>
      </c>
      <c r="P32">
        <f>SmtRes!AG37</f>
        <v>0</v>
      </c>
      <c r="Q32">
        <f>SmtRes!DC37</f>
        <v>0</v>
      </c>
      <c r="R32">
        <f>ROUND(ROUND(Q32*Source!I33, 6)*1, 2)</f>
        <v>0</v>
      </c>
      <c r="S32">
        <f>SmtRes!AC37</f>
        <v>0</v>
      </c>
      <c r="T32">
        <f>ROUND(ROUND(Q32*Source!I33, 6)*SmtRes!AK37, 2)</f>
        <v>0</v>
      </c>
      <c r="U32">
        <f>SmtRes!X37</f>
        <v>-601557392</v>
      </c>
      <c r="V32">
        <v>102984346</v>
      </c>
      <c r="W32">
        <v>-2141677244</v>
      </c>
      <c r="X32">
        <v>3</v>
      </c>
    </row>
    <row r="33" spans="1:24" x14ac:dyDescent="0.2">
      <c r="A33">
        <v>20</v>
      </c>
      <c r="B33">
        <v>36</v>
      </c>
      <c r="C33">
        <v>3</v>
      </c>
      <c r="D33">
        <v>0</v>
      </c>
      <c r="E33">
        <f>SmtRes!AV36</f>
        <v>0</v>
      </c>
      <c r="F33" t="str">
        <f>SmtRes!I36</f>
        <v>101-3914</v>
      </c>
      <c r="G33" t="str">
        <f>SmtRes!K36</f>
        <v>Дюбели распорные полипропиленовые</v>
      </c>
      <c r="H33" t="str">
        <f>SmtRes!O36</f>
        <v>100 шт.</v>
      </c>
      <c r="I33">
        <f>SmtRes!Y36*Source!I33</f>
        <v>6.4000000000000001E-2</v>
      </c>
      <c r="J33">
        <f>SmtRes!AO36</f>
        <v>1</v>
      </c>
      <c r="K33">
        <f>SmtRes!AE36</f>
        <v>86.24</v>
      </c>
      <c r="L33">
        <f>SmtRes!DB36</f>
        <v>27.6</v>
      </c>
      <c r="M33">
        <f>ROUND(ROUND(L33*Source!I33, 6)*1, 2)</f>
        <v>5.52</v>
      </c>
      <c r="N33">
        <f>SmtRes!AA36</f>
        <v>55.19</v>
      </c>
      <c r="O33">
        <f>ROUND(ROUND(L33*Source!I33, 6)*SmtRes!DA36, 2)</f>
        <v>3.53</v>
      </c>
      <c r="P33">
        <f>SmtRes!AG36</f>
        <v>0</v>
      </c>
      <c r="Q33">
        <f>SmtRes!DC36</f>
        <v>0</v>
      </c>
      <c r="R33">
        <f>ROUND(ROUND(Q33*Source!I33, 6)*1, 2)</f>
        <v>0</v>
      </c>
      <c r="S33">
        <f>SmtRes!AC36</f>
        <v>0</v>
      </c>
      <c r="T33">
        <f>ROUND(ROUND(Q33*Source!I33, 6)*SmtRes!AK36, 2)</f>
        <v>0</v>
      </c>
      <c r="U33">
        <f>SmtRes!X36</f>
        <v>1627582661</v>
      </c>
      <c r="V33">
        <v>-1739481354</v>
      </c>
      <c r="W33">
        <v>669571799</v>
      </c>
      <c r="X33">
        <v>3</v>
      </c>
    </row>
    <row r="34" spans="1:24" x14ac:dyDescent="0.2">
      <c r="A34">
        <v>20</v>
      </c>
      <c r="B34">
        <v>35</v>
      </c>
      <c r="C34">
        <v>3</v>
      </c>
      <c r="D34">
        <v>0</v>
      </c>
      <c r="E34">
        <f>SmtRes!AV35</f>
        <v>0</v>
      </c>
      <c r="F34" t="str">
        <f>SmtRes!I35</f>
        <v>101-2499</v>
      </c>
      <c r="G34" t="str">
        <f>SmtRes!K35</f>
        <v>Лента изоляционная прорезиненная односторонняя ширина 20 мм, толщина 0,25-0,35 мм</v>
      </c>
      <c r="H34" t="str">
        <f>SmtRes!O35</f>
        <v>кг</v>
      </c>
      <c r="I34">
        <f>SmtRes!Y35*Source!I33</f>
        <v>3.2000000000000001E-2</v>
      </c>
      <c r="J34">
        <f>SmtRes!AO35</f>
        <v>1</v>
      </c>
      <c r="K34">
        <f>SmtRes!AE35</f>
        <v>30.5</v>
      </c>
      <c r="L34">
        <f>SmtRes!DB35</f>
        <v>4.88</v>
      </c>
      <c r="M34">
        <f>ROUND(ROUND(L34*Source!I33, 6)*1, 2)</f>
        <v>0.98</v>
      </c>
      <c r="N34">
        <f>SmtRes!AA35</f>
        <v>100.04</v>
      </c>
      <c r="O34">
        <f>ROUND(ROUND(L34*Source!I33, 6)*SmtRes!DA35, 2)</f>
        <v>3.2</v>
      </c>
      <c r="P34">
        <f>SmtRes!AG35</f>
        <v>0</v>
      </c>
      <c r="Q34">
        <f>SmtRes!DC35</f>
        <v>0</v>
      </c>
      <c r="R34">
        <f>ROUND(ROUND(Q34*Source!I33, 6)*1, 2)</f>
        <v>0</v>
      </c>
      <c r="S34">
        <f>SmtRes!AC35</f>
        <v>0</v>
      </c>
      <c r="T34">
        <f>ROUND(ROUND(Q34*Source!I33, 6)*SmtRes!AK35, 2)</f>
        <v>0</v>
      </c>
      <c r="U34">
        <f>SmtRes!X35</f>
        <v>-1294780295</v>
      </c>
      <c r="V34">
        <v>665352987</v>
      </c>
      <c r="W34">
        <v>-1791343124</v>
      </c>
      <c r="X34">
        <v>3</v>
      </c>
    </row>
    <row r="35" spans="1:24" x14ac:dyDescent="0.2">
      <c r="A35">
        <v>20</v>
      </c>
      <c r="B35">
        <v>34</v>
      </c>
      <c r="C35">
        <v>3</v>
      </c>
      <c r="D35">
        <v>0</v>
      </c>
      <c r="E35">
        <f>SmtRes!AV34</f>
        <v>0</v>
      </c>
      <c r="F35" t="str">
        <f>SmtRes!I34</f>
        <v>101-2143</v>
      </c>
      <c r="G35" t="str">
        <f>SmtRes!K34</f>
        <v>Краска</v>
      </c>
      <c r="H35" t="str">
        <f>SmtRes!O34</f>
        <v>кг</v>
      </c>
      <c r="I35">
        <f>SmtRes!Y34*Source!I33</f>
        <v>8.0000000000000002E-3</v>
      </c>
      <c r="J35">
        <f>SmtRes!AO34</f>
        <v>1</v>
      </c>
      <c r="K35">
        <f>SmtRes!AE34</f>
        <v>28.67</v>
      </c>
      <c r="L35">
        <f>SmtRes!DB34</f>
        <v>1.1499999999999999</v>
      </c>
      <c r="M35">
        <f>ROUND(ROUND(L35*Source!I33, 6)*1, 2)</f>
        <v>0.23</v>
      </c>
      <c r="N35">
        <f>SmtRes!AA34</f>
        <v>63.36</v>
      </c>
      <c r="O35">
        <f>ROUND(ROUND(L35*Source!I33, 6)*SmtRes!DA34, 2)</f>
        <v>0.51</v>
      </c>
      <c r="P35">
        <f>SmtRes!AG34</f>
        <v>0</v>
      </c>
      <c r="Q35">
        <f>SmtRes!DC34</f>
        <v>0</v>
      </c>
      <c r="R35">
        <f>ROUND(ROUND(Q35*Source!I33, 6)*1, 2)</f>
        <v>0</v>
      </c>
      <c r="S35">
        <f>SmtRes!AC34</f>
        <v>0</v>
      </c>
      <c r="T35">
        <f>ROUND(ROUND(Q35*Source!I33, 6)*SmtRes!AK34, 2)</f>
        <v>0</v>
      </c>
      <c r="U35">
        <f>SmtRes!X34</f>
        <v>-1768004575</v>
      </c>
      <c r="V35">
        <v>1217422333</v>
      </c>
      <c r="W35">
        <v>1617004271</v>
      </c>
      <c r="X35">
        <v>3</v>
      </c>
    </row>
    <row r="36" spans="1:24" x14ac:dyDescent="0.2">
      <c r="A36">
        <v>20</v>
      </c>
      <c r="B36">
        <v>33</v>
      </c>
      <c r="C36">
        <v>3</v>
      </c>
      <c r="D36">
        <v>0</v>
      </c>
      <c r="E36">
        <f>SmtRes!AV33</f>
        <v>0</v>
      </c>
      <c r="F36" t="str">
        <f>SmtRes!I33</f>
        <v>101-1764</v>
      </c>
      <c r="G36" t="str">
        <f>SmtRes!K33</f>
        <v>Тальк молотый, сорт I</v>
      </c>
      <c r="H36" t="str">
        <f>SmtRes!O33</f>
        <v>т</v>
      </c>
      <c r="I36">
        <f>SmtRes!Y33*Source!I33</f>
        <v>5.9999999999999995E-5</v>
      </c>
      <c r="J36">
        <f>SmtRes!AO33</f>
        <v>1</v>
      </c>
      <c r="K36">
        <f>SmtRes!AE33</f>
        <v>1820.01</v>
      </c>
      <c r="L36">
        <f>SmtRes!DB33</f>
        <v>0.55000000000000004</v>
      </c>
      <c r="M36">
        <f>ROUND(ROUND(L36*Source!I33, 6)*1, 2)</f>
        <v>0.11</v>
      </c>
      <c r="N36">
        <f>SmtRes!AA33</f>
        <v>17435.7</v>
      </c>
      <c r="O36">
        <f>ROUND(ROUND(L36*Source!I33, 6)*SmtRes!DA33, 2)</f>
        <v>1.05</v>
      </c>
      <c r="P36">
        <f>SmtRes!AG33</f>
        <v>0</v>
      </c>
      <c r="Q36">
        <f>SmtRes!DC33</f>
        <v>0</v>
      </c>
      <c r="R36">
        <f>ROUND(ROUND(Q36*Source!I33, 6)*1, 2)</f>
        <v>0</v>
      </c>
      <c r="S36">
        <f>SmtRes!AC33</f>
        <v>0</v>
      </c>
      <c r="T36">
        <f>ROUND(ROUND(Q36*Source!I33, 6)*SmtRes!AK33, 2)</f>
        <v>0</v>
      </c>
      <c r="U36">
        <f>SmtRes!X33</f>
        <v>-834843177</v>
      </c>
      <c r="V36">
        <v>-2092651348</v>
      </c>
      <c r="W36">
        <v>-217832288</v>
      </c>
      <c r="X36">
        <v>3</v>
      </c>
    </row>
    <row r="37" spans="1:24" x14ac:dyDescent="0.2">
      <c r="A37">
        <v>20</v>
      </c>
      <c r="B37">
        <v>32</v>
      </c>
      <c r="C37">
        <v>3</v>
      </c>
      <c r="D37">
        <v>0</v>
      </c>
      <c r="E37">
        <f>SmtRes!AV32</f>
        <v>0</v>
      </c>
      <c r="F37" t="str">
        <f>SmtRes!I32</f>
        <v>101-0612</v>
      </c>
      <c r="G37" t="str">
        <f>SmtRes!K32</f>
        <v>Мастика клеящая морозостойкая битумно-масляная МБ-50</v>
      </c>
      <c r="H37" t="str">
        <f>SmtRes!O32</f>
        <v>т</v>
      </c>
      <c r="I37">
        <f>SmtRes!Y32*Source!I33</f>
        <v>2.8000000000000003E-4</v>
      </c>
      <c r="J37">
        <f>SmtRes!AO32</f>
        <v>1</v>
      </c>
      <c r="K37">
        <f>SmtRes!AE32</f>
        <v>3960.01</v>
      </c>
      <c r="L37">
        <f>SmtRes!DB32</f>
        <v>5.54</v>
      </c>
      <c r="M37">
        <f>ROUND(ROUND(L37*Source!I33, 6)*1, 2)</f>
        <v>1.1100000000000001</v>
      </c>
      <c r="N37">
        <f>SmtRes!AA32</f>
        <v>34372.89</v>
      </c>
      <c r="O37">
        <f>ROUND(ROUND(L37*Source!I33, 6)*SmtRes!DA32, 2)</f>
        <v>9.6199999999999992</v>
      </c>
      <c r="P37">
        <f>SmtRes!AG32</f>
        <v>0</v>
      </c>
      <c r="Q37">
        <f>SmtRes!DC32</f>
        <v>0</v>
      </c>
      <c r="R37">
        <f>ROUND(ROUND(Q37*Source!I33, 6)*1, 2)</f>
        <v>0</v>
      </c>
      <c r="S37">
        <f>SmtRes!AC32</f>
        <v>0</v>
      </c>
      <c r="T37">
        <f>ROUND(ROUND(Q37*Source!I33, 6)*SmtRes!AK32, 2)</f>
        <v>0</v>
      </c>
      <c r="U37">
        <f>SmtRes!X32</f>
        <v>1876115990</v>
      </c>
      <c r="V37">
        <v>-324112549</v>
      </c>
      <c r="W37">
        <v>-2041533436</v>
      </c>
      <c r="X37">
        <v>3</v>
      </c>
    </row>
    <row r="38" spans="1:24" x14ac:dyDescent="0.2">
      <c r="A38">
        <v>20</v>
      </c>
      <c r="B38">
        <v>31</v>
      </c>
      <c r="C38">
        <v>3</v>
      </c>
      <c r="D38">
        <v>0</v>
      </c>
      <c r="E38">
        <f>SmtRes!AV31</f>
        <v>0</v>
      </c>
      <c r="F38" t="str">
        <f>SmtRes!I31</f>
        <v>101-0319</v>
      </c>
      <c r="G38" t="str">
        <f>SmtRes!K31</f>
        <v>Картон строительный прокладочный марки Б</v>
      </c>
      <c r="H38" t="str">
        <f>SmtRes!O31</f>
        <v>т</v>
      </c>
      <c r="I38">
        <f>SmtRes!Y31*Source!I33</f>
        <v>6.6000000000000005E-5</v>
      </c>
      <c r="J38">
        <f>SmtRes!AO31</f>
        <v>1</v>
      </c>
      <c r="K38">
        <f>SmtRes!AE31</f>
        <v>19800.009999999998</v>
      </c>
      <c r="L38">
        <f>SmtRes!DB31</f>
        <v>6.53</v>
      </c>
      <c r="M38">
        <f>ROUND(ROUND(L38*Source!I33, 6)*1, 2)</f>
        <v>1.31</v>
      </c>
      <c r="N38">
        <f>SmtRes!AA31</f>
        <v>153450.07999999999</v>
      </c>
      <c r="O38">
        <f>ROUND(ROUND(L38*Source!I33, 6)*SmtRes!DA31, 2)</f>
        <v>10.119999999999999</v>
      </c>
      <c r="P38">
        <f>SmtRes!AG31</f>
        <v>0</v>
      </c>
      <c r="Q38">
        <f>SmtRes!DC31</f>
        <v>0</v>
      </c>
      <c r="R38">
        <f>ROUND(ROUND(Q38*Source!I33, 6)*1, 2)</f>
        <v>0</v>
      </c>
      <c r="S38">
        <f>SmtRes!AC31</f>
        <v>0</v>
      </c>
      <c r="T38">
        <f>ROUND(ROUND(Q38*Source!I33, 6)*SmtRes!AK31, 2)</f>
        <v>0</v>
      </c>
      <c r="U38">
        <f>SmtRes!X31</f>
        <v>1092829432</v>
      </c>
      <c r="V38">
        <v>214565021</v>
      </c>
      <c r="W38">
        <v>1686338891</v>
      </c>
      <c r="X38">
        <v>3</v>
      </c>
    </row>
    <row r="39" spans="1:24" x14ac:dyDescent="0.2">
      <c r="A39">
        <v>20</v>
      </c>
      <c r="B39">
        <v>30</v>
      </c>
      <c r="C39">
        <v>2</v>
      </c>
      <c r="D39">
        <v>0</v>
      </c>
      <c r="E39">
        <f>SmtRes!AV30</f>
        <v>0</v>
      </c>
      <c r="F39" t="str">
        <f>SmtRes!I30</f>
        <v>400001</v>
      </c>
      <c r="G39" t="str">
        <f>SmtRes!K30</f>
        <v>Автомобили бортовые, грузоподъемность до 5 т</v>
      </c>
      <c r="H39" t="str">
        <f>SmtRes!O30</f>
        <v>маш.-ч</v>
      </c>
      <c r="I39">
        <f>SmtRes!Y30*Source!I33</f>
        <v>3.5999999999999997E-2</v>
      </c>
      <c r="J39">
        <f>SmtRes!AO30</f>
        <v>1</v>
      </c>
      <c r="K39">
        <f>SmtRes!AF30</f>
        <v>87.17</v>
      </c>
      <c r="L39">
        <f>SmtRes!DB30</f>
        <v>15.69</v>
      </c>
      <c r="M39">
        <f>ROUND(ROUND(L39*Source!I33, 6)*1, 2)</f>
        <v>3.14</v>
      </c>
      <c r="N39">
        <f>SmtRes!AB30</f>
        <v>932.72</v>
      </c>
      <c r="O39">
        <f>ROUND(ROUND(L39*Source!I33, 6)*SmtRes!DA30, 2)</f>
        <v>33.58</v>
      </c>
      <c r="P39">
        <f>SmtRes!AG30</f>
        <v>11.6</v>
      </c>
      <c r="Q39">
        <f>SmtRes!DC30</f>
        <v>2.09</v>
      </c>
      <c r="R39">
        <f>ROUND(ROUND(Q39*Source!I33, 6)*1, 2)</f>
        <v>0.42</v>
      </c>
      <c r="S39">
        <f>SmtRes!AC30</f>
        <v>386.51</v>
      </c>
      <c r="T39">
        <f>ROUND(ROUND(Q39*Source!I33, 6)*SmtRes!AK30, 2)</f>
        <v>13.93</v>
      </c>
      <c r="U39">
        <f>SmtRes!X30</f>
        <v>1230759911</v>
      </c>
      <c r="V39">
        <v>954228560</v>
      </c>
      <c r="W39">
        <v>-345871796</v>
      </c>
      <c r="X39">
        <v>2</v>
      </c>
    </row>
    <row r="40" spans="1:24" x14ac:dyDescent="0.2">
      <c r="A40">
        <v>20</v>
      </c>
      <c r="B40">
        <v>29</v>
      </c>
      <c r="C40">
        <v>2</v>
      </c>
      <c r="D40">
        <v>0</v>
      </c>
      <c r="E40">
        <f>SmtRes!AV29</f>
        <v>0</v>
      </c>
      <c r="F40" t="str">
        <f>SmtRes!I29</f>
        <v>021102</v>
      </c>
      <c r="G40" t="str">
        <f>SmtRes!K29</f>
        <v>Краны на автомобильном ходу при работе на монтаже технологического оборудования 10 т</v>
      </c>
      <c r="H40" t="str">
        <f>SmtRes!O29</f>
        <v>маш.-ч</v>
      </c>
      <c r="I40">
        <f>SmtRes!Y29*Source!I33</f>
        <v>3.5999999999999997E-2</v>
      </c>
      <c r="J40">
        <f>SmtRes!AO29</f>
        <v>1</v>
      </c>
      <c r="K40">
        <f>SmtRes!AF29</f>
        <v>134.65</v>
      </c>
      <c r="L40">
        <f>SmtRes!DB29</f>
        <v>24.24</v>
      </c>
      <c r="M40">
        <f>ROUND(ROUND(L40*Source!I33, 6)*1, 2)</f>
        <v>4.8499999999999996</v>
      </c>
      <c r="N40">
        <f>SmtRes!AB29</f>
        <v>1113.56</v>
      </c>
      <c r="O40">
        <f>ROUND(ROUND(L40*Source!I33, 6)*SmtRes!DA29, 2)</f>
        <v>40.090000000000003</v>
      </c>
      <c r="P40">
        <f>SmtRes!AG29</f>
        <v>13.5</v>
      </c>
      <c r="Q40">
        <f>SmtRes!DC29</f>
        <v>2.4300000000000002</v>
      </c>
      <c r="R40">
        <f>ROUND(ROUND(Q40*Source!I33, 6)*1, 2)</f>
        <v>0.49</v>
      </c>
      <c r="S40">
        <f>SmtRes!AC29</f>
        <v>449.82</v>
      </c>
      <c r="T40">
        <f>ROUND(ROUND(Q40*Source!I33, 6)*SmtRes!AK29, 2)</f>
        <v>16.190000000000001</v>
      </c>
      <c r="U40">
        <f>SmtRes!X29</f>
        <v>783836208</v>
      </c>
      <c r="V40">
        <v>1614640909</v>
      </c>
      <c r="W40">
        <v>-7703350</v>
      </c>
      <c r="X40">
        <v>2</v>
      </c>
    </row>
    <row r="41" spans="1:24" x14ac:dyDescent="0.2">
      <c r="A41">
        <v>20</v>
      </c>
      <c r="B41">
        <v>27</v>
      </c>
      <c r="C41">
        <v>1</v>
      </c>
      <c r="D41">
        <v>0</v>
      </c>
      <c r="E41">
        <f>SmtRes!AV27</f>
        <v>1</v>
      </c>
      <c r="F41" t="str">
        <f>SmtRes!I27</f>
        <v>1-2038-90</v>
      </c>
      <c r="G41" t="str">
        <f>SmtRes!K27</f>
        <v>Рабочий монтажник среднего разряда 3,8</v>
      </c>
      <c r="H41" t="str">
        <f>SmtRes!O27</f>
        <v>чел.-ч</v>
      </c>
      <c r="I41">
        <f>SmtRes!Y27*Source!I33</f>
        <v>3.2320000000000002</v>
      </c>
      <c r="J41">
        <f>SmtRes!AO27</f>
        <v>1</v>
      </c>
      <c r="K41">
        <f>SmtRes!AH27</f>
        <v>313.24</v>
      </c>
      <c r="L41">
        <f>SmtRes!DB27</f>
        <v>5061.96</v>
      </c>
      <c r="M41">
        <f>ROUND(ROUND(L41*Source!I33, 6)*1, 2)</f>
        <v>1012.39</v>
      </c>
      <c r="N41">
        <f>SmtRes!AD27</f>
        <v>313.24</v>
      </c>
      <c r="O41">
        <f>ROUND(ROUND(L41*Source!I33, 6)*SmtRes!DA27, 2)</f>
        <v>1012.39</v>
      </c>
      <c r="P41">
        <f>SmtRes!AG27</f>
        <v>0</v>
      </c>
      <c r="Q41">
        <f>SmtRes!DC27</f>
        <v>0</v>
      </c>
      <c r="R41">
        <f>ROUND(ROUND(Q41*Source!I33, 6)*1, 2)</f>
        <v>0</v>
      </c>
      <c r="S41">
        <f>SmtRes!AC27</f>
        <v>0</v>
      </c>
      <c r="T41">
        <f>ROUND(ROUND(Q41*Source!I33, 6)*SmtRes!AK27, 2)</f>
        <v>0</v>
      </c>
      <c r="U41">
        <f>SmtRes!X27</f>
        <v>184923391</v>
      </c>
      <c r="V41">
        <v>-674578731</v>
      </c>
      <c r="W41">
        <v>-674578731</v>
      </c>
      <c r="X41">
        <v>1</v>
      </c>
    </row>
    <row r="42" spans="1:24" x14ac:dyDescent="0.2">
      <c r="A42">
        <v>20</v>
      </c>
      <c r="B42">
        <v>54</v>
      </c>
      <c r="C42">
        <v>3</v>
      </c>
      <c r="D42">
        <v>0</v>
      </c>
      <c r="E42">
        <f>SmtRes!AV54</f>
        <v>0</v>
      </c>
      <c r="F42" t="str">
        <f>SmtRes!I54</f>
        <v>999-9950</v>
      </c>
      <c r="G42" t="str">
        <f>SmtRes!K54</f>
        <v>Вспомогательные ненормируемые материалы (2% от ОЗП)</v>
      </c>
      <c r="H42" t="str">
        <f>SmtRes!O54</f>
        <v>РУБ</v>
      </c>
      <c r="I42">
        <f>SmtRes!Y54*Source!I36</f>
        <v>2.2400000000000002</v>
      </c>
      <c r="J42">
        <f>SmtRes!AO54</f>
        <v>1</v>
      </c>
      <c r="K42">
        <f>SmtRes!AE54</f>
        <v>1</v>
      </c>
      <c r="L42">
        <f>SmtRes!DB54</f>
        <v>2.2400000000000002</v>
      </c>
      <c r="M42">
        <f>ROUND(ROUND(L42*Source!I36, 6)*1, 2)</f>
        <v>2.2400000000000002</v>
      </c>
      <c r="N42">
        <f>SmtRes!AA54</f>
        <v>1</v>
      </c>
      <c r="O42">
        <f>ROUND(ROUND(L42*Source!I36, 6)*SmtRes!DA54, 2)</f>
        <v>2.2400000000000002</v>
      </c>
      <c r="P42">
        <f>SmtRes!AG54</f>
        <v>0</v>
      </c>
      <c r="Q42">
        <f>SmtRes!DC54</f>
        <v>0</v>
      </c>
      <c r="R42">
        <f>ROUND(ROUND(Q42*Source!I36, 6)*1, 2)</f>
        <v>0</v>
      </c>
      <c r="S42">
        <f>SmtRes!AC54</f>
        <v>0</v>
      </c>
      <c r="T42">
        <f>ROUND(ROUND(Q42*Source!I36, 6)*SmtRes!AK54, 2)</f>
        <v>0</v>
      </c>
      <c r="U42">
        <f>SmtRes!X54</f>
        <v>-915781824</v>
      </c>
      <c r="V42">
        <v>655047484</v>
      </c>
      <c r="W42">
        <v>655047484</v>
      </c>
      <c r="X42">
        <v>3</v>
      </c>
    </row>
    <row r="43" spans="1:24" x14ac:dyDescent="0.2">
      <c r="A43">
        <v>20</v>
      </c>
      <c r="B43">
        <v>53</v>
      </c>
      <c r="C43">
        <v>3</v>
      </c>
      <c r="D43">
        <v>0</v>
      </c>
      <c r="E43">
        <f>SmtRes!AV53</f>
        <v>0</v>
      </c>
      <c r="F43" t="str">
        <f>SmtRes!I53</f>
        <v>509-0056</v>
      </c>
      <c r="G43" t="str">
        <f>SmtRes!K53</f>
        <v>Наконечники кабельные П2.5-4Д-МУ3</v>
      </c>
      <c r="H43" t="str">
        <f>SmtRes!O53</f>
        <v>100 шт.</v>
      </c>
      <c r="I43">
        <f>SmtRes!Y53*Source!I36</f>
        <v>0.1</v>
      </c>
      <c r="J43">
        <f>SmtRes!AO53</f>
        <v>1</v>
      </c>
      <c r="K43">
        <f>SmtRes!AE53</f>
        <v>60</v>
      </c>
      <c r="L43">
        <f>SmtRes!DB53</f>
        <v>6</v>
      </c>
      <c r="M43">
        <f>ROUND(ROUND(L43*Source!I36, 6)*1, 2)</f>
        <v>6</v>
      </c>
      <c r="N43">
        <f>SmtRes!AA53</f>
        <v>285</v>
      </c>
      <c r="O43">
        <f>ROUND(ROUND(L43*Source!I36, 6)*SmtRes!DA53, 2)</f>
        <v>28.5</v>
      </c>
      <c r="P43">
        <f>SmtRes!AG53</f>
        <v>0</v>
      </c>
      <c r="Q43">
        <f>SmtRes!DC53</f>
        <v>0</v>
      </c>
      <c r="R43">
        <f>ROUND(ROUND(Q43*Source!I36, 6)*1, 2)</f>
        <v>0</v>
      </c>
      <c r="S43">
        <f>SmtRes!AC53</f>
        <v>0</v>
      </c>
      <c r="T43">
        <f>ROUND(ROUND(Q43*Source!I36, 6)*SmtRes!AK53, 2)</f>
        <v>0</v>
      </c>
      <c r="U43">
        <f>SmtRes!X53</f>
        <v>2041155869</v>
      </c>
      <c r="V43">
        <v>957027532</v>
      </c>
      <c r="W43">
        <v>-645231371</v>
      </c>
      <c r="X43">
        <v>3</v>
      </c>
    </row>
    <row r="44" spans="1:24" x14ac:dyDescent="0.2">
      <c r="A44">
        <v>20</v>
      </c>
      <c r="B44">
        <v>52</v>
      </c>
      <c r="C44">
        <v>3</v>
      </c>
      <c r="D44">
        <v>0</v>
      </c>
      <c r="E44">
        <f>SmtRes!AV52</f>
        <v>0</v>
      </c>
      <c r="F44" t="str">
        <f>SmtRes!I52</f>
        <v>507-0702</v>
      </c>
      <c r="G44" t="str">
        <f>SmtRes!K52</f>
        <v>Трубка полихлорвиниловая ПХВ-305 диаметром 6-10 мм</v>
      </c>
      <c r="H44" t="str">
        <f>SmtRes!O52</f>
        <v>кг</v>
      </c>
      <c r="I44">
        <f>SmtRes!Y52*Source!I36</f>
        <v>0.08</v>
      </c>
      <c r="J44">
        <f>SmtRes!AO52</f>
        <v>1</v>
      </c>
      <c r="K44">
        <f>SmtRes!AE52</f>
        <v>38.450000000000003</v>
      </c>
      <c r="L44">
        <f>SmtRes!DB52</f>
        <v>3.08</v>
      </c>
      <c r="M44">
        <f>ROUND(ROUND(L44*Source!I36, 6)*1, 2)</f>
        <v>3.08</v>
      </c>
      <c r="N44">
        <f>SmtRes!AA52</f>
        <v>322.60000000000002</v>
      </c>
      <c r="O44">
        <f>ROUND(ROUND(L44*Source!I36, 6)*SmtRes!DA52, 2)</f>
        <v>25.84</v>
      </c>
      <c r="P44">
        <f>SmtRes!AG52</f>
        <v>0</v>
      </c>
      <c r="Q44">
        <f>SmtRes!DC52</f>
        <v>0</v>
      </c>
      <c r="R44">
        <f>ROUND(ROUND(Q44*Source!I36, 6)*1, 2)</f>
        <v>0</v>
      </c>
      <c r="S44">
        <f>SmtRes!AC52</f>
        <v>0</v>
      </c>
      <c r="T44">
        <f>ROUND(ROUND(Q44*Source!I36, 6)*SmtRes!AK52, 2)</f>
        <v>0</v>
      </c>
      <c r="U44">
        <f>SmtRes!X52</f>
        <v>-541372543</v>
      </c>
      <c r="V44">
        <v>-5564762</v>
      </c>
      <c r="W44">
        <v>-1648578213</v>
      </c>
      <c r="X44">
        <v>3</v>
      </c>
    </row>
    <row r="45" spans="1:24" x14ac:dyDescent="0.2">
      <c r="A45">
        <v>20</v>
      </c>
      <c r="B45">
        <v>51</v>
      </c>
      <c r="C45">
        <v>3</v>
      </c>
      <c r="D45">
        <v>0</v>
      </c>
      <c r="E45">
        <f>SmtRes!AV51</f>
        <v>0</v>
      </c>
      <c r="F45" t="str">
        <f>SmtRes!I51</f>
        <v>506-1361</v>
      </c>
      <c r="G45" t="str">
        <f>SmtRes!K51</f>
        <v>Припои оловянно-свинцовые бессурьмянистые марки ПОС40</v>
      </c>
      <c r="H45" t="str">
        <f>SmtRes!O51</f>
        <v>кг</v>
      </c>
      <c r="I45">
        <f>SmtRes!Y51*Source!I36</f>
        <v>0.06</v>
      </c>
      <c r="J45">
        <f>SmtRes!AO51</f>
        <v>1</v>
      </c>
      <c r="K45">
        <f>SmtRes!AE51</f>
        <v>65.930000000000007</v>
      </c>
      <c r="L45">
        <f>SmtRes!DB51</f>
        <v>3.96</v>
      </c>
      <c r="M45">
        <f>ROUND(ROUND(L45*Source!I36, 6)*1, 2)</f>
        <v>3.96</v>
      </c>
      <c r="N45">
        <f>SmtRes!AA51</f>
        <v>629.63</v>
      </c>
      <c r="O45">
        <f>ROUND(ROUND(L45*Source!I36, 6)*SmtRes!DA51, 2)</f>
        <v>37.82</v>
      </c>
      <c r="P45">
        <f>SmtRes!AG51</f>
        <v>0</v>
      </c>
      <c r="Q45">
        <f>SmtRes!DC51</f>
        <v>0</v>
      </c>
      <c r="R45">
        <f>ROUND(ROUND(Q45*Source!I36, 6)*1, 2)</f>
        <v>0</v>
      </c>
      <c r="S45">
        <f>SmtRes!AC51</f>
        <v>0</v>
      </c>
      <c r="T45">
        <f>ROUND(ROUND(Q45*Source!I36, 6)*SmtRes!AK51, 2)</f>
        <v>0</v>
      </c>
      <c r="U45">
        <f>SmtRes!X51</f>
        <v>-191194106</v>
      </c>
      <c r="V45">
        <v>1007538597</v>
      </c>
      <c r="W45">
        <v>2033138254</v>
      </c>
      <c r="X45">
        <v>3</v>
      </c>
    </row>
    <row r="46" spans="1:24" x14ac:dyDescent="0.2">
      <c r="A46">
        <v>20</v>
      </c>
      <c r="B46">
        <v>50</v>
      </c>
      <c r="C46">
        <v>3</v>
      </c>
      <c r="D46">
        <v>0</v>
      </c>
      <c r="E46">
        <f>SmtRes!AV50</f>
        <v>0</v>
      </c>
      <c r="F46" t="str">
        <f>SmtRes!I50</f>
        <v>506-0855</v>
      </c>
      <c r="G46" t="str">
        <f>SmtRes!K50</f>
        <v>Проволока медная круглая электротехническая ММ (мягкая) диаметром 1,0-3,0 мм и выше</v>
      </c>
      <c r="H46" t="str">
        <f>SmtRes!O50</f>
        <v>т</v>
      </c>
      <c r="I46">
        <f>SmtRes!Y50*Source!I36</f>
        <v>1E-4</v>
      </c>
      <c r="J46">
        <f>SmtRes!AO50</f>
        <v>1</v>
      </c>
      <c r="K46">
        <f>SmtRes!AE50</f>
        <v>37517.01</v>
      </c>
      <c r="L46">
        <f>SmtRes!DB50</f>
        <v>3.75</v>
      </c>
      <c r="M46">
        <f>ROUND(ROUND(L46*Source!I36, 6)*1, 2)</f>
        <v>3.75</v>
      </c>
      <c r="N46">
        <f>SmtRes!AA50</f>
        <v>628785.09</v>
      </c>
      <c r="O46">
        <f>ROUND(ROUND(L46*Source!I36, 6)*SmtRes!DA50, 2)</f>
        <v>62.85</v>
      </c>
      <c r="P46">
        <f>SmtRes!AG50</f>
        <v>0</v>
      </c>
      <c r="Q46">
        <f>SmtRes!DC50</f>
        <v>0</v>
      </c>
      <c r="R46">
        <f>ROUND(ROUND(Q46*Source!I36, 6)*1, 2)</f>
        <v>0</v>
      </c>
      <c r="S46">
        <f>SmtRes!AC50</f>
        <v>0</v>
      </c>
      <c r="T46">
        <f>ROUND(ROUND(Q46*Source!I36, 6)*SmtRes!AK50, 2)</f>
        <v>0</v>
      </c>
      <c r="U46">
        <f>SmtRes!X50</f>
        <v>570325225</v>
      </c>
      <c r="V46">
        <v>-609491457</v>
      </c>
      <c r="W46">
        <v>-1237250422</v>
      </c>
      <c r="X46">
        <v>3</v>
      </c>
    </row>
    <row r="47" spans="1:24" x14ac:dyDescent="0.2">
      <c r="A47">
        <v>20</v>
      </c>
      <c r="B47">
        <v>49</v>
      </c>
      <c r="C47">
        <v>3</v>
      </c>
      <c r="D47">
        <v>0</v>
      </c>
      <c r="E47">
        <f>SmtRes!AV49</f>
        <v>0</v>
      </c>
      <c r="F47" t="str">
        <f>SmtRes!I49</f>
        <v>405-0219</v>
      </c>
      <c r="G47" t="str">
        <f>SmtRes!K49</f>
        <v>Гипсовые вяжущие, марка Г3</v>
      </c>
      <c r="H47" t="str">
        <f>SmtRes!O49</f>
        <v>т</v>
      </c>
      <c r="I47">
        <f>SmtRes!Y49*Source!I36</f>
        <v>2.9999999999999997E-4</v>
      </c>
      <c r="J47">
        <f>SmtRes!AO49</f>
        <v>1</v>
      </c>
      <c r="K47">
        <f>SmtRes!AE49</f>
        <v>729.98</v>
      </c>
      <c r="L47">
        <f>SmtRes!DB49</f>
        <v>0.22</v>
      </c>
      <c r="M47">
        <f>ROUND(ROUND(L47*Source!I36, 6)*1, 2)</f>
        <v>0.22</v>
      </c>
      <c r="N47">
        <f>SmtRes!AA49</f>
        <v>4978.46</v>
      </c>
      <c r="O47">
        <f>ROUND(ROUND(L47*Source!I36, 6)*SmtRes!DA49, 2)</f>
        <v>1.5</v>
      </c>
      <c r="P47">
        <f>SmtRes!AG49</f>
        <v>0</v>
      </c>
      <c r="Q47">
        <f>SmtRes!DC49</f>
        <v>0</v>
      </c>
      <c r="R47">
        <f>ROUND(ROUND(Q47*Source!I36, 6)*1, 2)</f>
        <v>0</v>
      </c>
      <c r="S47">
        <f>SmtRes!AC49</f>
        <v>0</v>
      </c>
      <c r="T47">
        <f>ROUND(ROUND(Q47*Source!I36, 6)*SmtRes!AK49, 2)</f>
        <v>0</v>
      </c>
      <c r="U47">
        <f>SmtRes!X49</f>
        <v>-601557392</v>
      </c>
      <c r="V47">
        <v>102984346</v>
      </c>
      <c r="W47">
        <v>-2141677244</v>
      </c>
      <c r="X47">
        <v>3</v>
      </c>
    </row>
    <row r="48" spans="1:24" x14ac:dyDescent="0.2">
      <c r="A48">
        <v>20</v>
      </c>
      <c r="B48">
        <v>48</v>
      </c>
      <c r="C48">
        <v>3</v>
      </c>
      <c r="D48">
        <v>0</v>
      </c>
      <c r="E48">
        <f>SmtRes!AV48</f>
        <v>0</v>
      </c>
      <c r="F48" t="str">
        <f>SmtRes!I48</f>
        <v>110-0113</v>
      </c>
      <c r="G48" t="str">
        <f>SmtRes!K48</f>
        <v>Скрепы 10х2</v>
      </c>
      <c r="H48" t="str">
        <f>SmtRes!O48</f>
        <v>кг</v>
      </c>
      <c r="I48">
        <f>SmtRes!Y48*Source!I36</f>
        <v>0.02</v>
      </c>
      <c r="J48">
        <f>SmtRes!AO48</f>
        <v>1</v>
      </c>
      <c r="K48">
        <f>SmtRes!AE48</f>
        <v>15.36</v>
      </c>
      <c r="L48">
        <f>SmtRes!DB48</f>
        <v>0.31</v>
      </c>
      <c r="M48">
        <f>ROUND(ROUND(L48*Source!I36, 6)*1, 2)</f>
        <v>0.31</v>
      </c>
      <c r="N48">
        <f>SmtRes!AA48</f>
        <v>82.02</v>
      </c>
      <c r="O48">
        <f>ROUND(ROUND(L48*Source!I36, 6)*SmtRes!DA48, 2)</f>
        <v>1.66</v>
      </c>
      <c r="P48">
        <f>SmtRes!AG48</f>
        <v>0</v>
      </c>
      <c r="Q48">
        <f>SmtRes!DC48</f>
        <v>0</v>
      </c>
      <c r="R48">
        <f>ROUND(ROUND(Q48*Source!I36, 6)*1, 2)</f>
        <v>0</v>
      </c>
      <c r="S48">
        <f>SmtRes!AC48</f>
        <v>0</v>
      </c>
      <c r="T48">
        <f>ROUND(ROUND(Q48*Source!I36, 6)*SmtRes!AK48, 2)</f>
        <v>0</v>
      </c>
      <c r="U48">
        <f>SmtRes!X48</f>
        <v>-779841283</v>
      </c>
      <c r="V48">
        <v>660457367</v>
      </c>
      <c r="W48">
        <v>-1680209275</v>
      </c>
      <c r="X48">
        <v>3</v>
      </c>
    </row>
    <row r="49" spans="1:24" x14ac:dyDescent="0.2">
      <c r="A49">
        <v>20</v>
      </c>
      <c r="B49">
        <v>47</v>
      </c>
      <c r="C49">
        <v>3</v>
      </c>
      <c r="D49">
        <v>0</v>
      </c>
      <c r="E49">
        <f>SmtRes!AV47</f>
        <v>0</v>
      </c>
      <c r="F49" t="str">
        <f>SmtRes!I47</f>
        <v>101-2493</v>
      </c>
      <c r="G49" t="str">
        <f>SmtRes!K47</f>
        <v>Лента липкая изоляционная на поликасиновом компаунде марки ЛСЭПЛ, шириной 20-30 мм, толщиной от 0,14 до 0,19 мм</v>
      </c>
      <c r="H49" t="str">
        <f>SmtRes!O47</f>
        <v>кг</v>
      </c>
      <c r="I49">
        <f>SmtRes!Y47*Source!I36</f>
        <v>0.02</v>
      </c>
      <c r="J49">
        <f>SmtRes!AO47</f>
        <v>1</v>
      </c>
      <c r="K49">
        <f>SmtRes!AE47</f>
        <v>91.29</v>
      </c>
      <c r="L49">
        <f>SmtRes!DB47</f>
        <v>1.83</v>
      </c>
      <c r="M49">
        <f>ROUND(ROUND(L49*Source!I36, 6)*1, 2)</f>
        <v>1.83</v>
      </c>
      <c r="N49">
        <f>SmtRes!AA47</f>
        <v>160.66999999999999</v>
      </c>
      <c r="O49">
        <f>ROUND(ROUND(L49*Source!I36, 6)*SmtRes!DA47, 2)</f>
        <v>3.22</v>
      </c>
      <c r="P49">
        <f>SmtRes!AG47</f>
        <v>0</v>
      </c>
      <c r="Q49">
        <f>SmtRes!DC47</f>
        <v>0</v>
      </c>
      <c r="R49">
        <f>ROUND(ROUND(Q49*Source!I36, 6)*1, 2)</f>
        <v>0</v>
      </c>
      <c r="S49">
        <f>SmtRes!AC47</f>
        <v>0</v>
      </c>
      <c r="T49">
        <f>ROUND(ROUND(Q49*Source!I36, 6)*SmtRes!AK47, 2)</f>
        <v>0</v>
      </c>
      <c r="U49">
        <f>SmtRes!X47</f>
        <v>986031574</v>
      </c>
      <c r="V49">
        <v>-869164017</v>
      </c>
      <c r="W49">
        <v>793789024</v>
      </c>
      <c r="X49">
        <v>3</v>
      </c>
    </row>
    <row r="50" spans="1:24" x14ac:dyDescent="0.2">
      <c r="A50">
        <v>20</v>
      </c>
      <c r="B50">
        <v>46</v>
      </c>
      <c r="C50">
        <v>3</v>
      </c>
      <c r="D50">
        <v>0</v>
      </c>
      <c r="E50">
        <f>SmtRes!AV46</f>
        <v>0</v>
      </c>
      <c r="F50" t="str">
        <f>SmtRes!I46</f>
        <v>101-2206</v>
      </c>
      <c r="G50" t="str">
        <f>SmtRes!K46</f>
        <v>Дюбели пластмассовые с шурупами 12х70 мм</v>
      </c>
      <c r="H50" t="str">
        <f>SmtRes!O46</f>
        <v>100 шт.</v>
      </c>
      <c r="I50">
        <f>SmtRes!Y46*Source!I36</f>
        <v>0.1</v>
      </c>
      <c r="J50">
        <f>SmtRes!AO46</f>
        <v>1</v>
      </c>
      <c r="K50">
        <f>SmtRes!AE46</f>
        <v>83</v>
      </c>
      <c r="L50">
        <f>SmtRes!DB46</f>
        <v>8.3000000000000007</v>
      </c>
      <c r="M50">
        <f>ROUND(ROUND(L50*Source!I36, 6)*1, 2)</f>
        <v>8.3000000000000007</v>
      </c>
      <c r="N50">
        <f>SmtRes!AA46</f>
        <v>291.33</v>
      </c>
      <c r="O50">
        <f>ROUND(ROUND(L50*Source!I36, 6)*SmtRes!DA46, 2)</f>
        <v>29.13</v>
      </c>
      <c r="P50">
        <f>SmtRes!AG46</f>
        <v>0</v>
      </c>
      <c r="Q50">
        <f>SmtRes!DC46</f>
        <v>0</v>
      </c>
      <c r="R50">
        <f>ROUND(ROUND(Q50*Source!I36, 6)*1, 2)</f>
        <v>0</v>
      </c>
      <c r="S50">
        <f>SmtRes!AC46</f>
        <v>0</v>
      </c>
      <c r="T50">
        <f>ROUND(ROUND(Q50*Source!I36, 6)*SmtRes!AK46, 2)</f>
        <v>0</v>
      </c>
      <c r="U50">
        <f>SmtRes!X46</f>
        <v>-1517924343</v>
      </c>
      <c r="V50">
        <v>1066437699</v>
      </c>
      <c r="W50">
        <v>1589473965</v>
      </c>
      <c r="X50">
        <v>3</v>
      </c>
    </row>
    <row r="51" spans="1:24" x14ac:dyDescent="0.2">
      <c r="A51">
        <v>20</v>
      </c>
      <c r="B51">
        <v>45</v>
      </c>
      <c r="C51">
        <v>3</v>
      </c>
      <c r="D51">
        <v>0</v>
      </c>
      <c r="E51">
        <f>SmtRes!AV45</f>
        <v>0</v>
      </c>
      <c r="F51" t="str">
        <f>SmtRes!I45</f>
        <v>101-1977</v>
      </c>
      <c r="G51" t="str">
        <f>SmtRes!K45</f>
        <v>Болты с гайками и шайбами строительные</v>
      </c>
      <c r="H51" t="str">
        <f>SmtRes!O45</f>
        <v>кг</v>
      </c>
      <c r="I51">
        <f>SmtRes!Y45*Source!I36</f>
        <v>0.3</v>
      </c>
      <c r="J51">
        <f>SmtRes!AO45</f>
        <v>1</v>
      </c>
      <c r="K51">
        <f>SmtRes!AE45</f>
        <v>9.0399999999999991</v>
      </c>
      <c r="L51">
        <f>SmtRes!DB45</f>
        <v>2.71</v>
      </c>
      <c r="M51">
        <f>ROUND(ROUND(L51*Source!I36, 6)*1, 2)</f>
        <v>2.71</v>
      </c>
      <c r="N51">
        <f>SmtRes!AA45</f>
        <v>83.08</v>
      </c>
      <c r="O51">
        <f>ROUND(ROUND(L51*Source!I36, 6)*SmtRes!DA45, 2)</f>
        <v>24.9</v>
      </c>
      <c r="P51">
        <f>SmtRes!AG45</f>
        <v>0</v>
      </c>
      <c r="Q51">
        <f>SmtRes!DC45</f>
        <v>0</v>
      </c>
      <c r="R51">
        <f>ROUND(ROUND(Q51*Source!I36, 6)*1, 2)</f>
        <v>0</v>
      </c>
      <c r="S51">
        <f>SmtRes!AC45</f>
        <v>0</v>
      </c>
      <c r="T51">
        <f>ROUND(ROUND(Q51*Source!I36, 6)*SmtRes!AK45, 2)</f>
        <v>0</v>
      </c>
      <c r="U51">
        <f>SmtRes!X45</f>
        <v>30920770</v>
      </c>
      <c r="V51">
        <v>-2016438031</v>
      </c>
      <c r="W51">
        <v>1953999720</v>
      </c>
      <c r="X51">
        <v>3</v>
      </c>
    </row>
    <row r="52" spans="1:24" x14ac:dyDescent="0.2">
      <c r="A52">
        <v>20</v>
      </c>
      <c r="B52">
        <v>44</v>
      </c>
      <c r="C52">
        <v>3</v>
      </c>
      <c r="D52">
        <v>0</v>
      </c>
      <c r="E52">
        <f>SmtRes!AV44</f>
        <v>0</v>
      </c>
      <c r="F52" t="str">
        <f>SmtRes!I44</f>
        <v>101-1963</v>
      </c>
      <c r="G52" t="str">
        <f>SmtRes!K44</f>
        <v>Канифоль сосновая</v>
      </c>
      <c r="H52" t="str">
        <f>SmtRes!O44</f>
        <v>кг</v>
      </c>
      <c r="I52">
        <f>SmtRes!Y44*Source!I36</f>
        <v>0.01</v>
      </c>
      <c r="J52">
        <f>SmtRes!AO44</f>
        <v>1</v>
      </c>
      <c r="K52">
        <f>SmtRes!AE44</f>
        <v>12.62</v>
      </c>
      <c r="L52">
        <f>SmtRes!DB44</f>
        <v>0.13</v>
      </c>
      <c r="M52">
        <f>ROUND(ROUND(L52*Source!I36, 6)*1, 2)</f>
        <v>0.13</v>
      </c>
      <c r="N52">
        <f>SmtRes!AA44</f>
        <v>204.57</v>
      </c>
      <c r="O52">
        <f>ROUND(ROUND(L52*Source!I36, 6)*SmtRes!DA44, 2)</f>
        <v>2.11</v>
      </c>
      <c r="P52">
        <f>SmtRes!AG44</f>
        <v>0</v>
      </c>
      <c r="Q52">
        <f>SmtRes!DC44</f>
        <v>0</v>
      </c>
      <c r="R52">
        <f>ROUND(ROUND(Q52*Source!I36, 6)*1, 2)</f>
        <v>0</v>
      </c>
      <c r="S52">
        <f>SmtRes!AC44</f>
        <v>0</v>
      </c>
      <c r="T52">
        <f>ROUND(ROUND(Q52*Source!I36, 6)*SmtRes!AK44, 2)</f>
        <v>0</v>
      </c>
      <c r="U52">
        <f>SmtRes!X44</f>
        <v>-1457260288</v>
      </c>
      <c r="V52">
        <v>1539631638</v>
      </c>
      <c r="W52">
        <v>-1455827482</v>
      </c>
      <c r="X52">
        <v>3</v>
      </c>
    </row>
    <row r="53" spans="1:24" x14ac:dyDescent="0.2">
      <c r="A53">
        <v>20</v>
      </c>
      <c r="B53">
        <v>43</v>
      </c>
      <c r="C53">
        <v>3</v>
      </c>
      <c r="D53">
        <v>0</v>
      </c>
      <c r="E53">
        <f>SmtRes!AV43</f>
        <v>0</v>
      </c>
      <c r="F53" t="str">
        <f>SmtRes!I43</f>
        <v>101-1959</v>
      </c>
      <c r="G53" t="str">
        <f>SmtRes!K43</f>
        <v>Краска водоэмульсионная ВЭАК-1180</v>
      </c>
      <c r="H53" t="str">
        <f>SmtRes!O43</f>
        <v>т</v>
      </c>
      <c r="I53">
        <f>SmtRes!Y43*Source!I36</f>
        <v>2.0000000000000002E-5</v>
      </c>
      <c r="J53">
        <f>SmtRes!AO43</f>
        <v>1</v>
      </c>
      <c r="K53">
        <f>SmtRes!AE43</f>
        <v>15481.01</v>
      </c>
      <c r="L53">
        <f>SmtRes!DB43</f>
        <v>0.31</v>
      </c>
      <c r="M53">
        <f>ROUND(ROUND(L53*Source!I36, 6)*1, 2)</f>
        <v>0.31</v>
      </c>
      <c r="N53">
        <f>SmtRes!AA43</f>
        <v>60221.13</v>
      </c>
      <c r="O53">
        <f>ROUND(ROUND(L53*Source!I36, 6)*SmtRes!DA43, 2)</f>
        <v>1.21</v>
      </c>
      <c r="P53">
        <f>SmtRes!AG43</f>
        <v>0</v>
      </c>
      <c r="Q53">
        <f>SmtRes!DC43</f>
        <v>0</v>
      </c>
      <c r="R53">
        <f>ROUND(ROUND(Q53*Source!I36, 6)*1, 2)</f>
        <v>0</v>
      </c>
      <c r="S53">
        <f>SmtRes!AC43</f>
        <v>0</v>
      </c>
      <c r="T53">
        <f>ROUND(ROUND(Q53*Source!I36, 6)*SmtRes!AK43, 2)</f>
        <v>0</v>
      </c>
      <c r="U53">
        <f>SmtRes!X43</f>
        <v>-764270001</v>
      </c>
      <c r="V53">
        <v>165664859</v>
      </c>
      <c r="W53">
        <v>987649332</v>
      </c>
      <c r="X53">
        <v>3</v>
      </c>
    </row>
    <row r="54" spans="1:24" x14ac:dyDescent="0.2">
      <c r="A54">
        <v>20</v>
      </c>
      <c r="B54">
        <v>42</v>
      </c>
      <c r="C54">
        <v>3</v>
      </c>
      <c r="D54">
        <v>0</v>
      </c>
      <c r="E54">
        <f>SmtRes!AV42</f>
        <v>0</v>
      </c>
      <c r="F54" t="str">
        <f>SmtRes!I42</f>
        <v>101-1665</v>
      </c>
      <c r="G54" t="str">
        <f>SmtRes!K42</f>
        <v>Лак электроизоляционный 318</v>
      </c>
      <c r="H54" t="str">
        <f>SmtRes!O42</f>
        <v>кг</v>
      </c>
      <c r="I54">
        <f>SmtRes!Y42*Source!I36</f>
        <v>0.03</v>
      </c>
      <c r="J54">
        <f>SmtRes!AO42</f>
        <v>1</v>
      </c>
      <c r="K54">
        <f>SmtRes!AE42</f>
        <v>35.630000000000003</v>
      </c>
      <c r="L54">
        <f>SmtRes!DB42</f>
        <v>1.07</v>
      </c>
      <c r="M54">
        <f>ROUND(ROUND(L54*Source!I36, 6)*1, 2)</f>
        <v>1.07</v>
      </c>
      <c r="N54">
        <f>SmtRes!AA42</f>
        <v>136.46</v>
      </c>
      <c r="O54">
        <f>ROUND(ROUND(L54*Source!I36, 6)*SmtRes!DA42, 2)</f>
        <v>4.0999999999999996</v>
      </c>
      <c r="P54">
        <f>SmtRes!AG42</f>
        <v>0</v>
      </c>
      <c r="Q54">
        <f>SmtRes!DC42</f>
        <v>0</v>
      </c>
      <c r="R54">
        <f>ROUND(ROUND(Q54*Source!I36, 6)*1, 2)</f>
        <v>0</v>
      </c>
      <c r="S54">
        <f>SmtRes!AC42</f>
        <v>0</v>
      </c>
      <c r="T54">
        <f>ROUND(ROUND(Q54*Source!I36, 6)*SmtRes!AK42, 2)</f>
        <v>0</v>
      </c>
      <c r="U54">
        <f>SmtRes!X42</f>
        <v>2102179917</v>
      </c>
      <c r="V54">
        <v>2134246809</v>
      </c>
      <c r="W54">
        <v>935867584</v>
      </c>
      <c r="X54">
        <v>3</v>
      </c>
    </row>
    <row r="55" spans="1:24" x14ac:dyDescent="0.2">
      <c r="A55">
        <v>20</v>
      </c>
      <c r="B55">
        <v>41</v>
      </c>
      <c r="C55">
        <v>2</v>
      </c>
      <c r="D55">
        <v>0</v>
      </c>
      <c r="E55">
        <f>SmtRes!AV41</f>
        <v>0</v>
      </c>
      <c r="F55" t="str">
        <f>SmtRes!I41</f>
        <v>030101</v>
      </c>
      <c r="G55" t="str">
        <f>SmtRes!K41</f>
        <v>Автопогрузчики 5 т</v>
      </c>
      <c r="H55" t="str">
        <f>SmtRes!O41</f>
        <v>маш.-ч</v>
      </c>
      <c r="I55">
        <f>SmtRes!Y41*Source!I36</f>
        <v>0.44</v>
      </c>
      <c r="J55">
        <f>SmtRes!AO41</f>
        <v>1</v>
      </c>
      <c r="K55">
        <f>SmtRes!AF41</f>
        <v>99.89</v>
      </c>
      <c r="L55">
        <f>SmtRes!DB41</f>
        <v>43.95</v>
      </c>
      <c r="M55">
        <f>ROUND(ROUND(L55*Source!I36, 6)*1, 2)</f>
        <v>43.95</v>
      </c>
      <c r="N55">
        <f>SmtRes!AB41</f>
        <v>901.01</v>
      </c>
      <c r="O55">
        <f>ROUND(ROUND(L55*Source!I36, 6)*SmtRes!DA41, 2)</f>
        <v>396.43</v>
      </c>
      <c r="P55">
        <f>SmtRes!AG41</f>
        <v>10.06</v>
      </c>
      <c r="Q55">
        <f>SmtRes!DC41</f>
        <v>4.43</v>
      </c>
      <c r="R55">
        <f>ROUND(ROUND(Q55*Source!I36, 6)*1, 2)</f>
        <v>4.43</v>
      </c>
      <c r="S55">
        <f>SmtRes!AC41</f>
        <v>335.2</v>
      </c>
      <c r="T55">
        <f>ROUND(ROUND(Q55*Source!I36, 6)*SmtRes!AK41, 2)</f>
        <v>147.61000000000001</v>
      </c>
      <c r="U55">
        <f>SmtRes!X41</f>
        <v>1549832887</v>
      </c>
      <c r="V55">
        <v>1920795993</v>
      </c>
      <c r="W55">
        <v>-191420876</v>
      </c>
      <c r="X55">
        <v>2</v>
      </c>
    </row>
    <row r="56" spans="1:24" x14ac:dyDescent="0.2">
      <c r="A56">
        <v>20</v>
      </c>
      <c r="B56">
        <v>39</v>
      </c>
      <c r="C56">
        <v>1</v>
      </c>
      <c r="D56">
        <v>0</v>
      </c>
      <c r="E56">
        <f>SmtRes!AV39</f>
        <v>1</v>
      </c>
      <c r="F56" t="str">
        <f>SmtRes!I39</f>
        <v>1-2050-90</v>
      </c>
      <c r="G56" t="str">
        <f>SmtRes!K39</f>
        <v>Рабочий монтажник среднего разряда 5</v>
      </c>
      <c r="H56" t="str">
        <f>SmtRes!O39</f>
        <v>чел.-ч</v>
      </c>
      <c r="I56">
        <f>SmtRes!Y39*Source!I36</f>
        <v>10.1</v>
      </c>
      <c r="J56">
        <f>SmtRes!AO39</f>
        <v>1</v>
      </c>
      <c r="K56">
        <f>SmtRes!AH39</f>
        <v>369.56</v>
      </c>
      <c r="L56">
        <f>SmtRes!DB39</f>
        <v>3732.56</v>
      </c>
      <c r="M56">
        <f>ROUND(ROUND(L56*Source!I36, 6)*1, 2)</f>
        <v>3732.56</v>
      </c>
      <c r="N56">
        <f>SmtRes!AD39</f>
        <v>369.56</v>
      </c>
      <c r="O56">
        <f>ROUND(ROUND(L56*Source!I36, 6)*SmtRes!DA39, 2)</f>
        <v>3732.56</v>
      </c>
      <c r="P56">
        <f>SmtRes!AG39</f>
        <v>0</v>
      </c>
      <c r="Q56">
        <f>SmtRes!DC39</f>
        <v>0</v>
      </c>
      <c r="R56">
        <f>ROUND(ROUND(Q56*Source!I36, 6)*1, 2)</f>
        <v>0</v>
      </c>
      <c r="S56">
        <f>SmtRes!AC39</f>
        <v>0</v>
      </c>
      <c r="T56">
        <f>ROUND(ROUND(Q56*Source!I36, 6)*SmtRes!AK39, 2)</f>
        <v>0</v>
      </c>
      <c r="U56">
        <f>SmtRes!X39</f>
        <v>-1569667371</v>
      </c>
      <c r="V56">
        <v>-1011627811</v>
      </c>
      <c r="W56">
        <v>-1011627811</v>
      </c>
      <c r="X56">
        <v>1</v>
      </c>
    </row>
    <row r="57" spans="1:24" x14ac:dyDescent="0.2">
      <c r="A57">
        <v>20</v>
      </c>
      <c r="B57">
        <v>66</v>
      </c>
      <c r="C57">
        <v>3</v>
      </c>
      <c r="D57">
        <v>0</v>
      </c>
      <c r="E57">
        <f>SmtRes!AV66</f>
        <v>0</v>
      </c>
      <c r="F57" t="str">
        <f>SmtRes!I66</f>
        <v>999-9950</v>
      </c>
      <c r="G57" t="str">
        <f>SmtRes!K66</f>
        <v>Вспомогательные ненормируемые материалы (2% от ОЗП)</v>
      </c>
      <c r="H57" t="str">
        <f>SmtRes!O66</f>
        <v>РУБ</v>
      </c>
      <c r="I57">
        <f>SmtRes!Y66*Source!I38</f>
        <v>16.989999999999998</v>
      </c>
      <c r="J57">
        <f>SmtRes!AO66</f>
        <v>1</v>
      </c>
      <c r="K57">
        <f>SmtRes!AE66</f>
        <v>1</v>
      </c>
      <c r="L57">
        <f>SmtRes!DB66</f>
        <v>16.989999999999998</v>
      </c>
      <c r="M57">
        <f>ROUND(ROUND(L57*Source!I38, 6)*1, 2)</f>
        <v>16.989999999999998</v>
      </c>
      <c r="N57">
        <f>SmtRes!AA66</f>
        <v>1</v>
      </c>
      <c r="O57">
        <f>ROUND(ROUND(L57*Source!I38, 6)*SmtRes!DA66, 2)</f>
        <v>16.989999999999998</v>
      </c>
      <c r="P57">
        <f>SmtRes!AG66</f>
        <v>0</v>
      </c>
      <c r="Q57">
        <f>SmtRes!DC66</f>
        <v>0</v>
      </c>
      <c r="R57">
        <f>ROUND(ROUND(Q57*Source!I38, 6)*1, 2)</f>
        <v>0</v>
      </c>
      <c r="S57">
        <f>SmtRes!AC66</f>
        <v>0</v>
      </c>
      <c r="T57">
        <f>ROUND(ROUND(Q57*Source!I38, 6)*SmtRes!AK66, 2)</f>
        <v>0</v>
      </c>
      <c r="U57">
        <f>SmtRes!X66</f>
        <v>-915781824</v>
      </c>
      <c r="V57">
        <v>655047484</v>
      </c>
      <c r="W57">
        <v>655047484</v>
      </c>
      <c r="X57">
        <v>3</v>
      </c>
    </row>
    <row r="58" spans="1:24" x14ac:dyDescent="0.2">
      <c r="A58">
        <v>20</v>
      </c>
      <c r="B58">
        <v>65</v>
      </c>
      <c r="C58">
        <v>3</v>
      </c>
      <c r="D58">
        <v>0</v>
      </c>
      <c r="E58">
        <f>SmtRes!AV65</f>
        <v>0</v>
      </c>
      <c r="F58" t="str">
        <f>SmtRes!I65</f>
        <v>509-0084</v>
      </c>
      <c r="G58" t="str">
        <f>SmtRes!K65</f>
        <v>Припой</v>
      </c>
      <c r="H58" t="str">
        <f>SmtRes!O65</f>
        <v>кг</v>
      </c>
      <c r="I58">
        <f>SmtRes!Y65*Source!I38</f>
        <v>0.21</v>
      </c>
      <c r="J58">
        <f>SmtRes!AO65</f>
        <v>1</v>
      </c>
      <c r="K58">
        <f>SmtRes!AE65</f>
        <v>86.21</v>
      </c>
      <c r="L58">
        <f>SmtRes!DB65</f>
        <v>18.100000000000001</v>
      </c>
      <c r="M58">
        <f>ROUND(ROUND(L58*Source!I38, 6)*1, 2)</f>
        <v>18.100000000000001</v>
      </c>
      <c r="N58">
        <f>SmtRes!AA65</f>
        <v>716.41</v>
      </c>
      <c r="O58">
        <f>ROUND(ROUND(L58*Source!I38, 6)*SmtRes!DA65, 2)</f>
        <v>150.41</v>
      </c>
      <c r="P58">
        <f>SmtRes!AG65</f>
        <v>0</v>
      </c>
      <c r="Q58">
        <f>SmtRes!DC65</f>
        <v>0</v>
      </c>
      <c r="R58">
        <f>ROUND(ROUND(Q58*Source!I38, 6)*1, 2)</f>
        <v>0</v>
      </c>
      <c r="S58">
        <f>SmtRes!AC65</f>
        <v>0</v>
      </c>
      <c r="T58">
        <f>ROUND(ROUND(Q58*Source!I38, 6)*SmtRes!AK65, 2)</f>
        <v>0</v>
      </c>
      <c r="U58">
        <f>SmtRes!X65</f>
        <v>1174773110</v>
      </c>
      <c r="V58">
        <v>-201819407</v>
      </c>
      <c r="W58">
        <v>1586001478</v>
      </c>
      <c r="X58">
        <v>3</v>
      </c>
    </row>
    <row r="59" spans="1:24" x14ac:dyDescent="0.2">
      <c r="A59">
        <v>20</v>
      </c>
      <c r="B59">
        <v>64</v>
      </c>
      <c r="C59">
        <v>3</v>
      </c>
      <c r="D59">
        <v>0</v>
      </c>
      <c r="E59">
        <f>SmtRes!AV64</f>
        <v>0</v>
      </c>
      <c r="F59" t="str">
        <f>SmtRes!I64</f>
        <v>411-0002</v>
      </c>
      <c r="G59" t="str">
        <f>SmtRes!K64</f>
        <v>Вода водопроводная</v>
      </c>
      <c r="H59" t="str">
        <f>SmtRes!O64</f>
        <v>м3</v>
      </c>
      <c r="I59">
        <f>SmtRes!Y64*Source!I38</f>
        <v>0.81</v>
      </c>
      <c r="J59">
        <f>SmtRes!AO64</f>
        <v>1</v>
      </c>
      <c r="K59">
        <f>SmtRes!AE64</f>
        <v>3.14</v>
      </c>
      <c r="L59">
        <f>SmtRes!DB64</f>
        <v>2.54</v>
      </c>
      <c r="M59">
        <f>ROUND(ROUND(L59*Source!I38, 6)*1, 2)</f>
        <v>2.54</v>
      </c>
      <c r="N59">
        <f>SmtRes!AA64</f>
        <v>25.75</v>
      </c>
      <c r="O59">
        <f>ROUND(ROUND(L59*Source!I38, 6)*SmtRes!DA64, 2)</f>
        <v>20.83</v>
      </c>
      <c r="P59">
        <f>SmtRes!AG64</f>
        <v>0</v>
      </c>
      <c r="Q59">
        <f>SmtRes!DC64</f>
        <v>0</v>
      </c>
      <c r="R59">
        <f>ROUND(ROUND(Q59*Source!I38, 6)*1, 2)</f>
        <v>0</v>
      </c>
      <c r="S59">
        <f>SmtRes!AC64</f>
        <v>0</v>
      </c>
      <c r="T59">
        <f>ROUND(ROUND(Q59*Source!I38, 6)*SmtRes!AK64, 2)</f>
        <v>0</v>
      </c>
      <c r="U59">
        <f>SmtRes!X64</f>
        <v>102664141</v>
      </c>
      <c r="V59">
        <v>1983381378</v>
      </c>
      <c r="W59">
        <v>-1462522856</v>
      </c>
      <c r="X59">
        <v>3</v>
      </c>
    </row>
    <row r="60" spans="1:24" x14ac:dyDescent="0.2">
      <c r="A60">
        <v>20</v>
      </c>
      <c r="B60">
        <v>63</v>
      </c>
      <c r="C60">
        <v>3</v>
      </c>
      <c r="D60">
        <v>0</v>
      </c>
      <c r="E60">
        <f>SmtRes!AV63</f>
        <v>0</v>
      </c>
      <c r="F60" t="str">
        <f>SmtRes!I63</f>
        <v>101-1602</v>
      </c>
      <c r="G60" t="str">
        <f>SmtRes!K63</f>
        <v>Ацетилен газообразный технический</v>
      </c>
      <c r="H60" t="str">
        <f>SmtRes!O63</f>
        <v>м3</v>
      </c>
      <c r="I60">
        <f>SmtRes!Y63*Source!I38</f>
        <v>0.47</v>
      </c>
      <c r="J60">
        <f>SmtRes!AO63</f>
        <v>1</v>
      </c>
      <c r="K60">
        <f>SmtRes!AE63</f>
        <v>38.49</v>
      </c>
      <c r="L60">
        <f>SmtRes!DB63</f>
        <v>18.09</v>
      </c>
      <c r="M60">
        <f>ROUND(ROUND(L60*Source!I38, 6)*1, 2)</f>
        <v>18.09</v>
      </c>
      <c r="N60">
        <f>SmtRes!AA63</f>
        <v>401.45</v>
      </c>
      <c r="O60">
        <f>ROUND(ROUND(L60*Source!I38, 6)*SmtRes!DA63, 2)</f>
        <v>188.68</v>
      </c>
      <c r="P60">
        <f>SmtRes!AG63</f>
        <v>0</v>
      </c>
      <c r="Q60">
        <f>SmtRes!DC63</f>
        <v>0</v>
      </c>
      <c r="R60">
        <f>ROUND(ROUND(Q60*Source!I38, 6)*1, 2)</f>
        <v>0</v>
      </c>
      <c r="S60">
        <f>SmtRes!AC63</f>
        <v>0</v>
      </c>
      <c r="T60">
        <f>ROUND(ROUND(Q60*Source!I38, 6)*SmtRes!AK63, 2)</f>
        <v>0</v>
      </c>
      <c r="U60">
        <f>SmtRes!X63</f>
        <v>-203673795</v>
      </c>
      <c r="V60">
        <v>-1187868333</v>
      </c>
      <c r="W60">
        <v>1593270735</v>
      </c>
      <c r="X60">
        <v>3</v>
      </c>
    </row>
    <row r="61" spans="1:24" x14ac:dyDescent="0.2">
      <c r="A61">
        <v>20</v>
      </c>
      <c r="B61">
        <v>62</v>
      </c>
      <c r="C61">
        <v>3</v>
      </c>
      <c r="D61">
        <v>0</v>
      </c>
      <c r="E61">
        <f>SmtRes!AV62</f>
        <v>0</v>
      </c>
      <c r="F61" t="str">
        <f>SmtRes!I62</f>
        <v>101-0324</v>
      </c>
      <c r="G61" t="str">
        <f>SmtRes!K62</f>
        <v>Кислород технический газообразный</v>
      </c>
      <c r="H61" t="str">
        <f>SmtRes!O62</f>
        <v>м3</v>
      </c>
      <c r="I61">
        <f>SmtRes!Y62*Source!I38</f>
        <v>0.54</v>
      </c>
      <c r="J61">
        <f>SmtRes!AO62</f>
        <v>1</v>
      </c>
      <c r="K61">
        <f>SmtRes!AE62</f>
        <v>6.23</v>
      </c>
      <c r="L61">
        <f>SmtRes!DB62</f>
        <v>3.36</v>
      </c>
      <c r="M61">
        <f>ROUND(ROUND(L61*Source!I38, 6)*1, 2)</f>
        <v>3.36</v>
      </c>
      <c r="N61">
        <f>SmtRes!AA62</f>
        <v>75.069999999999993</v>
      </c>
      <c r="O61">
        <f>ROUND(ROUND(L61*Source!I38, 6)*SmtRes!DA62, 2)</f>
        <v>40.49</v>
      </c>
      <c r="P61">
        <f>SmtRes!AG62</f>
        <v>0</v>
      </c>
      <c r="Q61">
        <f>SmtRes!DC62</f>
        <v>0</v>
      </c>
      <c r="R61">
        <f>ROUND(ROUND(Q61*Source!I38, 6)*1, 2)</f>
        <v>0</v>
      </c>
      <c r="S61">
        <f>SmtRes!AC62</f>
        <v>0</v>
      </c>
      <c r="T61">
        <f>ROUND(ROUND(Q61*Source!I38, 6)*SmtRes!AK62, 2)</f>
        <v>0</v>
      </c>
      <c r="U61">
        <f>SmtRes!X62</f>
        <v>-756465305</v>
      </c>
      <c r="V61">
        <v>-540365543</v>
      </c>
      <c r="W61">
        <v>602916083</v>
      </c>
      <c r="X61">
        <v>3</v>
      </c>
    </row>
    <row r="62" spans="1:24" x14ac:dyDescent="0.2">
      <c r="A62">
        <v>20</v>
      </c>
      <c r="B62">
        <v>61</v>
      </c>
      <c r="C62">
        <v>3</v>
      </c>
      <c r="D62">
        <v>0</v>
      </c>
      <c r="E62">
        <f>SmtRes!AV61</f>
        <v>0</v>
      </c>
      <c r="F62" t="str">
        <f>SmtRes!I61</f>
        <v>101-0112</v>
      </c>
      <c r="G62" t="str">
        <f>SmtRes!K61</f>
        <v>Бура</v>
      </c>
      <c r="H62" t="str">
        <f>SmtRes!O61</f>
        <v>т</v>
      </c>
      <c r="I62">
        <f>SmtRes!Y61*Source!I38</f>
        <v>2.0000000000000002E-5</v>
      </c>
      <c r="J62">
        <f>SmtRes!AO61</f>
        <v>1</v>
      </c>
      <c r="K62">
        <f>SmtRes!AE61</f>
        <v>24599.99</v>
      </c>
      <c r="L62">
        <f>SmtRes!DB61</f>
        <v>0.49</v>
      </c>
      <c r="M62">
        <f>ROUND(ROUND(L62*Source!I38, 6)*1, 2)</f>
        <v>0.49</v>
      </c>
      <c r="N62">
        <f>SmtRes!AA61</f>
        <v>110945.95</v>
      </c>
      <c r="O62">
        <f>ROUND(ROUND(L62*Source!I38, 6)*SmtRes!DA61, 2)</f>
        <v>2.21</v>
      </c>
      <c r="P62">
        <f>SmtRes!AG61</f>
        <v>0</v>
      </c>
      <c r="Q62">
        <f>SmtRes!DC61</f>
        <v>0</v>
      </c>
      <c r="R62">
        <f>ROUND(ROUND(Q62*Source!I38, 6)*1, 2)</f>
        <v>0</v>
      </c>
      <c r="S62">
        <f>SmtRes!AC61</f>
        <v>0</v>
      </c>
      <c r="T62">
        <f>ROUND(ROUND(Q62*Source!I38, 6)*SmtRes!AK61, 2)</f>
        <v>0</v>
      </c>
      <c r="U62">
        <f>SmtRes!X61</f>
        <v>-13328980</v>
      </c>
      <c r="V62">
        <v>442479961</v>
      </c>
      <c r="W62">
        <v>2049260914</v>
      </c>
      <c r="X62">
        <v>3</v>
      </c>
    </row>
    <row r="63" spans="1:24" x14ac:dyDescent="0.2">
      <c r="A63">
        <v>20</v>
      </c>
      <c r="B63">
        <v>60</v>
      </c>
      <c r="C63">
        <v>2</v>
      </c>
      <c r="D63">
        <v>0</v>
      </c>
      <c r="E63">
        <f>SmtRes!AV60</f>
        <v>0</v>
      </c>
      <c r="F63" t="str">
        <f>SmtRes!I60</f>
        <v>400001</v>
      </c>
      <c r="G63" t="str">
        <f>SmtRes!K60</f>
        <v>Автомобили бортовые, грузоподъемность до 5 т</v>
      </c>
      <c r="H63" t="str">
        <f>SmtRes!O60</f>
        <v>маш.-ч</v>
      </c>
      <c r="I63">
        <f>SmtRes!Y60*Source!I38</f>
        <v>1</v>
      </c>
      <c r="J63">
        <f>SmtRes!AO60</f>
        <v>1</v>
      </c>
      <c r="K63">
        <f>SmtRes!AF60</f>
        <v>87.17</v>
      </c>
      <c r="L63">
        <f>SmtRes!DB60</f>
        <v>87.17</v>
      </c>
      <c r="M63">
        <f>ROUND(ROUND(L63*Source!I38, 6)*1, 2)</f>
        <v>87.17</v>
      </c>
      <c r="N63">
        <f>SmtRes!AB60</f>
        <v>932.72</v>
      </c>
      <c r="O63">
        <f>ROUND(ROUND(L63*Source!I38, 6)*SmtRes!DA60, 2)</f>
        <v>932.72</v>
      </c>
      <c r="P63">
        <f>SmtRes!AG60</f>
        <v>11.6</v>
      </c>
      <c r="Q63">
        <f>SmtRes!DC60</f>
        <v>11.6</v>
      </c>
      <c r="R63">
        <f>ROUND(ROUND(Q63*Source!I38, 6)*1, 2)</f>
        <v>11.6</v>
      </c>
      <c r="S63">
        <f>SmtRes!AC60</f>
        <v>386.51</v>
      </c>
      <c r="T63">
        <f>ROUND(ROUND(Q63*Source!I38, 6)*SmtRes!AK60, 2)</f>
        <v>386.51</v>
      </c>
      <c r="U63">
        <f>SmtRes!X60</f>
        <v>1230759911</v>
      </c>
      <c r="V63">
        <v>954228560</v>
      </c>
      <c r="W63">
        <v>-345871796</v>
      </c>
      <c r="X63">
        <v>2</v>
      </c>
    </row>
    <row r="64" spans="1:24" x14ac:dyDescent="0.2">
      <c r="A64">
        <v>20</v>
      </c>
      <c r="B64">
        <v>59</v>
      </c>
      <c r="C64">
        <v>2</v>
      </c>
      <c r="D64">
        <v>0</v>
      </c>
      <c r="E64">
        <f>SmtRes!AV59</f>
        <v>0</v>
      </c>
      <c r="F64" t="str">
        <f>SmtRes!I59</f>
        <v>151301</v>
      </c>
      <c r="G64" t="str">
        <f>SmtRes!K59</f>
        <v>Станки трубогибочные для труб диаметром 200-500 мм</v>
      </c>
      <c r="H64" t="str">
        <f>SmtRes!O59</f>
        <v>маш.-ч</v>
      </c>
      <c r="I64">
        <f>SmtRes!Y59*Source!I38</f>
        <v>0.51</v>
      </c>
      <c r="J64">
        <f>SmtRes!AO59</f>
        <v>1</v>
      </c>
      <c r="K64">
        <f>SmtRes!AF59</f>
        <v>91.83</v>
      </c>
      <c r="L64">
        <f>SmtRes!DB59</f>
        <v>46.83</v>
      </c>
      <c r="M64">
        <f>ROUND(ROUND(L64*Source!I38, 6)*1, 2)</f>
        <v>46.83</v>
      </c>
      <c r="N64">
        <f>SmtRes!AB59</f>
        <v>663.01</v>
      </c>
      <c r="O64">
        <f>ROUND(ROUND(L64*Source!I38, 6)*SmtRes!DA59, 2)</f>
        <v>338.11</v>
      </c>
      <c r="P64">
        <f>SmtRes!AG59</f>
        <v>10.06</v>
      </c>
      <c r="Q64">
        <f>SmtRes!DC59</f>
        <v>5.13</v>
      </c>
      <c r="R64">
        <f>ROUND(ROUND(Q64*Source!I38, 6)*1, 2)</f>
        <v>5.13</v>
      </c>
      <c r="S64">
        <f>SmtRes!AC59</f>
        <v>335.2</v>
      </c>
      <c r="T64">
        <f>ROUND(ROUND(Q64*Source!I38, 6)*SmtRes!AK59, 2)</f>
        <v>170.93</v>
      </c>
      <c r="U64">
        <f>SmtRes!X59</f>
        <v>2128176724</v>
      </c>
      <c r="V64">
        <v>207741250</v>
      </c>
      <c r="W64">
        <v>1611456393</v>
      </c>
      <c r="X64">
        <v>2</v>
      </c>
    </row>
    <row r="65" spans="1:24" x14ac:dyDescent="0.2">
      <c r="A65">
        <v>20</v>
      </c>
      <c r="B65">
        <v>58</v>
      </c>
      <c r="C65">
        <v>2</v>
      </c>
      <c r="D65">
        <v>0</v>
      </c>
      <c r="E65">
        <f>SmtRes!AV58</f>
        <v>0</v>
      </c>
      <c r="F65" t="str">
        <f>SmtRes!I58</f>
        <v>030403</v>
      </c>
      <c r="G65" t="str">
        <f>SmtRes!K58</f>
        <v>Лебедки электрические тяговым усилием 19,62 кН (2 т)</v>
      </c>
      <c r="H65" t="str">
        <f>SmtRes!O58</f>
        <v>маш.-ч</v>
      </c>
      <c r="I65">
        <f>SmtRes!Y58*Source!I38</f>
        <v>3.89</v>
      </c>
      <c r="J65">
        <f>SmtRes!AO58</f>
        <v>1</v>
      </c>
      <c r="K65">
        <f>SmtRes!AF58</f>
        <v>6.66</v>
      </c>
      <c r="L65">
        <f>SmtRes!DB58</f>
        <v>25.91</v>
      </c>
      <c r="M65">
        <f>ROUND(ROUND(L65*Source!I38, 6)*1, 2)</f>
        <v>25.91</v>
      </c>
      <c r="N65">
        <f>SmtRes!AB58</f>
        <v>54.01</v>
      </c>
      <c r="O65">
        <f>ROUND(ROUND(L65*Source!I38, 6)*SmtRes!DA58, 2)</f>
        <v>210.13</v>
      </c>
      <c r="P65">
        <f>SmtRes!AG58</f>
        <v>0</v>
      </c>
      <c r="Q65">
        <f>SmtRes!DC58</f>
        <v>0</v>
      </c>
      <c r="R65">
        <f>ROUND(ROUND(Q65*Source!I38, 6)*1, 2)</f>
        <v>0</v>
      </c>
      <c r="S65">
        <f>SmtRes!AC58</f>
        <v>0</v>
      </c>
      <c r="T65">
        <f>ROUND(ROUND(Q65*Source!I38, 6)*SmtRes!AK58, 2)</f>
        <v>0</v>
      </c>
      <c r="U65">
        <f>SmtRes!X58</f>
        <v>-394685413</v>
      </c>
      <c r="V65">
        <v>-2023178523</v>
      </c>
      <c r="W65">
        <v>-958589570</v>
      </c>
      <c r="X65">
        <v>2</v>
      </c>
    </row>
    <row r="66" spans="1:24" x14ac:dyDescent="0.2">
      <c r="A66">
        <v>20</v>
      </c>
      <c r="B66">
        <v>57</v>
      </c>
      <c r="C66">
        <v>2</v>
      </c>
      <c r="D66">
        <v>0</v>
      </c>
      <c r="E66">
        <f>SmtRes!AV57</f>
        <v>0</v>
      </c>
      <c r="F66" t="str">
        <f>SmtRes!I57</f>
        <v>021102</v>
      </c>
      <c r="G66" t="str">
        <f>SmtRes!K57</f>
        <v>Краны на автомобильном ходу при работе на монтаже технологического оборудования 10 т</v>
      </c>
      <c r="H66" t="str">
        <f>SmtRes!O57</f>
        <v>маш.-ч</v>
      </c>
      <c r="I66">
        <f>SmtRes!Y57*Source!I38</f>
        <v>1</v>
      </c>
      <c r="J66">
        <f>SmtRes!AO57</f>
        <v>1</v>
      </c>
      <c r="K66">
        <f>SmtRes!AF57</f>
        <v>134.65</v>
      </c>
      <c r="L66">
        <f>SmtRes!DB57</f>
        <v>134.65</v>
      </c>
      <c r="M66">
        <f>ROUND(ROUND(L66*Source!I38, 6)*1, 2)</f>
        <v>134.65</v>
      </c>
      <c r="N66">
        <f>SmtRes!AB57</f>
        <v>1113.56</v>
      </c>
      <c r="O66">
        <f>ROUND(ROUND(L66*Source!I38, 6)*SmtRes!DA57, 2)</f>
        <v>1113.56</v>
      </c>
      <c r="P66">
        <f>SmtRes!AG57</f>
        <v>13.5</v>
      </c>
      <c r="Q66">
        <f>SmtRes!DC57</f>
        <v>13.5</v>
      </c>
      <c r="R66">
        <f>ROUND(ROUND(Q66*Source!I38, 6)*1, 2)</f>
        <v>13.5</v>
      </c>
      <c r="S66">
        <f>SmtRes!AC57</f>
        <v>449.82</v>
      </c>
      <c r="T66">
        <f>ROUND(ROUND(Q66*Source!I38, 6)*SmtRes!AK57, 2)</f>
        <v>449.82</v>
      </c>
      <c r="U66">
        <f>SmtRes!X57</f>
        <v>783836208</v>
      </c>
      <c r="V66">
        <v>1614640909</v>
      </c>
      <c r="W66">
        <v>-7703350</v>
      </c>
      <c r="X66">
        <v>2</v>
      </c>
    </row>
    <row r="67" spans="1:24" x14ac:dyDescent="0.2">
      <c r="A67">
        <v>20</v>
      </c>
      <c r="B67">
        <v>55</v>
      </c>
      <c r="C67">
        <v>1</v>
      </c>
      <c r="D67">
        <v>0</v>
      </c>
      <c r="E67">
        <f>SmtRes!AV55</f>
        <v>1</v>
      </c>
      <c r="F67" t="str">
        <f>SmtRes!I55</f>
        <v>1-2040-90</v>
      </c>
      <c r="G67" t="str">
        <f>SmtRes!K55</f>
        <v>Рабочий монтажник среднего разряда 4</v>
      </c>
      <c r="H67" t="str">
        <f>SmtRes!O55</f>
        <v>чел.-ч</v>
      </c>
      <c r="I67">
        <f>SmtRes!Y55*Source!I38</f>
        <v>88.3</v>
      </c>
      <c r="J67">
        <f>SmtRes!AO55</f>
        <v>1</v>
      </c>
      <c r="K67">
        <f>SmtRes!AH55</f>
        <v>320.57</v>
      </c>
      <c r="L67">
        <f>SmtRes!DB55</f>
        <v>28306.33</v>
      </c>
      <c r="M67">
        <f>ROUND(ROUND(L67*Source!I38, 6)*1, 2)</f>
        <v>28306.33</v>
      </c>
      <c r="N67">
        <f>SmtRes!AD55</f>
        <v>320.57</v>
      </c>
      <c r="O67">
        <f>ROUND(ROUND(L67*Source!I38, 6)*SmtRes!DA55, 2)</f>
        <v>28306.33</v>
      </c>
      <c r="P67">
        <f>SmtRes!AG55</f>
        <v>0</v>
      </c>
      <c r="Q67">
        <f>SmtRes!DC55</f>
        <v>0</v>
      </c>
      <c r="R67">
        <f>ROUND(ROUND(Q67*Source!I38, 6)*1, 2)</f>
        <v>0</v>
      </c>
      <c r="S67">
        <f>SmtRes!AC55</f>
        <v>0</v>
      </c>
      <c r="T67">
        <f>ROUND(ROUND(Q67*Source!I38, 6)*SmtRes!AK55, 2)</f>
        <v>0</v>
      </c>
      <c r="U67">
        <f>SmtRes!X55</f>
        <v>604758886</v>
      </c>
      <c r="V67">
        <v>421106553</v>
      </c>
      <c r="W67">
        <v>421106553</v>
      </c>
      <c r="X67">
        <v>1</v>
      </c>
    </row>
    <row r="68" spans="1:24" x14ac:dyDescent="0.2">
      <c r="A68">
        <v>20</v>
      </c>
      <c r="B68">
        <v>68</v>
      </c>
      <c r="C68">
        <v>2</v>
      </c>
      <c r="D68">
        <v>0</v>
      </c>
      <c r="E68">
        <f>SmtRes!AV68</f>
        <v>0</v>
      </c>
      <c r="F68" t="str">
        <f>SmtRes!I68</f>
        <v>331454</v>
      </c>
      <c r="G68" t="str">
        <f>SmtRes!K68</f>
        <v>Перфоратор электрический мощностью 1,5 кВт, энергией удара до 18 Дж</v>
      </c>
      <c r="H68" t="str">
        <f>SmtRes!O68</f>
        <v>маш.-ч</v>
      </c>
      <c r="I68">
        <f>SmtRes!Y68*Source!I41</f>
        <v>0.2364</v>
      </c>
      <c r="J68">
        <f>SmtRes!AO68</f>
        <v>1</v>
      </c>
      <c r="K68">
        <f>SmtRes!AF68</f>
        <v>26.26</v>
      </c>
      <c r="L68">
        <f>SmtRes!DB68</f>
        <v>155.19999999999999</v>
      </c>
      <c r="M68">
        <f>ROUND(ROUND(L68*Source!I41, 6)*1, 2)</f>
        <v>6.21</v>
      </c>
      <c r="N68">
        <f>SmtRes!AB68</f>
        <v>32.56</v>
      </c>
      <c r="O68">
        <f>ROUND(ROUND(L68*Source!I41, 6)*SmtRes!DA68, 2)</f>
        <v>7.7</v>
      </c>
      <c r="P68">
        <f>SmtRes!AG68</f>
        <v>0</v>
      </c>
      <c r="Q68">
        <f>SmtRes!DC68</f>
        <v>0</v>
      </c>
      <c r="R68">
        <f>ROUND(ROUND(Q68*Source!I41, 6)*1, 2)</f>
        <v>0</v>
      </c>
      <c r="S68">
        <f>SmtRes!AC68</f>
        <v>0</v>
      </c>
      <c r="T68">
        <f>ROUND(ROUND(Q68*Source!I41, 6)*SmtRes!AK68, 2)</f>
        <v>0</v>
      </c>
      <c r="U68">
        <f>SmtRes!X68</f>
        <v>1411183215</v>
      </c>
      <c r="V68">
        <v>1933853453</v>
      </c>
      <c r="W68">
        <v>-1912116435</v>
      </c>
      <c r="X68">
        <v>2</v>
      </c>
    </row>
    <row r="69" spans="1:24" x14ac:dyDescent="0.2">
      <c r="A69">
        <v>20</v>
      </c>
      <c r="B69">
        <v>67</v>
      </c>
      <c r="C69">
        <v>1</v>
      </c>
      <c r="D69">
        <v>0</v>
      </c>
      <c r="E69">
        <f>SmtRes!AV67</f>
        <v>1</v>
      </c>
      <c r="F69" t="str">
        <f>SmtRes!I67</f>
        <v>1-1030-90</v>
      </c>
      <c r="G69" t="str">
        <f>SmtRes!K67</f>
        <v>Рабочий строитель среднего разряда 3</v>
      </c>
      <c r="H69" t="str">
        <f>SmtRes!O67</f>
        <v>чел.-ч</v>
      </c>
      <c r="I69">
        <f>SmtRes!Y67*Source!I41</f>
        <v>0.30280000000000001</v>
      </c>
      <c r="J69">
        <f>SmtRes!AO67</f>
        <v>1</v>
      </c>
      <c r="K69">
        <f>SmtRes!AH67</f>
        <v>284.25</v>
      </c>
      <c r="L69">
        <f>SmtRes!DB67</f>
        <v>2151.77</v>
      </c>
      <c r="M69">
        <f>ROUND(ROUND(L69*Source!I41, 6)*1, 2)</f>
        <v>86.07</v>
      </c>
      <c r="N69">
        <f>SmtRes!AD67</f>
        <v>284.25</v>
      </c>
      <c r="O69">
        <f>ROUND(ROUND(L69*Source!I41, 6)*SmtRes!DA67, 2)</f>
        <v>86.07</v>
      </c>
      <c r="P69">
        <f>SmtRes!AG67</f>
        <v>0</v>
      </c>
      <c r="Q69">
        <f>SmtRes!DC67</f>
        <v>0</v>
      </c>
      <c r="R69">
        <f>ROUND(ROUND(Q69*Source!I41, 6)*1, 2)</f>
        <v>0</v>
      </c>
      <c r="S69">
        <f>SmtRes!AC67</f>
        <v>0</v>
      </c>
      <c r="T69">
        <f>ROUND(ROUND(Q69*Source!I41, 6)*SmtRes!AK67, 2)</f>
        <v>0</v>
      </c>
      <c r="U69">
        <f>SmtRes!X67</f>
        <v>-931037793</v>
      </c>
      <c r="V69">
        <v>-1291506567</v>
      </c>
      <c r="W69">
        <v>-1291506567</v>
      </c>
      <c r="X69">
        <v>1</v>
      </c>
    </row>
    <row r="70" spans="1:24" x14ac:dyDescent="0.2">
      <c r="A70">
        <v>20</v>
      </c>
      <c r="B70">
        <v>82</v>
      </c>
      <c r="C70">
        <v>3</v>
      </c>
      <c r="D70">
        <v>0</v>
      </c>
      <c r="E70">
        <f>SmtRes!AV82</f>
        <v>0</v>
      </c>
      <c r="F70" t="str">
        <f>SmtRes!I82</f>
        <v>411-0001</v>
      </c>
      <c r="G70" t="str">
        <f>SmtRes!K82</f>
        <v>Вода</v>
      </c>
      <c r="H70" t="str">
        <f>SmtRes!O82</f>
        <v>м3</v>
      </c>
      <c r="I70">
        <f>SmtRes!Y82*Source!I42</f>
        <v>2.5000000000000001E-3</v>
      </c>
      <c r="J70">
        <f>SmtRes!AO82</f>
        <v>1</v>
      </c>
      <c r="K70">
        <f>SmtRes!AE82</f>
        <v>2.44</v>
      </c>
      <c r="L70">
        <f>SmtRes!DB82</f>
        <v>0.61</v>
      </c>
      <c r="M70">
        <f>ROUND(ROUND(L70*Source!I42, 6)*1, 2)</f>
        <v>0.01</v>
      </c>
      <c r="N70">
        <f>SmtRes!AA82</f>
        <v>22.2</v>
      </c>
      <c r="O70">
        <f>ROUND(ROUND(L70*Source!I42, 6)*SmtRes!DA82, 2)</f>
        <v>0.06</v>
      </c>
      <c r="P70">
        <f>SmtRes!AG82</f>
        <v>0</v>
      </c>
      <c r="Q70">
        <f>SmtRes!DC82</f>
        <v>0</v>
      </c>
      <c r="R70">
        <f>ROUND(ROUND(Q70*Source!I42, 6)*1, 2)</f>
        <v>0</v>
      </c>
      <c r="S70">
        <f>SmtRes!AC82</f>
        <v>0</v>
      </c>
      <c r="T70">
        <f>ROUND(ROUND(Q70*Source!I42, 6)*SmtRes!AK82, 2)</f>
        <v>0</v>
      </c>
      <c r="U70">
        <f>SmtRes!X82</f>
        <v>619799737</v>
      </c>
      <c r="V70">
        <v>1962984545</v>
      </c>
      <c r="W70">
        <v>146831223</v>
      </c>
      <c r="X70">
        <v>3</v>
      </c>
    </row>
    <row r="71" spans="1:24" x14ac:dyDescent="0.2">
      <c r="A71">
        <v>20</v>
      </c>
      <c r="B71">
        <v>81</v>
      </c>
      <c r="C71">
        <v>3</v>
      </c>
      <c r="D71">
        <v>0</v>
      </c>
      <c r="E71">
        <f>SmtRes!AV81</f>
        <v>0</v>
      </c>
      <c r="F71" t="str">
        <f>SmtRes!I81</f>
        <v>405-1601</v>
      </c>
      <c r="G71" t="str">
        <f>SmtRes!K81</f>
        <v>Известь строительная негашеная хлорная, марки А</v>
      </c>
      <c r="H71" t="str">
        <f>SmtRes!O81</f>
        <v>кг</v>
      </c>
      <c r="I71">
        <f>SmtRes!Y81*Source!I42</f>
        <v>9.0000000000000002E-6</v>
      </c>
      <c r="J71">
        <f>SmtRes!AO81</f>
        <v>1</v>
      </c>
      <c r="K71">
        <f>SmtRes!AE81</f>
        <v>2.15</v>
      </c>
      <c r="L71">
        <f>SmtRes!DB81</f>
        <v>0</v>
      </c>
      <c r="M71">
        <f>ROUND(ROUND(L71*Source!I42, 6)*1, 2)</f>
        <v>0</v>
      </c>
      <c r="N71">
        <f>SmtRes!AA81</f>
        <v>7.31</v>
      </c>
      <c r="O71">
        <f>ROUND(ROUND(L71*Source!I42, 6)*SmtRes!DA81, 2)</f>
        <v>0</v>
      </c>
      <c r="P71">
        <f>SmtRes!AG81</f>
        <v>0</v>
      </c>
      <c r="Q71">
        <f>SmtRes!DC81</f>
        <v>0</v>
      </c>
      <c r="R71">
        <f>ROUND(ROUND(Q71*Source!I42, 6)*1, 2)</f>
        <v>0</v>
      </c>
      <c r="S71">
        <f>SmtRes!AC81</f>
        <v>0</v>
      </c>
      <c r="T71">
        <f>ROUND(ROUND(Q71*Source!I42, 6)*SmtRes!AK81, 2)</f>
        <v>0</v>
      </c>
      <c r="U71">
        <f>SmtRes!X81</f>
        <v>-823040862</v>
      </c>
      <c r="V71">
        <v>-1993902608</v>
      </c>
      <c r="W71">
        <v>-1952308391</v>
      </c>
      <c r="X71">
        <v>3</v>
      </c>
    </row>
    <row r="72" spans="1:24" x14ac:dyDescent="0.2">
      <c r="A72">
        <v>20</v>
      </c>
      <c r="B72">
        <v>80</v>
      </c>
      <c r="C72">
        <v>3</v>
      </c>
      <c r="D72">
        <v>0</v>
      </c>
      <c r="E72">
        <f>SmtRes!AV80</f>
        <v>0</v>
      </c>
      <c r="F72" t="str">
        <f>SmtRes!I80</f>
        <v>101-1669</v>
      </c>
      <c r="G72" t="str">
        <f>SmtRes!K80</f>
        <v>Очес льняной</v>
      </c>
      <c r="H72" t="str">
        <f>SmtRes!O80</f>
        <v>кг</v>
      </c>
      <c r="I72">
        <f>SmtRes!Y80*Source!I42</f>
        <v>5.9999999999999995E-4</v>
      </c>
      <c r="J72">
        <f>SmtRes!AO80</f>
        <v>1</v>
      </c>
      <c r="K72">
        <f>SmtRes!AE80</f>
        <v>37.29</v>
      </c>
      <c r="L72">
        <f>SmtRes!DB80</f>
        <v>2.2400000000000002</v>
      </c>
      <c r="M72">
        <f>ROUND(ROUND(L72*Source!I42, 6)*1, 2)</f>
        <v>0.02</v>
      </c>
      <c r="N72">
        <f>SmtRes!AA80</f>
        <v>77.56</v>
      </c>
      <c r="O72">
        <f>ROUND(ROUND(L72*Source!I42, 6)*SmtRes!DA80, 2)</f>
        <v>0.05</v>
      </c>
      <c r="P72">
        <f>SmtRes!AG80</f>
        <v>0</v>
      </c>
      <c r="Q72">
        <f>SmtRes!DC80</f>
        <v>0</v>
      </c>
      <c r="R72">
        <f>ROUND(ROUND(Q72*Source!I42, 6)*1, 2)</f>
        <v>0</v>
      </c>
      <c r="S72">
        <f>SmtRes!AC80</f>
        <v>0</v>
      </c>
      <c r="T72">
        <f>ROUND(ROUND(Q72*Source!I42, 6)*SmtRes!AK80, 2)</f>
        <v>0</v>
      </c>
      <c r="U72">
        <f>SmtRes!X80</f>
        <v>-2113933962</v>
      </c>
      <c r="V72">
        <v>-1437110030</v>
      </c>
      <c r="W72">
        <v>-2144772764</v>
      </c>
      <c r="X72">
        <v>3</v>
      </c>
    </row>
    <row r="73" spans="1:24" x14ac:dyDescent="0.2">
      <c r="A73">
        <v>20</v>
      </c>
      <c r="B73">
        <v>79</v>
      </c>
      <c r="C73">
        <v>3</v>
      </c>
      <c r="D73">
        <v>0</v>
      </c>
      <c r="E73">
        <f>SmtRes!AV79</f>
        <v>0</v>
      </c>
      <c r="F73" t="str">
        <f>SmtRes!I79</f>
        <v>101-0807</v>
      </c>
      <c r="G73" t="str">
        <f>SmtRes!K79</f>
        <v>Проволока сварочная легированная диаметром 4 мм</v>
      </c>
      <c r="H73" t="str">
        <f>SmtRes!O79</f>
        <v>т</v>
      </c>
      <c r="I73">
        <f>SmtRes!Y79*Source!I42</f>
        <v>1.7000000000000002E-6</v>
      </c>
      <c r="J73">
        <f>SmtRes!AO79</f>
        <v>1</v>
      </c>
      <c r="K73">
        <f>SmtRes!AE79</f>
        <v>13559.99</v>
      </c>
      <c r="L73">
        <f>SmtRes!DB79</f>
        <v>2.31</v>
      </c>
      <c r="M73">
        <f>ROUND(ROUND(L73*Source!I42, 6)*1, 2)</f>
        <v>0.02</v>
      </c>
      <c r="N73">
        <f>SmtRes!AA79</f>
        <v>70918.75</v>
      </c>
      <c r="O73">
        <f>ROUND(ROUND(L73*Source!I42, 6)*SmtRes!DA79, 2)</f>
        <v>0.12</v>
      </c>
      <c r="P73">
        <f>SmtRes!AG79</f>
        <v>0</v>
      </c>
      <c r="Q73">
        <f>SmtRes!DC79</f>
        <v>0</v>
      </c>
      <c r="R73">
        <f>ROUND(ROUND(Q73*Source!I42, 6)*1, 2)</f>
        <v>0</v>
      </c>
      <c r="S73">
        <f>SmtRes!AC79</f>
        <v>0</v>
      </c>
      <c r="T73">
        <f>ROUND(ROUND(Q73*Source!I42, 6)*SmtRes!AK79, 2)</f>
        <v>0</v>
      </c>
      <c r="U73">
        <f>SmtRes!X79</f>
        <v>1756124173</v>
      </c>
      <c r="V73">
        <v>1168505383</v>
      </c>
      <c r="W73">
        <v>535398726</v>
      </c>
      <c r="X73">
        <v>3</v>
      </c>
    </row>
    <row r="74" spans="1:24" x14ac:dyDescent="0.2">
      <c r="A74">
        <v>20</v>
      </c>
      <c r="B74">
        <v>78</v>
      </c>
      <c r="C74">
        <v>3</v>
      </c>
      <c r="D74">
        <v>0</v>
      </c>
      <c r="E74">
        <f>SmtRes!AV78</f>
        <v>0</v>
      </c>
      <c r="F74" t="str">
        <f>SmtRes!I78</f>
        <v>101-0628</v>
      </c>
      <c r="G74" t="str">
        <f>SmtRes!K78</f>
        <v>Олифа комбинированная, марки К-3</v>
      </c>
      <c r="H74" t="str">
        <f>SmtRes!O78</f>
        <v>т</v>
      </c>
      <c r="I74">
        <f>SmtRes!Y78*Source!I42</f>
        <v>5.3000000000000001E-6</v>
      </c>
      <c r="J74">
        <f>SmtRes!AO78</f>
        <v>1</v>
      </c>
      <c r="K74">
        <f>SmtRes!AE78</f>
        <v>16950</v>
      </c>
      <c r="L74">
        <f>SmtRes!DB78</f>
        <v>8.98</v>
      </c>
      <c r="M74">
        <f>ROUND(ROUND(L74*Source!I42, 6)*1, 2)</f>
        <v>0.09</v>
      </c>
      <c r="N74">
        <f>SmtRes!AA78</f>
        <v>66613.5</v>
      </c>
      <c r="O74">
        <f>ROUND(ROUND(L74*Source!I42, 6)*SmtRes!DA78, 2)</f>
        <v>0.35</v>
      </c>
      <c r="P74">
        <f>SmtRes!AG78</f>
        <v>0</v>
      </c>
      <c r="Q74">
        <f>SmtRes!DC78</f>
        <v>0</v>
      </c>
      <c r="R74">
        <f>ROUND(ROUND(Q74*Source!I42, 6)*1, 2)</f>
        <v>0</v>
      </c>
      <c r="S74">
        <f>SmtRes!AC78</f>
        <v>0</v>
      </c>
      <c r="T74">
        <f>ROUND(ROUND(Q74*Source!I42, 6)*SmtRes!AK78, 2)</f>
        <v>0</v>
      </c>
      <c r="U74">
        <f>SmtRes!X78</f>
        <v>24062879</v>
      </c>
      <c r="V74">
        <v>1155205961</v>
      </c>
      <c r="W74">
        <v>1390498876</v>
      </c>
      <c r="X74">
        <v>3</v>
      </c>
    </row>
    <row r="75" spans="1:24" x14ac:dyDescent="0.2">
      <c r="A75">
        <v>20</v>
      </c>
      <c r="B75">
        <v>77</v>
      </c>
      <c r="C75">
        <v>3</v>
      </c>
      <c r="D75">
        <v>0</v>
      </c>
      <c r="E75">
        <f>SmtRes!AV77</f>
        <v>0</v>
      </c>
      <c r="F75" t="str">
        <f>SmtRes!I77</f>
        <v>101-0388</v>
      </c>
      <c r="G75" t="str">
        <f>SmtRes!K77</f>
        <v>Краски масляные земляные марки МА-0115 мумия, сурик железный</v>
      </c>
      <c r="H75" t="str">
        <f>SmtRes!O77</f>
        <v>т</v>
      </c>
      <c r="I75">
        <f>SmtRes!Y77*Source!I42</f>
        <v>4.4000000000000002E-6</v>
      </c>
      <c r="J75">
        <f>SmtRes!AO77</f>
        <v>1</v>
      </c>
      <c r="K75">
        <f>SmtRes!AE77</f>
        <v>15118.99</v>
      </c>
      <c r="L75">
        <f>SmtRes!DB77</f>
        <v>6.65</v>
      </c>
      <c r="M75">
        <f>ROUND(ROUND(L75*Source!I42, 6)*1, 2)</f>
        <v>7.0000000000000007E-2</v>
      </c>
      <c r="N75">
        <f>SmtRes!AA77</f>
        <v>51858.14</v>
      </c>
      <c r="O75">
        <f>ROUND(ROUND(L75*Source!I42, 6)*SmtRes!DA77, 2)</f>
        <v>0.23</v>
      </c>
      <c r="P75">
        <f>SmtRes!AG77</f>
        <v>0</v>
      </c>
      <c r="Q75">
        <f>SmtRes!DC77</f>
        <v>0</v>
      </c>
      <c r="R75">
        <f>ROUND(ROUND(Q75*Source!I42, 6)*1, 2)</f>
        <v>0</v>
      </c>
      <c r="S75">
        <f>SmtRes!AC77</f>
        <v>0</v>
      </c>
      <c r="T75">
        <f>ROUND(ROUND(Q75*Source!I42, 6)*SmtRes!AK77, 2)</f>
        <v>0</v>
      </c>
      <c r="U75">
        <f>SmtRes!X77</f>
        <v>1625292450</v>
      </c>
      <c r="V75">
        <v>12582592</v>
      </c>
      <c r="W75">
        <v>341693844</v>
      </c>
      <c r="X75">
        <v>3</v>
      </c>
    </row>
    <row r="76" spans="1:24" x14ac:dyDescent="0.2">
      <c r="A76">
        <v>20</v>
      </c>
      <c r="B76">
        <v>76</v>
      </c>
      <c r="C76">
        <v>3</v>
      </c>
      <c r="D76">
        <v>0</v>
      </c>
      <c r="E76">
        <f>SmtRes!AV76</f>
        <v>0</v>
      </c>
      <c r="F76" t="str">
        <f>SmtRes!I76</f>
        <v>101-0324</v>
      </c>
      <c r="G76" t="str">
        <f>SmtRes!K76</f>
        <v>Кислород технический газообразный</v>
      </c>
      <c r="H76" t="str">
        <f>SmtRes!O76</f>
        <v>м3</v>
      </c>
      <c r="I76">
        <f>SmtRes!Y76*Source!I42</f>
        <v>2.8100000000000004E-3</v>
      </c>
      <c r="J76">
        <f>SmtRes!AO76</f>
        <v>1</v>
      </c>
      <c r="K76">
        <f>SmtRes!AE76</f>
        <v>6.23</v>
      </c>
      <c r="L76">
        <f>SmtRes!DB76</f>
        <v>1.75</v>
      </c>
      <c r="M76">
        <f>ROUND(ROUND(L76*Source!I42, 6)*1, 2)</f>
        <v>0.02</v>
      </c>
      <c r="N76">
        <f>SmtRes!AA76</f>
        <v>75.069999999999993</v>
      </c>
      <c r="O76">
        <f>ROUND(ROUND(L76*Source!I42, 6)*SmtRes!DA76, 2)</f>
        <v>0.21</v>
      </c>
      <c r="P76">
        <f>SmtRes!AG76</f>
        <v>0</v>
      </c>
      <c r="Q76">
        <f>SmtRes!DC76</f>
        <v>0</v>
      </c>
      <c r="R76">
        <f>ROUND(ROUND(Q76*Source!I42, 6)*1, 2)</f>
        <v>0</v>
      </c>
      <c r="S76">
        <f>SmtRes!AC76</f>
        <v>0</v>
      </c>
      <c r="T76">
        <f>ROUND(ROUND(Q76*Source!I42, 6)*SmtRes!AK76, 2)</f>
        <v>0</v>
      </c>
      <c r="U76">
        <f>SmtRes!X76</f>
        <v>-756465305</v>
      </c>
      <c r="V76">
        <v>-540365543</v>
      </c>
      <c r="W76">
        <v>602916083</v>
      </c>
      <c r="X76">
        <v>3</v>
      </c>
    </row>
    <row r="77" spans="1:24" x14ac:dyDescent="0.2">
      <c r="A77">
        <v>20</v>
      </c>
      <c r="B77">
        <v>75</v>
      </c>
      <c r="C77">
        <v>3</v>
      </c>
      <c r="D77">
        <v>0</v>
      </c>
      <c r="E77">
        <f>SmtRes!AV75</f>
        <v>0</v>
      </c>
      <c r="F77" t="str">
        <f>SmtRes!I75</f>
        <v>101-0063</v>
      </c>
      <c r="G77" t="str">
        <f>SmtRes!K75</f>
        <v>Ацетилен растворенный технический марки А</v>
      </c>
      <c r="H77" t="str">
        <f>SmtRes!O75</f>
        <v>т</v>
      </c>
      <c r="I77">
        <f>SmtRes!Y75*Source!I42</f>
        <v>1.2999999999999998E-6</v>
      </c>
      <c r="J77">
        <f>SmtRes!AO75</f>
        <v>1</v>
      </c>
      <c r="K77">
        <f>SmtRes!AE75</f>
        <v>32830.01</v>
      </c>
      <c r="L77">
        <f>SmtRes!DB75</f>
        <v>4.2699999999999996</v>
      </c>
      <c r="M77">
        <f>ROUND(ROUND(L77*Source!I42, 6)*1, 2)</f>
        <v>0.04</v>
      </c>
      <c r="N77">
        <f>SmtRes!AA75</f>
        <v>349639.61</v>
      </c>
      <c r="O77">
        <f>ROUND(ROUND(L77*Source!I42, 6)*SmtRes!DA75, 2)</f>
        <v>0.45</v>
      </c>
      <c r="P77">
        <f>SmtRes!AG75</f>
        <v>0</v>
      </c>
      <c r="Q77">
        <f>SmtRes!DC75</f>
        <v>0</v>
      </c>
      <c r="R77">
        <f>ROUND(ROUND(Q77*Source!I42, 6)*1, 2)</f>
        <v>0</v>
      </c>
      <c r="S77">
        <f>SmtRes!AC75</f>
        <v>0</v>
      </c>
      <c r="T77">
        <f>ROUND(ROUND(Q77*Source!I42, 6)*SmtRes!AK75, 2)</f>
        <v>0</v>
      </c>
      <c r="U77">
        <f>SmtRes!X75</f>
        <v>1987285981</v>
      </c>
      <c r="V77">
        <v>1473041922</v>
      </c>
      <c r="W77">
        <v>659210339</v>
      </c>
      <c r="X77">
        <v>3</v>
      </c>
    </row>
    <row r="78" spans="1:24" x14ac:dyDescent="0.2">
      <c r="A78">
        <v>20</v>
      </c>
      <c r="B78">
        <v>74</v>
      </c>
      <c r="C78">
        <v>2</v>
      </c>
      <c r="D78">
        <v>0</v>
      </c>
      <c r="E78">
        <f>SmtRes!AV74</f>
        <v>0</v>
      </c>
      <c r="F78" t="str">
        <f>SmtRes!I74</f>
        <v>400001</v>
      </c>
      <c r="G78" t="str">
        <f>SmtRes!K74</f>
        <v>Автомобили бортовые, грузоподъемность до 5 т</v>
      </c>
      <c r="H78" t="str">
        <f>SmtRes!O74</f>
        <v>маш.-ч</v>
      </c>
      <c r="I78">
        <f>SmtRes!Y74*Source!I42</f>
        <v>4.3750000000000004E-3</v>
      </c>
      <c r="J78">
        <f>SmtRes!AO74</f>
        <v>1</v>
      </c>
      <c r="K78">
        <f>SmtRes!AF74</f>
        <v>87.17</v>
      </c>
      <c r="L78">
        <f>SmtRes!DB74</f>
        <v>38.137500000000003</v>
      </c>
      <c r="M78">
        <f>ROUND(ROUND(L78*Source!I42, 6)*1, 2)</f>
        <v>0.38</v>
      </c>
      <c r="N78">
        <f>SmtRes!AB74</f>
        <v>932.72</v>
      </c>
      <c r="O78">
        <f>ROUND(ROUND(L78*Source!I42, 6)*SmtRes!DA74, 2)</f>
        <v>4.08</v>
      </c>
      <c r="P78">
        <f>SmtRes!AG74</f>
        <v>11.6</v>
      </c>
      <c r="Q78">
        <f>SmtRes!DC74</f>
        <v>5.0750000000000002</v>
      </c>
      <c r="R78">
        <f>ROUND(ROUND(Q78*Source!I42, 6)*1, 2)</f>
        <v>0.05</v>
      </c>
      <c r="S78">
        <f>SmtRes!AC74</f>
        <v>386.51</v>
      </c>
      <c r="T78">
        <f>ROUND(ROUND(Q78*Source!I42, 6)*SmtRes!AK74, 2)</f>
        <v>1.69</v>
      </c>
      <c r="U78">
        <f>SmtRes!X74</f>
        <v>1230759911</v>
      </c>
      <c r="V78">
        <v>954228560</v>
      </c>
      <c r="W78">
        <v>-345871796</v>
      </c>
      <c r="X78">
        <v>2</v>
      </c>
    </row>
    <row r="79" spans="1:24" x14ac:dyDescent="0.2">
      <c r="A79">
        <v>20</v>
      </c>
      <c r="B79">
        <v>73</v>
      </c>
      <c r="C79">
        <v>2</v>
      </c>
      <c r="D79">
        <v>0</v>
      </c>
      <c r="E79">
        <f>SmtRes!AV73</f>
        <v>0</v>
      </c>
      <c r="F79" t="str">
        <f>SmtRes!I73</f>
        <v>040504</v>
      </c>
      <c r="G79" t="str">
        <f>SmtRes!K73</f>
        <v>Аппарат для газовой сварки и резки</v>
      </c>
      <c r="H79" t="str">
        <f>SmtRes!O73</f>
        <v>маш.-ч</v>
      </c>
      <c r="I79">
        <f>SmtRes!Y73*Source!I42</f>
        <v>1.4375000000000001E-2</v>
      </c>
      <c r="J79">
        <f>SmtRes!AO73</f>
        <v>1</v>
      </c>
      <c r="K79">
        <f>SmtRes!AF73</f>
        <v>1.2</v>
      </c>
      <c r="L79">
        <f>SmtRes!DB73</f>
        <v>1.7250000000000001</v>
      </c>
      <c r="M79">
        <f>ROUND(ROUND(L79*Source!I42, 6)*1, 2)</f>
        <v>0.02</v>
      </c>
      <c r="N79">
        <f>SmtRes!AB73</f>
        <v>8.5399999999999991</v>
      </c>
      <c r="O79">
        <f>ROUND(ROUND(L79*Source!I42, 6)*SmtRes!DA73, 2)</f>
        <v>0.12</v>
      </c>
      <c r="P79">
        <f>SmtRes!AG73</f>
        <v>0</v>
      </c>
      <c r="Q79">
        <f>SmtRes!DC73</f>
        <v>0</v>
      </c>
      <c r="R79">
        <f>ROUND(ROUND(Q79*Source!I42, 6)*1, 2)</f>
        <v>0</v>
      </c>
      <c r="S79">
        <f>SmtRes!AC73</f>
        <v>0</v>
      </c>
      <c r="T79">
        <f>ROUND(ROUND(Q79*Source!I42, 6)*SmtRes!AK73, 2)</f>
        <v>0</v>
      </c>
      <c r="U79">
        <f>SmtRes!X73</f>
        <v>1514068676</v>
      </c>
      <c r="V79">
        <v>-346845129</v>
      </c>
      <c r="W79">
        <v>2041132266</v>
      </c>
      <c r="X79">
        <v>2</v>
      </c>
    </row>
    <row r="80" spans="1:24" x14ac:dyDescent="0.2">
      <c r="A80">
        <v>20</v>
      </c>
      <c r="B80">
        <v>72</v>
      </c>
      <c r="C80">
        <v>2</v>
      </c>
      <c r="D80">
        <v>0</v>
      </c>
      <c r="E80">
        <f>SmtRes!AV72</f>
        <v>0</v>
      </c>
      <c r="F80" t="str">
        <f>SmtRes!I72</f>
        <v>021141</v>
      </c>
      <c r="G80" t="str">
        <f>SmtRes!K72</f>
        <v>Краны на автомобильном ходу при работе на других видах строительства 10 т</v>
      </c>
      <c r="H80" t="str">
        <f>SmtRes!O72</f>
        <v>маш.-ч</v>
      </c>
      <c r="I80">
        <f>SmtRes!Y72*Source!I42</f>
        <v>8.7500000000000013E-4</v>
      </c>
      <c r="J80">
        <f>SmtRes!AO72</f>
        <v>1</v>
      </c>
      <c r="K80">
        <f>SmtRes!AF72</f>
        <v>112</v>
      </c>
      <c r="L80">
        <f>SmtRes!DB72</f>
        <v>9.8000000000000007</v>
      </c>
      <c r="M80">
        <f>ROUND(ROUND(L80*Source!I42, 6)*1, 2)</f>
        <v>0.1</v>
      </c>
      <c r="N80">
        <f>SmtRes!AB72</f>
        <v>1102.08</v>
      </c>
      <c r="O80">
        <f>ROUND(ROUND(L80*Source!I42, 6)*SmtRes!DA72, 2)</f>
        <v>0.96</v>
      </c>
      <c r="P80">
        <f>SmtRes!AG72</f>
        <v>13.5</v>
      </c>
      <c r="Q80">
        <f>SmtRes!DC72</f>
        <v>1.1875</v>
      </c>
      <c r="R80">
        <f>ROUND(ROUND(Q80*Source!I42, 6)*1, 2)</f>
        <v>0.01</v>
      </c>
      <c r="S80">
        <f>SmtRes!AC72</f>
        <v>449.82</v>
      </c>
      <c r="T80">
        <f>ROUND(ROUND(Q80*Source!I42, 6)*SmtRes!AK72, 2)</f>
        <v>0.4</v>
      </c>
      <c r="U80">
        <f>SmtRes!X72</f>
        <v>1106923569</v>
      </c>
      <c r="V80">
        <v>1362198928</v>
      </c>
      <c r="W80">
        <v>1077115772</v>
      </c>
      <c r="X80">
        <v>2</v>
      </c>
    </row>
    <row r="81" spans="1:24" x14ac:dyDescent="0.2">
      <c r="A81">
        <v>20</v>
      </c>
      <c r="B81">
        <v>71</v>
      </c>
      <c r="C81">
        <v>2</v>
      </c>
      <c r="D81">
        <v>0</v>
      </c>
      <c r="E81">
        <f>SmtRes!AV71</f>
        <v>0</v>
      </c>
      <c r="F81" t="str">
        <f>SmtRes!I71</f>
        <v>020129</v>
      </c>
      <c r="G81" t="str">
        <f>SmtRes!K71</f>
        <v>Краны башенные при работе на других видах строительства 8 т</v>
      </c>
      <c r="H81" t="str">
        <f>SmtRes!O71</f>
        <v>маш.-ч</v>
      </c>
      <c r="I81">
        <f>SmtRes!Y71*Source!I42</f>
        <v>1E-3</v>
      </c>
      <c r="J81">
        <f>SmtRes!AO71</f>
        <v>1</v>
      </c>
      <c r="K81">
        <f>SmtRes!AF71</f>
        <v>86.4</v>
      </c>
      <c r="L81">
        <f>SmtRes!DB71</f>
        <v>8.6374999999999993</v>
      </c>
      <c r="M81">
        <f>ROUND(ROUND(L81*Source!I42, 6)*1, 2)</f>
        <v>0.09</v>
      </c>
      <c r="N81">
        <f>SmtRes!AB71</f>
        <v>889.06</v>
      </c>
      <c r="O81">
        <f>ROUND(ROUND(L81*Source!I42, 6)*SmtRes!DA71, 2)</f>
        <v>0.89</v>
      </c>
      <c r="P81">
        <f>SmtRes!AG71</f>
        <v>13.5</v>
      </c>
      <c r="Q81">
        <f>SmtRes!DC71</f>
        <v>1.35</v>
      </c>
      <c r="R81">
        <f>ROUND(ROUND(Q81*Source!I42, 6)*1, 2)</f>
        <v>0.01</v>
      </c>
      <c r="S81">
        <f>SmtRes!AC71</f>
        <v>449.82</v>
      </c>
      <c r="T81">
        <f>ROUND(ROUND(Q81*Source!I42, 6)*SmtRes!AK71, 2)</f>
        <v>0.45</v>
      </c>
      <c r="U81">
        <f>SmtRes!X71</f>
        <v>-438066613</v>
      </c>
      <c r="V81">
        <v>-310620260</v>
      </c>
      <c r="W81">
        <v>-1603260678</v>
      </c>
      <c r="X81">
        <v>2</v>
      </c>
    </row>
    <row r="82" spans="1:24" x14ac:dyDescent="0.2">
      <c r="A82">
        <v>20</v>
      </c>
      <c r="B82">
        <v>69</v>
      </c>
      <c r="C82">
        <v>1</v>
      </c>
      <c r="D82">
        <v>0</v>
      </c>
      <c r="E82">
        <f>SmtRes!AV69</f>
        <v>1</v>
      </c>
      <c r="F82" t="str">
        <f>SmtRes!I69</f>
        <v>1-1040-90</v>
      </c>
      <c r="G82" t="str">
        <f>SmtRes!K69</f>
        <v>Рабочий строитель среднего разряда 4</v>
      </c>
      <c r="H82" t="str">
        <f>SmtRes!O69</f>
        <v>чел.-ч</v>
      </c>
      <c r="I82">
        <f>SmtRes!Y69*Source!I42</f>
        <v>0.37915499999999996</v>
      </c>
      <c r="J82">
        <f>SmtRes!AO69</f>
        <v>1</v>
      </c>
      <c r="K82">
        <f>SmtRes!AH69</f>
        <v>320.57</v>
      </c>
      <c r="L82">
        <f>SmtRes!DB69</f>
        <v>12154.568499999999</v>
      </c>
      <c r="M82">
        <f>ROUND(ROUND(L82*Source!I42, 6)*1, 2)</f>
        <v>121.55</v>
      </c>
      <c r="N82">
        <f>SmtRes!AD69</f>
        <v>320.57</v>
      </c>
      <c r="O82">
        <f>ROUND(ROUND(L82*Source!I42, 6)*SmtRes!DA69, 2)</f>
        <v>121.55</v>
      </c>
      <c r="P82">
        <f>SmtRes!AG69</f>
        <v>0</v>
      </c>
      <c r="Q82">
        <f>SmtRes!DC69</f>
        <v>0</v>
      </c>
      <c r="R82">
        <f>ROUND(ROUND(Q82*Source!I42, 6)*1, 2)</f>
        <v>0</v>
      </c>
      <c r="S82">
        <f>SmtRes!AC69</f>
        <v>0</v>
      </c>
      <c r="T82">
        <f>ROUND(ROUND(Q82*Source!I42, 6)*SmtRes!AK69, 2)</f>
        <v>0</v>
      </c>
      <c r="U82">
        <f>SmtRes!X69</f>
        <v>-1739886638</v>
      </c>
      <c r="V82">
        <v>-1317449177</v>
      </c>
      <c r="W82">
        <v>-1317449177</v>
      </c>
      <c r="X82">
        <v>1</v>
      </c>
    </row>
    <row r="83" spans="1:24" x14ac:dyDescent="0.2">
      <c r="A83">
        <v>20</v>
      </c>
      <c r="B83">
        <v>90</v>
      </c>
      <c r="C83">
        <v>3</v>
      </c>
      <c r="D83">
        <v>0</v>
      </c>
      <c r="E83">
        <f>SmtRes!AV90</f>
        <v>0</v>
      </c>
      <c r="F83" t="str">
        <f>SmtRes!I90</f>
        <v>999-9950</v>
      </c>
      <c r="G83" t="str">
        <f>SmtRes!K90</f>
        <v>Вспомогательные ненормируемые материалы (2% от ОЗП)</v>
      </c>
      <c r="H83" t="str">
        <f>SmtRes!O90</f>
        <v>РУБ</v>
      </c>
      <c r="I83">
        <f>SmtRes!Y90*Source!I45</f>
        <v>3.1</v>
      </c>
      <c r="J83">
        <f>SmtRes!AO90</f>
        <v>1</v>
      </c>
      <c r="K83">
        <f>SmtRes!AE90</f>
        <v>1</v>
      </c>
      <c r="L83">
        <f>SmtRes!DB90</f>
        <v>3.1</v>
      </c>
      <c r="M83">
        <f>ROUND(ROUND(L83*Source!I45, 6)*1, 2)</f>
        <v>3.1</v>
      </c>
      <c r="N83">
        <f>SmtRes!AA90</f>
        <v>1</v>
      </c>
      <c r="O83">
        <f>ROUND(ROUND(L83*Source!I45, 6)*SmtRes!DA90, 2)</f>
        <v>3.1</v>
      </c>
      <c r="P83">
        <f>SmtRes!AG90</f>
        <v>0</v>
      </c>
      <c r="Q83">
        <f>SmtRes!DC90</f>
        <v>0</v>
      </c>
      <c r="R83">
        <f>ROUND(ROUND(Q83*Source!I45, 6)*1, 2)</f>
        <v>0</v>
      </c>
      <c r="S83">
        <f>SmtRes!AC90</f>
        <v>0</v>
      </c>
      <c r="T83">
        <f>ROUND(ROUND(Q83*Source!I45, 6)*SmtRes!AK90, 2)</f>
        <v>0</v>
      </c>
      <c r="U83">
        <f>SmtRes!X90</f>
        <v>-915781824</v>
      </c>
      <c r="V83">
        <v>655047484</v>
      </c>
      <c r="W83">
        <v>655047484</v>
      </c>
      <c r="X83">
        <v>3</v>
      </c>
    </row>
    <row r="84" spans="1:24" x14ac:dyDescent="0.2">
      <c r="A84">
        <v>20</v>
      </c>
      <c r="B84">
        <v>89</v>
      </c>
      <c r="C84">
        <v>3</v>
      </c>
      <c r="D84">
        <v>0</v>
      </c>
      <c r="E84">
        <f>SmtRes!AV89</f>
        <v>0</v>
      </c>
      <c r="F84" t="str">
        <f>SmtRes!I89</f>
        <v>101-2202</v>
      </c>
      <c r="G84" t="str">
        <f>SmtRes!K89</f>
        <v>Дюбели распорные полиэтиленовые 6х40 мм</v>
      </c>
      <c r="H84" t="str">
        <f>SmtRes!O89</f>
        <v>1000 шт.</v>
      </c>
      <c r="I84">
        <f>SmtRes!Y89*Source!I45</f>
        <v>0.2</v>
      </c>
      <c r="J84">
        <f>SmtRes!AO89</f>
        <v>1</v>
      </c>
      <c r="K84">
        <f>SmtRes!AE89</f>
        <v>179</v>
      </c>
      <c r="L84">
        <f>SmtRes!DB89</f>
        <v>35.799999999999997</v>
      </c>
      <c r="M84">
        <f>ROUND(ROUND(L84*Source!I45, 6)*1, 2)</f>
        <v>35.799999999999997</v>
      </c>
      <c r="N84">
        <f>SmtRes!AA89</f>
        <v>184.37</v>
      </c>
      <c r="O84">
        <f>ROUND(ROUND(L84*Source!I45, 6)*SmtRes!DA89, 2)</f>
        <v>36.869999999999997</v>
      </c>
      <c r="P84">
        <f>SmtRes!AG89</f>
        <v>0</v>
      </c>
      <c r="Q84">
        <f>SmtRes!DC89</f>
        <v>0</v>
      </c>
      <c r="R84">
        <f>ROUND(ROUND(Q84*Source!I45, 6)*1, 2)</f>
        <v>0</v>
      </c>
      <c r="S84">
        <f>SmtRes!AC89</f>
        <v>0</v>
      </c>
      <c r="T84">
        <f>ROUND(ROUND(Q84*Source!I45, 6)*SmtRes!AK89, 2)</f>
        <v>0</v>
      </c>
      <c r="U84">
        <f>SmtRes!X89</f>
        <v>1703397329</v>
      </c>
      <c r="V84">
        <v>-1508220156</v>
      </c>
      <c r="W84">
        <v>1178697921</v>
      </c>
      <c r="X84">
        <v>3</v>
      </c>
    </row>
    <row r="85" spans="1:24" x14ac:dyDescent="0.2">
      <c r="A85">
        <v>20</v>
      </c>
      <c r="B85">
        <v>88</v>
      </c>
      <c r="C85">
        <v>3</v>
      </c>
      <c r="D85">
        <v>0</v>
      </c>
      <c r="E85">
        <f>SmtRes!AV88</f>
        <v>0</v>
      </c>
      <c r="F85" t="str">
        <f>SmtRes!I88</f>
        <v>101-1481</v>
      </c>
      <c r="G85" t="str">
        <f>SmtRes!K88</f>
        <v>Шурупы с полукруглой головкой 4x40 мм</v>
      </c>
      <c r="H85" t="str">
        <f>SmtRes!O88</f>
        <v>т</v>
      </c>
      <c r="I85">
        <f>SmtRes!Y88*Source!I45</f>
        <v>1E-3</v>
      </c>
      <c r="J85">
        <f>SmtRes!AO88</f>
        <v>1</v>
      </c>
      <c r="K85">
        <f>SmtRes!AE88</f>
        <v>12430</v>
      </c>
      <c r="L85">
        <f>SmtRes!DB88</f>
        <v>12.43</v>
      </c>
      <c r="M85">
        <f>ROUND(ROUND(L85*Source!I45, 6)*1, 2)</f>
        <v>12.43</v>
      </c>
      <c r="N85">
        <f>SmtRes!AA88</f>
        <v>98197</v>
      </c>
      <c r="O85">
        <f>ROUND(ROUND(L85*Source!I45, 6)*SmtRes!DA88, 2)</f>
        <v>98.2</v>
      </c>
      <c r="P85">
        <f>SmtRes!AG88</f>
        <v>0</v>
      </c>
      <c r="Q85">
        <f>SmtRes!DC88</f>
        <v>0</v>
      </c>
      <c r="R85">
        <f>ROUND(ROUND(Q85*Source!I45, 6)*1, 2)</f>
        <v>0</v>
      </c>
      <c r="S85">
        <f>SmtRes!AC88</f>
        <v>0</v>
      </c>
      <c r="T85">
        <f>ROUND(ROUND(Q85*Source!I45, 6)*SmtRes!AK88, 2)</f>
        <v>0</v>
      </c>
      <c r="U85">
        <f>SmtRes!X88</f>
        <v>546198954</v>
      </c>
      <c r="V85">
        <v>1228628375</v>
      </c>
      <c r="W85">
        <v>1958114800</v>
      </c>
      <c r="X85">
        <v>3</v>
      </c>
    </row>
    <row r="86" spans="1:24" x14ac:dyDescent="0.2">
      <c r="A86">
        <v>20</v>
      </c>
      <c r="B86">
        <v>87</v>
      </c>
      <c r="C86">
        <v>2</v>
      </c>
      <c r="D86">
        <v>0</v>
      </c>
      <c r="E86">
        <f>SmtRes!AV87</f>
        <v>0</v>
      </c>
      <c r="F86" t="str">
        <f>SmtRes!I87</f>
        <v>331451</v>
      </c>
      <c r="G86" t="str">
        <f>SmtRes!K87</f>
        <v>Перфораторы электрические</v>
      </c>
      <c r="H86" t="str">
        <f>SmtRes!O87</f>
        <v>маш.-ч</v>
      </c>
      <c r="I86">
        <f>SmtRes!Y87*Source!I45</f>
        <v>6.08</v>
      </c>
      <c r="J86">
        <f>SmtRes!AO87</f>
        <v>1</v>
      </c>
      <c r="K86">
        <f>SmtRes!AF87</f>
        <v>2.08</v>
      </c>
      <c r="L86">
        <f>SmtRes!DB87</f>
        <v>12.65</v>
      </c>
      <c r="M86">
        <f>ROUND(ROUND(L86*Source!I45, 6)*1, 2)</f>
        <v>12.65</v>
      </c>
      <c r="N86">
        <f>SmtRes!AB87</f>
        <v>31.87</v>
      </c>
      <c r="O86">
        <f>ROUND(ROUND(L86*Source!I45, 6)*SmtRes!DA87, 2)</f>
        <v>193.8</v>
      </c>
      <c r="P86">
        <f>SmtRes!AG87</f>
        <v>0</v>
      </c>
      <c r="Q86">
        <f>SmtRes!DC87</f>
        <v>0</v>
      </c>
      <c r="R86">
        <f>ROUND(ROUND(Q86*Source!I45, 6)*1, 2)</f>
        <v>0</v>
      </c>
      <c r="S86">
        <f>SmtRes!AC87</f>
        <v>0</v>
      </c>
      <c r="T86">
        <f>ROUND(ROUND(Q86*Source!I45, 6)*SmtRes!AK87, 2)</f>
        <v>0</v>
      </c>
      <c r="U86">
        <f>SmtRes!X87</f>
        <v>-991672839</v>
      </c>
      <c r="V86">
        <v>161185725</v>
      </c>
      <c r="W86">
        <v>1430905386</v>
      </c>
      <c r="X86">
        <v>2</v>
      </c>
    </row>
    <row r="87" spans="1:24" x14ac:dyDescent="0.2">
      <c r="A87">
        <v>20</v>
      </c>
      <c r="B87">
        <v>86</v>
      </c>
      <c r="C87">
        <v>2</v>
      </c>
      <c r="D87">
        <v>0</v>
      </c>
      <c r="E87">
        <f>SmtRes!AV86</f>
        <v>0</v>
      </c>
      <c r="F87" t="str">
        <f>SmtRes!I86</f>
        <v>134041</v>
      </c>
      <c r="G87" t="str">
        <f>SmtRes!K86</f>
        <v>Шуруповерт</v>
      </c>
      <c r="H87" t="str">
        <f>SmtRes!O86</f>
        <v>маш.-ч</v>
      </c>
      <c r="I87">
        <f>SmtRes!Y86*Source!I45</f>
        <v>6.08</v>
      </c>
      <c r="J87">
        <f>SmtRes!AO86</f>
        <v>1</v>
      </c>
      <c r="K87">
        <f>SmtRes!AF86</f>
        <v>3</v>
      </c>
      <c r="L87">
        <f>SmtRes!DB86</f>
        <v>18.239999999999998</v>
      </c>
      <c r="M87">
        <f>ROUND(ROUND(L87*Source!I45, 6)*1, 2)</f>
        <v>18.239999999999998</v>
      </c>
      <c r="N87">
        <f>SmtRes!AB86</f>
        <v>12.75</v>
      </c>
      <c r="O87">
        <f>ROUND(ROUND(L87*Source!I45, 6)*SmtRes!DA86, 2)</f>
        <v>77.52</v>
      </c>
      <c r="P87">
        <f>SmtRes!AG86</f>
        <v>0</v>
      </c>
      <c r="Q87">
        <f>SmtRes!DC86</f>
        <v>0</v>
      </c>
      <c r="R87">
        <f>ROUND(ROUND(Q87*Source!I45, 6)*1, 2)</f>
        <v>0</v>
      </c>
      <c r="S87">
        <f>SmtRes!AC86</f>
        <v>0</v>
      </c>
      <c r="T87">
        <f>ROUND(ROUND(Q87*Source!I45, 6)*SmtRes!AK86, 2)</f>
        <v>0</v>
      </c>
      <c r="U87">
        <f>SmtRes!X86</f>
        <v>-1937814132</v>
      </c>
      <c r="V87">
        <v>-1902972565</v>
      </c>
      <c r="W87">
        <v>-418166625</v>
      </c>
      <c r="X87">
        <v>2</v>
      </c>
    </row>
    <row r="88" spans="1:24" x14ac:dyDescent="0.2">
      <c r="A88">
        <v>20</v>
      </c>
      <c r="B88">
        <v>85</v>
      </c>
      <c r="C88">
        <v>2</v>
      </c>
      <c r="D88">
        <v>0</v>
      </c>
      <c r="E88">
        <f>SmtRes!AV85</f>
        <v>0</v>
      </c>
      <c r="F88" t="str">
        <f>SmtRes!I85</f>
        <v>030954</v>
      </c>
      <c r="G88" t="str">
        <f>SmtRes!K85</f>
        <v>Подъемники грузоподъемностью до 500 кг одномачтовые, высота подъема 45 м</v>
      </c>
      <c r="H88" t="str">
        <f>SmtRes!O85</f>
        <v>маш.-ч</v>
      </c>
      <c r="I88">
        <f>SmtRes!Y85*Source!I45</f>
        <v>0.01</v>
      </c>
      <c r="J88">
        <f>SmtRes!AO85</f>
        <v>1</v>
      </c>
      <c r="K88">
        <f>SmtRes!AF85</f>
        <v>31.26</v>
      </c>
      <c r="L88">
        <f>SmtRes!DB85</f>
        <v>0.31</v>
      </c>
      <c r="M88">
        <f>ROUND(ROUND(L88*Source!I45, 6)*1, 2)</f>
        <v>0.31</v>
      </c>
      <c r="N88">
        <f>SmtRes!AB85</f>
        <v>466.71</v>
      </c>
      <c r="O88">
        <f>ROUND(ROUND(L88*Source!I45, 6)*SmtRes!DA85, 2)</f>
        <v>4.63</v>
      </c>
      <c r="P88">
        <f>SmtRes!AG85</f>
        <v>13.5</v>
      </c>
      <c r="Q88">
        <f>SmtRes!DC85</f>
        <v>0.14000000000000001</v>
      </c>
      <c r="R88">
        <f>ROUND(ROUND(Q88*Source!I45, 6)*1, 2)</f>
        <v>0.14000000000000001</v>
      </c>
      <c r="S88">
        <f>SmtRes!AC85</f>
        <v>449.82</v>
      </c>
      <c r="T88">
        <f>ROUND(ROUND(Q88*Source!I45, 6)*SmtRes!AK85, 2)</f>
        <v>4.66</v>
      </c>
      <c r="U88">
        <f>SmtRes!X85</f>
        <v>344519037</v>
      </c>
      <c r="V88">
        <v>-697890227</v>
      </c>
      <c r="W88">
        <v>340087288</v>
      </c>
      <c r="X88">
        <v>2</v>
      </c>
    </row>
    <row r="89" spans="1:24" x14ac:dyDescent="0.2">
      <c r="A89">
        <v>20</v>
      </c>
      <c r="B89">
        <v>83</v>
      </c>
      <c r="C89">
        <v>1</v>
      </c>
      <c r="D89">
        <v>0</v>
      </c>
      <c r="E89">
        <f>SmtRes!AV83</f>
        <v>1</v>
      </c>
      <c r="F89" t="str">
        <f>SmtRes!I83</f>
        <v>1-1039-90</v>
      </c>
      <c r="G89" t="str">
        <f>SmtRes!K83</f>
        <v>Рабочий строитель среднего разряда 3,9</v>
      </c>
      <c r="H89" t="str">
        <f>SmtRes!O83</f>
        <v>чел.-ч</v>
      </c>
      <c r="I89">
        <f>SmtRes!Y83*Source!I45</f>
        <v>16.29</v>
      </c>
      <c r="J89">
        <f>SmtRes!AO83</f>
        <v>1</v>
      </c>
      <c r="K89">
        <f>SmtRes!AH83</f>
        <v>316.89999999999998</v>
      </c>
      <c r="L89">
        <f>SmtRes!DB83</f>
        <v>5162.3</v>
      </c>
      <c r="M89">
        <f>ROUND(ROUND(L89*Source!I45, 6)*1, 2)</f>
        <v>5162.3</v>
      </c>
      <c r="N89">
        <f>SmtRes!AD83</f>
        <v>316.89999999999998</v>
      </c>
      <c r="O89">
        <f>ROUND(ROUND(L89*Source!I45, 6)*SmtRes!DA83, 2)</f>
        <v>5162.3</v>
      </c>
      <c r="P89">
        <f>SmtRes!AG83</f>
        <v>0</v>
      </c>
      <c r="Q89">
        <f>SmtRes!DC83</f>
        <v>0</v>
      </c>
      <c r="R89">
        <f>ROUND(ROUND(Q89*Source!I45, 6)*1, 2)</f>
        <v>0</v>
      </c>
      <c r="S89">
        <f>SmtRes!AC83</f>
        <v>0</v>
      </c>
      <c r="T89">
        <f>ROUND(ROUND(Q89*Source!I45, 6)*SmtRes!AK83, 2)</f>
        <v>0</v>
      </c>
      <c r="U89">
        <f>SmtRes!X83</f>
        <v>-464685602</v>
      </c>
      <c r="V89">
        <v>1673938751</v>
      </c>
      <c r="W89">
        <v>1673938751</v>
      </c>
      <c r="X89">
        <v>1</v>
      </c>
    </row>
    <row r="90" spans="1:24" x14ac:dyDescent="0.2">
      <c r="A90">
        <v>20</v>
      </c>
      <c r="B90">
        <v>96</v>
      </c>
      <c r="C90">
        <v>3</v>
      </c>
      <c r="D90">
        <v>0</v>
      </c>
      <c r="E90">
        <f>SmtRes!AV96</f>
        <v>0</v>
      </c>
      <c r="F90" t="str">
        <f>SmtRes!I96</f>
        <v>999-9950</v>
      </c>
      <c r="G90" t="str">
        <f>SmtRes!K96</f>
        <v>Вспомогательные ненормируемые материалы (2% от ОЗП)</v>
      </c>
      <c r="H90" t="str">
        <f>SmtRes!O96</f>
        <v>РУБ</v>
      </c>
      <c r="I90">
        <f>SmtRes!Y96*Source!I47</f>
        <v>4.3499999999999996</v>
      </c>
      <c r="J90">
        <f>SmtRes!AO96</f>
        <v>1</v>
      </c>
      <c r="K90">
        <f>SmtRes!AE96</f>
        <v>1</v>
      </c>
      <c r="L90">
        <f>SmtRes!DB96</f>
        <v>4.3499999999999996</v>
      </c>
      <c r="M90">
        <f>ROUND(ROUND(L90*Source!I47, 6)*1, 2)</f>
        <v>4.3499999999999996</v>
      </c>
      <c r="N90">
        <f>SmtRes!AA96</f>
        <v>1</v>
      </c>
      <c r="O90">
        <f>ROUND(ROUND(L90*Source!I47, 6)*SmtRes!DA96, 2)</f>
        <v>4.3499999999999996</v>
      </c>
      <c r="P90">
        <f>SmtRes!AG96</f>
        <v>0</v>
      </c>
      <c r="Q90">
        <f>SmtRes!DC96</f>
        <v>0</v>
      </c>
      <c r="R90">
        <f>ROUND(ROUND(Q90*Source!I47, 6)*1, 2)</f>
        <v>0</v>
      </c>
      <c r="S90">
        <f>SmtRes!AC96</f>
        <v>0</v>
      </c>
      <c r="T90">
        <f>ROUND(ROUND(Q90*Source!I47, 6)*SmtRes!AK96, 2)</f>
        <v>0</v>
      </c>
      <c r="U90">
        <f>SmtRes!X96</f>
        <v>-915781824</v>
      </c>
      <c r="V90">
        <v>655047484</v>
      </c>
      <c r="W90">
        <v>655047484</v>
      </c>
      <c r="X90">
        <v>3</v>
      </c>
    </row>
    <row r="91" spans="1:24" x14ac:dyDescent="0.2">
      <c r="A91">
        <v>20</v>
      </c>
      <c r="B91">
        <v>95</v>
      </c>
      <c r="C91">
        <v>2</v>
      </c>
      <c r="D91">
        <v>0</v>
      </c>
      <c r="E91">
        <f>SmtRes!AV95</f>
        <v>0</v>
      </c>
      <c r="F91" t="str">
        <f>SmtRes!I95</f>
        <v>400001</v>
      </c>
      <c r="G91" t="str">
        <f>SmtRes!K95</f>
        <v>Автомобили бортовые, грузоподъемность до 5 т</v>
      </c>
      <c r="H91" t="str">
        <f>SmtRes!O95</f>
        <v>маш.-ч</v>
      </c>
      <c r="I91">
        <f>SmtRes!Y95*Source!I47</f>
        <v>7.3</v>
      </c>
      <c r="J91">
        <f>SmtRes!AO95</f>
        <v>1</v>
      </c>
      <c r="K91">
        <f>SmtRes!AF95</f>
        <v>87.17</v>
      </c>
      <c r="L91">
        <f>SmtRes!DB95</f>
        <v>636.34</v>
      </c>
      <c r="M91">
        <f>ROUND(ROUND(L91*Source!I47, 6)*1, 2)</f>
        <v>636.34</v>
      </c>
      <c r="N91">
        <f>SmtRes!AB95</f>
        <v>932.72</v>
      </c>
      <c r="O91">
        <f>ROUND(ROUND(L91*Source!I47, 6)*SmtRes!DA95, 2)</f>
        <v>6808.84</v>
      </c>
      <c r="P91">
        <f>SmtRes!AG95</f>
        <v>11.6</v>
      </c>
      <c r="Q91">
        <f>SmtRes!DC95</f>
        <v>84.68</v>
      </c>
      <c r="R91">
        <f>ROUND(ROUND(Q91*Source!I47, 6)*1, 2)</f>
        <v>84.68</v>
      </c>
      <c r="S91">
        <f>SmtRes!AC95</f>
        <v>386.51</v>
      </c>
      <c r="T91">
        <f>ROUND(ROUND(Q91*Source!I47, 6)*SmtRes!AK95, 2)</f>
        <v>2821.54</v>
      </c>
      <c r="U91">
        <f>SmtRes!X95</f>
        <v>1230759911</v>
      </c>
      <c r="V91">
        <v>954228560</v>
      </c>
      <c r="W91">
        <v>-345871796</v>
      </c>
      <c r="X91">
        <v>2</v>
      </c>
    </row>
    <row r="92" spans="1:24" x14ac:dyDescent="0.2">
      <c r="A92">
        <v>20</v>
      </c>
      <c r="B92">
        <v>94</v>
      </c>
      <c r="C92">
        <v>2</v>
      </c>
      <c r="D92">
        <v>0</v>
      </c>
      <c r="E92">
        <f>SmtRes!AV94</f>
        <v>0</v>
      </c>
      <c r="F92" t="str">
        <f>SmtRes!I94</f>
        <v>050301</v>
      </c>
      <c r="G92" t="str">
        <f>SmtRes!K94</f>
        <v>Компрессоры самоходные с двигателем внутреннего сгорания давлением 800 кПа (8 ат), производительность 6,3 м3/мин</v>
      </c>
      <c r="H92" t="str">
        <f>SmtRes!O94</f>
        <v>маш.-ч</v>
      </c>
      <c r="I92">
        <f>SmtRes!Y94*Source!I47</f>
        <v>1.43</v>
      </c>
      <c r="J92">
        <f>SmtRes!AO94</f>
        <v>1</v>
      </c>
      <c r="K92">
        <f>SmtRes!AF94</f>
        <v>100</v>
      </c>
      <c r="L92">
        <f>SmtRes!DB94</f>
        <v>143</v>
      </c>
      <c r="M92">
        <f>ROUND(ROUND(L92*Source!I47, 6)*1, 2)</f>
        <v>143</v>
      </c>
      <c r="N92">
        <f>SmtRes!AB94</f>
        <v>853</v>
      </c>
      <c r="O92">
        <f>ROUND(ROUND(L92*Source!I47, 6)*SmtRes!DA94, 2)</f>
        <v>1219.79</v>
      </c>
      <c r="P92">
        <f>SmtRes!AG94</f>
        <v>10.06</v>
      </c>
      <c r="Q92">
        <f>SmtRes!DC94</f>
        <v>14.39</v>
      </c>
      <c r="R92">
        <f>ROUND(ROUND(Q92*Source!I47, 6)*1, 2)</f>
        <v>14.39</v>
      </c>
      <c r="S92">
        <f>SmtRes!AC94</f>
        <v>335.2</v>
      </c>
      <c r="T92">
        <f>ROUND(ROUND(Q92*Source!I47, 6)*SmtRes!AK94, 2)</f>
        <v>479.47</v>
      </c>
      <c r="U92">
        <f>SmtRes!X94</f>
        <v>-713554161</v>
      </c>
      <c r="V92">
        <v>643699729</v>
      </c>
      <c r="W92">
        <v>-839808415</v>
      </c>
      <c r="X92">
        <v>2</v>
      </c>
    </row>
    <row r="93" spans="1:24" x14ac:dyDescent="0.2">
      <c r="A93">
        <v>20</v>
      </c>
      <c r="B93">
        <v>93</v>
      </c>
      <c r="C93">
        <v>2</v>
      </c>
      <c r="D93">
        <v>0</v>
      </c>
      <c r="E93">
        <f>SmtRes!AV93</f>
        <v>0</v>
      </c>
      <c r="F93" t="str">
        <f>SmtRes!I93</f>
        <v>021102</v>
      </c>
      <c r="G93" t="str">
        <f>SmtRes!K93</f>
        <v>Краны на автомобильном ходу при работе на монтаже технологического оборудования 10 т</v>
      </c>
      <c r="H93" t="str">
        <f>SmtRes!O93</f>
        <v>маш.-ч</v>
      </c>
      <c r="I93">
        <f>SmtRes!Y93*Source!I47</f>
        <v>7.3</v>
      </c>
      <c r="J93">
        <f>SmtRes!AO93</f>
        <v>1</v>
      </c>
      <c r="K93">
        <f>SmtRes!AF93</f>
        <v>134.65</v>
      </c>
      <c r="L93">
        <f>SmtRes!DB93</f>
        <v>982.95</v>
      </c>
      <c r="M93">
        <f>ROUND(ROUND(L93*Source!I47, 6)*1, 2)</f>
        <v>982.95</v>
      </c>
      <c r="N93">
        <f>SmtRes!AB93</f>
        <v>1113.56</v>
      </c>
      <c r="O93">
        <f>ROUND(ROUND(L93*Source!I47, 6)*SmtRes!DA93, 2)</f>
        <v>8129</v>
      </c>
      <c r="P93">
        <f>SmtRes!AG93</f>
        <v>13.5</v>
      </c>
      <c r="Q93">
        <f>SmtRes!DC93</f>
        <v>98.55</v>
      </c>
      <c r="R93">
        <f>ROUND(ROUND(Q93*Source!I47, 6)*1, 2)</f>
        <v>98.55</v>
      </c>
      <c r="S93">
        <f>SmtRes!AC93</f>
        <v>449.82</v>
      </c>
      <c r="T93">
        <f>ROUND(ROUND(Q93*Source!I47, 6)*SmtRes!AK93, 2)</f>
        <v>3283.69</v>
      </c>
      <c r="U93">
        <f>SmtRes!X93</f>
        <v>783836208</v>
      </c>
      <c r="V93">
        <v>1614640909</v>
      </c>
      <c r="W93">
        <v>-7703350</v>
      </c>
      <c r="X93">
        <v>2</v>
      </c>
    </row>
    <row r="94" spans="1:24" x14ac:dyDescent="0.2">
      <c r="A94">
        <v>20</v>
      </c>
      <c r="B94">
        <v>91</v>
      </c>
      <c r="C94">
        <v>1</v>
      </c>
      <c r="D94">
        <v>0</v>
      </c>
      <c r="E94">
        <f>SmtRes!AV91</f>
        <v>1</v>
      </c>
      <c r="F94" t="str">
        <f>SmtRes!I91</f>
        <v>1-2040-90</v>
      </c>
      <c r="G94" t="str">
        <f>SmtRes!K91</f>
        <v>Рабочий монтажник среднего разряда 4</v>
      </c>
      <c r="H94" t="str">
        <f>SmtRes!O91</f>
        <v>чел.-ч</v>
      </c>
      <c r="I94">
        <f>SmtRes!Y91*Source!I47</f>
        <v>22.6</v>
      </c>
      <c r="J94">
        <f>SmtRes!AO91</f>
        <v>1</v>
      </c>
      <c r="K94">
        <f>SmtRes!AH91</f>
        <v>320.57</v>
      </c>
      <c r="L94">
        <f>SmtRes!DB91</f>
        <v>7244.88</v>
      </c>
      <c r="M94">
        <f>ROUND(ROUND(L94*Source!I47, 6)*1, 2)</f>
        <v>7244.88</v>
      </c>
      <c r="N94">
        <f>SmtRes!AD91</f>
        <v>320.57</v>
      </c>
      <c r="O94">
        <f>ROUND(ROUND(L94*Source!I47, 6)*SmtRes!DA91, 2)</f>
        <v>7244.88</v>
      </c>
      <c r="P94">
        <f>SmtRes!AG91</f>
        <v>0</v>
      </c>
      <c r="Q94">
        <f>SmtRes!DC91</f>
        <v>0</v>
      </c>
      <c r="R94">
        <f>ROUND(ROUND(Q94*Source!I47, 6)*1, 2)</f>
        <v>0</v>
      </c>
      <c r="S94">
        <f>SmtRes!AC91</f>
        <v>0</v>
      </c>
      <c r="T94">
        <f>ROUND(ROUND(Q94*Source!I47, 6)*SmtRes!AK91, 2)</f>
        <v>0</v>
      </c>
      <c r="U94">
        <f>SmtRes!X91</f>
        <v>604758886</v>
      </c>
      <c r="V94">
        <v>421106553</v>
      </c>
      <c r="W94">
        <v>421106553</v>
      </c>
      <c r="X94">
        <v>1</v>
      </c>
    </row>
    <row r="95" spans="1:24" x14ac:dyDescent="0.2">
      <c r="A95">
        <v>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73"/>
  <sheetViews>
    <sheetView workbookViewId="0"/>
  </sheetViews>
  <sheetFormatPr defaultRowHeight="12.75" x14ac:dyDescent="0.2"/>
  <cols>
    <col min="1" max="1" width="12.7109375" customWidth="1"/>
    <col min="2" max="2" width="40.7109375" customWidth="1"/>
    <col min="3" max="6" width="12.7109375" customWidth="1"/>
    <col min="35" max="38" width="0" hidden="1" customWidth="1"/>
  </cols>
  <sheetData>
    <row r="2" spans="1:37" ht="16.5" x14ac:dyDescent="0.2">
      <c r="A2" s="89" t="s">
        <v>536</v>
      </c>
      <c r="B2" s="90"/>
      <c r="C2" s="90"/>
      <c r="D2" s="90"/>
      <c r="E2" s="90"/>
      <c r="F2" s="90"/>
    </row>
    <row r="3" spans="1:37" ht="16.5" x14ac:dyDescent="0.2">
      <c r="A3" s="89" t="str">
        <f>CONCATENATE("Объект: ",IF(Source!G80&lt;&gt;"Новый объект", Source!G80, ""))</f>
        <v>Объект: МОСП ул.Щепкина д.61/2_(Монтаж)</v>
      </c>
      <c r="B3" s="90"/>
      <c r="C3" s="90"/>
      <c r="D3" s="90"/>
      <c r="E3" s="90"/>
      <c r="F3" s="90"/>
    </row>
    <row r="4" spans="1:37" x14ac:dyDescent="0.2">
      <c r="A4" s="91" t="s">
        <v>537</v>
      </c>
      <c r="B4" s="91" t="s">
        <v>538</v>
      </c>
      <c r="C4" s="91" t="s">
        <v>539</v>
      </c>
      <c r="D4" s="91" t="s">
        <v>540</v>
      </c>
      <c r="E4" s="94" t="s">
        <v>541</v>
      </c>
      <c r="F4" s="95"/>
    </row>
    <row r="5" spans="1:37" x14ac:dyDescent="0.2">
      <c r="A5" s="92"/>
      <c r="B5" s="92"/>
      <c r="C5" s="92"/>
      <c r="D5" s="92"/>
      <c r="E5" s="96"/>
      <c r="F5" s="97"/>
    </row>
    <row r="6" spans="1:37" ht="14.25" x14ac:dyDescent="0.2">
      <c r="A6" s="93"/>
      <c r="B6" s="93"/>
      <c r="C6" s="93"/>
      <c r="D6" s="93"/>
      <c r="E6" s="23" t="s">
        <v>542</v>
      </c>
      <c r="F6" s="23" t="s">
        <v>543</v>
      </c>
    </row>
    <row r="7" spans="1:37" ht="14.25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</row>
    <row r="8" spans="1:37" ht="16.5" x14ac:dyDescent="0.2">
      <c r="A8" s="89" t="str">
        <f>CONCATENATE("Локальная смета: ",IF(Source!G22&lt;&gt;"Новая локальная смета", Source!G22, ""))</f>
        <v xml:space="preserve">Локальная смета: </v>
      </c>
      <c r="B8" s="90"/>
      <c r="C8" s="90"/>
      <c r="D8" s="90"/>
      <c r="E8" s="90"/>
      <c r="F8" s="90"/>
    </row>
    <row r="9" spans="1:37" ht="14.25" x14ac:dyDescent="0.2">
      <c r="A9" s="85" t="s">
        <v>544</v>
      </c>
      <c r="B9" s="86"/>
      <c r="C9" s="86"/>
      <c r="D9" s="86"/>
      <c r="E9" s="86"/>
      <c r="F9" s="86"/>
    </row>
    <row r="10" spans="1:37" ht="14.25" x14ac:dyDescent="0.2">
      <c r="A10" s="52" t="s">
        <v>391</v>
      </c>
      <c r="B10" s="53" t="s">
        <v>392</v>
      </c>
      <c r="C10" s="53" t="s">
        <v>271</v>
      </c>
      <c r="D10" s="54">
        <f>ROUND(SUMIF(RV_DATA!V7:'RV_DATA'!V94, -1291506567, RV_DATA!I7:'RV_DATA'!I94), 6)</f>
        <v>0.30280000000000001</v>
      </c>
      <c r="E10" s="55">
        <f>ROUND(RV_DATA!K69, 6)</f>
        <v>284.25</v>
      </c>
      <c r="F10" s="55">
        <f>ROUND(SUMIF(RV_DATA!V7:'RV_DATA'!V94, -1291506567, RV_DATA!M7:'RV_DATA'!M94), 6)</f>
        <v>86.07</v>
      </c>
      <c r="AK10">
        <v>1</v>
      </c>
    </row>
    <row r="11" spans="1:37" ht="28.5" x14ac:dyDescent="0.2">
      <c r="A11" s="52" t="s">
        <v>428</v>
      </c>
      <c r="B11" s="53" t="s">
        <v>429</v>
      </c>
      <c r="C11" s="53" t="s">
        <v>271</v>
      </c>
      <c r="D11" s="54">
        <f>ROUND(SUMIF(RV_DATA!V7:'RV_DATA'!V94, 1673938751, RV_DATA!I7:'RV_DATA'!I94), 6)</f>
        <v>16.29</v>
      </c>
      <c r="E11" s="55">
        <f>ROUND(RV_DATA!K89, 6)</f>
        <v>316.89999999999998</v>
      </c>
      <c r="F11" s="55">
        <f>ROUND(SUMIF(RV_DATA!V7:'RV_DATA'!V94, 1673938751, RV_DATA!M7:'RV_DATA'!M94), 6)</f>
        <v>5162.3</v>
      </c>
      <c r="AK11">
        <v>1</v>
      </c>
    </row>
    <row r="12" spans="1:37" ht="14.25" x14ac:dyDescent="0.2">
      <c r="A12" s="52" t="s">
        <v>396</v>
      </c>
      <c r="B12" s="53" t="s">
        <v>397</v>
      </c>
      <c r="C12" s="53" t="s">
        <v>271</v>
      </c>
      <c r="D12" s="54">
        <f>ROUND(SUMIF(RV_DATA!V7:'RV_DATA'!V94, -1317449177, RV_DATA!I7:'RV_DATA'!I94), 6)</f>
        <v>0.37915500000000002</v>
      </c>
      <c r="E12" s="55">
        <f>ROUND(RV_DATA!K82, 6)</f>
        <v>320.57</v>
      </c>
      <c r="F12" s="55">
        <f>ROUND(SUMIF(RV_DATA!V7:'RV_DATA'!V94, -1317449177, RV_DATA!M7:'RV_DATA'!M94), 6)</f>
        <v>121.55</v>
      </c>
      <c r="AK12">
        <v>1</v>
      </c>
    </row>
    <row r="13" spans="1:37" ht="28.5" x14ac:dyDescent="0.2">
      <c r="A13" s="52" t="s">
        <v>269</v>
      </c>
      <c r="B13" s="53" t="s">
        <v>270</v>
      </c>
      <c r="C13" s="53" t="s">
        <v>271</v>
      </c>
      <c r="D13" s="54">
        <f>ROUND(SUMIF(RV_DATA!V7:'RV_DATA'!V94, -502017451, RV_DATA!I7:'RV_DATA'!I94), 6)</f>
        <v>24.72</v>
      </c>
      <c r="E13" s="55">
        <f>ROUND(RV_DATA!K8, 6)</f>
        <v>284.25</v>
      </c>
      <c r="F13" s="55">
        <f>ROUND(SUMIF(RV_DATA!V7:'RV_DATA'!V94, -502017451, RV_DATA!M7:'RV_DATA'!M94), 6)</f>
        <v>7026.66</v>
      </c>
      <c r="AK13">
        <v>1</v>
      </c>
    </row>
    <row r="14" spans="1:37" ht="28.5" x14ac:dyDescent="0.2">
      <c r="A14" s="52" t="s">
        <v>324</v>
      </c>
      <c r="B14" s="53" t="s">
        <v>325</v>
      </c>
      <c r="C14" s="53" t="s">
        <v>271</v>
      </c>
      <c r="D14" s="54">
        <f>ROUND(SUMIF(RV_DATA!V7:'RV_DATA'!V94, -674578731, RV_DATA!I7:'RV_DATA'!I94), 6)</f>
        <v>3.2320000000000002</v>
      </c>
      <c r="E14" s="55">
        <f>ROUND(RV_DATA!K41, 6)</f>
        <v>313.24</v>
      </c>
      <c r="F14" s="55">
        <f>ROUND(SUMIF(RV_DATA!V7:'RV_DATA'!V94, -674578731, RV_DATA!M7:'RV_DATA'!M94), 6)</f>
        <v>1012.39</v>
      </c>
      <c r="AK14">
        <v>1</v>
      </c>
    </row>
    <row r="15" spans="1:37" ht="28.5" x14ac:dyDescent="0.2">
      <c r="A15" s="52" t="s">
        <v>309</v>
      </c>
      <c r="B15" s="53" t="s">
        <v>310</v>
      </c>
      <c r="C15" s="53" t="s">
        <v>271</v>
      </c>
      <c r="D15" s="54">
        <f>ROUND(SUMIF(RV_DATA!V7:'RV_DATA'!V94, 421106553, RV_DATA!I7:'RV_DATA'!I94), 6)</f>
        <v>113.19</v>
      </c>
      <c r="E15" s="55">
        <f>ROUND(RV_DATA!K30, 6)</f>
        <v>320.57</v>
      </c>
      <c r="F15" s="55">
        <f>ROUND(SUMIF(RV_DATA!V7:'RV_DATA'!V94, 421106553, RV_DATA!M7:'RV_DATA'!M94), 6)</f>
        <v>36285.32</v>
      </c>
      <c r="AK15">
        <v>1</v>
      </c>
    </row>
    <row r="16" spans="1:37" ht="28.5" x14ac:dyDescent="0.2">
      <c r="A16" s="52" t="s">
        <v>276</v>
      </c>
      <c r="B16" s="53" t="s">
        <v>277</v>
      </c>
      <c r="C16" s="53" t="s">
        <v>271</v>
      </c>
      <c r="D16" s="54">
        <f>ROUND(SUMIF(RV_DATA!V7:'RV_DATA'!V94, -638174277, RV_DATA!I7:'RV_DATA'!I94), 6)</f>
        <v>3.4</v>
      </c>
      <c r="E16" s="55">
        <f>ROUND(RV_DATA!K11, 6)</f>
        <v>330.57</v>
      </c>
      <c r="F16" s="55">
        <f>ROUND(SUMIF(RV_DATA!V7:'RV_DATA'!V94, -638174277, RV_DATA!M7:'RV_DATA'!M94), 6)</f>
        <v>1123.94</v>
      </c>
      <c r="AK16">
        <v>1</v>
      </c>
    </row>
    <row r="17" spans="1:37" ht="28.5" x14ac:dyDescent="0.2">
      <c r="A17" s="52" t="s">
        <v>344</v>
      </c>
      <c r="B17" s="53" t="s">
        <v>345</v>
      </c>
      <c r="C17" s="53" t="s">
        <v>271</v>
      </c>
      <c r="D17" s="54">
        <f>ROUND(SUMIF(RV_DATA!V7:'RV_DATA'!V94, -1011627811, RV_DATA!I7:'RV_DATA'!I94), 6)</f>
        <v>10.1</v>
      </c>
      <c r="E17" s="55">
        <f>ROUND(RV_DATA!K56, 6)</f>
        <v>369.56</v>
      </c>
      <c r="F17" s="55">
        <f>ROUND(SUMIF(RV_DATA!V7:'RV_DATA'!V94, -1011627811, RV_DATA!M7:'RV_DATA'!M94), 6)</f>
        <v>3732.56</v>
      </c>
      <c r="AK17">
        <v>1</v>
      </c>
    </row>
    <row r="18" spans="1:37" ht="15" x14ac:dyDescent="0.25">
      <c r="A18" s="87" t="s">
        <v>545</v>
      </c>
      <c r="B18" s="87"/>
      <c r="C18" s="87"/>
      <c r="D18" s="87"/>
      <c r="E18" s="88">
        <f>SUMIF(AK10:AK17, 1, F10:F17)</f>
        <v>54550.79</v>
      </c>
      <c r="F18" s="88"/>
    </row>
    <row r="19" spans="1:37" ht="14.25" x14ac:dyDescent="0.2">
      <c r="A19" s="85" t="s">
        <v>546</v>
      </c>
      <c r="B19" s="86"/>
      <c r="C19" s="86"/>
      <c r="D19" s="86"/>
      <c r="E19" s="86"/>
      <c r="F19" s="86"/>
    </row>
    <row r="20" spans="1:37" ht="28.5" x14ac:dyDescent="0.2">
      <c r="A20" s="52" t="s">
        <v>398</v>
      </c>
      <c r="B20" s="53" t="s">
        <v>400</v>
      </c>
      <c r="C20" s="53" t="s">
        <v>287</v>
      </c>
      <c r="D20" s="54">
        <f>ROUND(SUMIF(RV_DATA!V7:'RV_DATA'!V94, -310620260, RV_DATA!I7:'RV_DATA'!I94), 6)</f>
        <v>1E-3</v>
      </c>
      <c r="E20" s="55">
        <f>ROUND(RV_DATA!K81, 6)</f>
        <v>86.4</v>
      </c>
      <c r="F20" s="55">
        <f>ROUND(SUMIF(RV_DATA!V7:'RV_DATA'!V94, -310620260, RV_DATA!M7:'RV_DATA'!M94), 6)</f>
        <v>0.09</v>
      </c>
      <c r="AK20">
        <v>2</v>
      </c>
    </row>
    <row r="21" spans="1:37" ht="42.75" x14ac:dyDescent="0.2">
      <c r="A21" s="52" t="s">
        <v>284</v>
      </c>
      <c r="B21" s="53" t="s">
        <v>286</v>
      </c>
      <c r="C21" s="53" t="s">
        <v>287</v>
      </c>
      <c r="D21" s="54">
        <f>ROUND(SUMIF(RV_DATA!V7:'RV_DATA'!V94, 1614640909, RV_DATA!I7:'RV_DATA'!I94), 6)</f>
        <v>8.4255999999999993</v>
      </c>
      <c r="E21" s="55">
        <f>ROUND(RV_DATA!K20, 6)</f>
        <v>134.65</v>
      </c>
      <c r="F21" s="55">
        <f>ROUND(SUMIF(RV_DATA!V7:'RV_DATA'!V94, 1614640909, RV_DATA!M7:'RV_DATA'!M94), 6)</f>
        <v>1134.52</v>
      </c>
      <c r="AK21">
        <v>2</v>
      </c>
    </row>
    <row r="22" spans="1:37" ht="42.75" x14ac:dyDescent="0.2">
      <c r="A22" s="52" t="s">
        <v>401</v>
      </c>
      <c r="B22" s="53" t="s">
        <v>403</v>
      </c>
      <c r="C22" s="53" t="s">
        <v>287</v>
      </c>
      <c r="D22" s="54">
        <f>ROUND(SUMIF(RV_DATA!V7:'RV_DATA'!V94, 1362198928, RV_DATA!I7:'RV_DATA'!I94), 6)</f>
        <v>8.7500000000000002E-4</v>
      </c>
      <c r="E22" s="55">
        <f>ROUND(RV_DATA!K80, 6)</f>
        <v>112</v>
      </c>
      <c r="F22" s="55">
        <f>ROUND(SUMIF(RV_DATA!V7:'RV_DATA'!V94, 1362198928, RV_DATA!M7:'RV_DATA'!M94), 6)</f>
        <v>0.1</v>
      </c>
      <c r="AK22">
        <v>2</v>
      </c>
    </row>
    <row r="23" spans="1:37" ht="14.25" x14ac:dyDescent="0.2">
      <c r="A23" s="52" t="s">
        <v>346</v>
      </c>
      <c r="B23" s="53" t="s">
        <v>348</v>
      </c>
      <c r="C23" s="53" t="s">
        <v>287</v>
      </c>
      <c r="D23" s="54">
        <f>ROUND(SUMIF(RV_DATA!V7:'RV_DATA'!V94, 1920795993, RV_DATA!I7:'RV_DATA'!I94), 6)</f>
        <v>0.44</v>
      </c>
      <c r="E23" s="55">
        <f>ROUND(RV_DATA!K55, 6)</f>
        <v>99.89</v>
      </c>
      <c r="F23" s="55">
        <f>ROUND(SUMIF(RV_DATA!V7:'RV_DATA'!V94, 1920795993, RV_DATA!M7:'RV_DATA'!M94), 6)</f>
        <v>43.95</v>
      </c>
      <c r="AK23">
        <v>2</v>
      </c>
    </row>
    <row r="24" spans="1:37" ht="28.5" x14ac:dyDescent="0.2">
      <c r="A24" s="52" t="s">
        <v>379</v>
      </c>
      <c r="B24" s="53" t="s">
        <v>381</v>
      </c>
      <c r="C24" s="53" t="s">
        <v>287</v>
      </c>
      <c r="D24" s="54">
        <f>ROUND(SUMIF(RV_DATA!V7:'RV_DATA'!V94, -2023178523, RV_DATA!I7:'RV_DATA'!I94), 6)</f>
        <v>3.89</v>
      </c>
      <c r="E24" s="55">
        <f>ROUND(RV_DATA!K65, 6)</f>
        <v>6.66</v>
      </c>
      <c r="F24" s="55">
        <f>ROUND(SUMIF(RV_DATA!V7:'RV_DATA'!V94, -2023178523, RV_DATA!M7:'RV_DATA'!M94), 6)</f>
        <v>25.91</v>
      </c>
      <c r="AK24">
        <v>2</v>
      </c>
    </row>
    <row r="25" spans="1:37" ht="42.75" x14ac:dyDescent="0.2">
      <c r="A25" s="52" t="s">
        <v>430</v>
      </c>
      <c r="B25" s="53" t="s">
        <v>432</v>
      </c>
      <c r="C25" s="53" t="s">
        <v>287</v>
      </c>
      <c r="D25" s="54">
        <f>ROUND(SUMIF(RV_DATA!V7:'RV_DATA'!V94, -697890227, RV_DATA!I7:'RV_DATA'!I94), 6)</f>
        <v>0.01</v>
      </c>
      <c r="E25" s="55">
        <f>ROUND(RV_DATA!K88, 6)</f>
        <v>31.26</v>
      </c>
      <c r="F25" s="55">
        <f>ROUND(SUMIF(RV_DATA!V7:'RV_DATA'!V94, -697890227, RV_DATA!M7:'RV_DATA'!M94), 6)</f>
        <v>0.31</v>
      </c>
      <c r="AK25">
        <v>2</v>
      </c>
    </row>
    <row r="26" spans="1:37" ht="28.5" x14ac:dyDescent="0.2">
      <c r="A26" s="52" t="s">
        <v>288</v>
      </c>
      <c r="B26" s="53" t="s">
        <v>290</v>
      </c>
      <c r="C26" s="53" t="s">
        <v>287</v>
      </c>
      <c r="D26" s="54">
        <f>ROUND(SUMIF(RV_DATA!V7:'RV_DATA'!V94, 926134271, RV_DATA!I7:'RV_DATA'!I94), 6)</f>
        <v>0.71</v>
      </c>
      <c r="E26" s="55">
        <f>ROUND(RV_DATA!K19, 6)</f>
        <v>8.1</v>
      </c>
      <c r="F26" s="55">
        <f>ROUND(SUMIF(RV_DATA!V7:'RV_DATA'!V94, 926134271, RV_DATA!M7:'RV_DATA'!M94), 6)</f>
        <v>5.75</v>
      </c>
      <c r="AK26">
        <v>2</v>
      </c>
    </row>
    <row r="27" spans="1:37" ht="14.25" x14ac:dyDescent="0.2">
      <c r="A27" s="52" t="s">
        <v>404</v>
      </c>
      <c r="B27" s="53" t="s">
        <v>406</v>
      </c>
      <c r="C27" s="53" t="s">
        <v>287</v>
      </c>
      <c r="D27" s="54">
        <f>ROUND(SUMIF(RV_DATA!V7:'RV_DATA'!V94, -346845129, RV_DATA!I7:'RV_DATA'!I94), 6)</f>
        <v>1.4375000000000001E-2</v>
      </c>
      <c r="E27" s="55">
        <f>ROUND(RV_DATA!K79, 6)</f>
        <v>1.2</v>
      </c>
      <c r="F27" s="55">
        <f>ROUND(SUMIF(RV_DATA!V7:'RV_DATA'!V94, -346845129, RV_DATA!M7:'RV_DATA'!M94), 6)</f>
        <v>0.02</v>
      </c>
      <c r="AK27">
        <v>2</v>
      </c>
    </row>
    <row r="28" spans="1:37" ht="57" x14ac:dyDescent="0.2">
      <c r="A28" s="52" t="s">
        <v>291</v>
      </c>
      <c r="B28" s="53" t="s">
        <v>293</v>
      </c>
      <c r="C28" s="53" t="s">
        <v>287</v>
      </c>
      <c r="D28" s="54">
        <f>ROUND(SUMIF(RV_DATA!V7:'RV_DATA'!V94, -1310428678, RV_DATA!I7:'RV_DATA'!I94), 6)</f>
        <v>0.22</v>
      </c>
      <c r="E28" s="55">
        <f>ROUND(RV_DATA!K18, 6)</f>
        <v>46.56</v>
      </c>
      <c r="F28" s="55">
        <f>ROUND(SUMIF(RV_DATA!V7:'RV_DATA'!V94, -1310428678, RV_DATA!M7:'RV_DATA'!M94), 6)</f>
        <v>10.24</v>
      </c>
      <c r="AK28">
        <v>2</v>
      </c>
    </row>
    <row r="29" spans="1:37" ht="57" x14ac:dyDescent="0.2">
      <c r="A29" s="52" t="s">
        <v>446</v>
      </c>
      <c r="B29" s="53" t="s">
        <v>448</v>
      </c>
      <c r="C29" s="53" t="s">
        <v>287</v>
      </c>
      <c r="D29" s="54">
        <f>ROUND(SUMIF(RV_DATA!V7:'RV_DATA'!V94, 643699729, RV_DATA!I7:'RV_DATA'!I94), 6)</f>
        <v>1.43</v>
      </c>
      <c r="E29" s="55">
        <f>ROUND(RV_DATA!K92, 6)</f>
        <v>100</v>
      </c>
      <c r="F29" s="55">
        <f>ROUND(SUMIF(RV_DATA!V7:'RV_DATA'!V94, 643699729, RV_DATA!M7:'RV_DATA'!M94), 6)</f>
        <v>143</v>
      </c>
      <c r="AK29">
        <v>2</v>
      </c>
    </row>
    <row r="30" spans="1:37" ht="42.75" x14ac:dyDescent="0.2">
      <c r="A30" s="52" t="s">
        <v>294</v>
      </c>
      <c r="B30" s="53" t="s">
        <v>296</v>
      </c>
      <c r="C30" s="53" t="s">
        <v>287</v>
      </c>
      <c r="D30" s="54">
        <f>ROUND(SUMIF(RV_DATA!V7:'RV_DATA'!V94, 414842604, RV_DATA!I7:'RV_DATA'!I94), 6)</f>
        <v>0.22</v>
      </c>
      <c r="E30" s="55">
        <f>ROUND(RV_DATA!K17, 6)</f>
        <v>2.99</v>
      </c>
      <c r="F30" s="55">
        <f>ROUND(SUMIF(RV_DATA!V7:'RV_DATA'!V94, 414842604, RV_DATA!M7:'RV_DATA'!M94), 6)</f>
        <v>0.66</v>
      </c>
      <c r="AK30">
        <v>2</v>
      </c>
    </row>
    <row r="31" spans="1:37" ht="14.25" x14ac:dyDescent="0.2">
      <c r="A31" s="52" t="s">
        <v>433</v>
      </c>
      <c r="B31" s="53" t="s">
        <v>435</v>
      </c>
      <c r="C31" s="53" t="s">
        <v>287</v>
      </c>
      <c r="D31" s="54">
        <f>ROUND(SUMIF(RV_DATA!V7:'RV_DATA'!V94, -1902972565, RV_DATA!I7:'RV_DATA'!I94), 6)</f>
        <v>6.08</v>
      </c>
      <c r="E31" s="55">
        <f>ROUND(RV_DATA!K87, 6)</f>
        <v>3</v>
      </c>
      <c r="F31" s="55">
        <f>ROUND(SUMIF(RV_DATA!V7:'RV_DATA'!V94, -1902972565, RV_DATA!M7:'RV_DATA'!M94), 6)</f>
        <v>18.239999999999998</v>
      </c>
      <c r="AK31">
        <v>2</v>
      </c>
    </row>
    <row r="32" spans="1:37" ht="28.5" x14ac:dyDescent="0.2">
      <c r="A32" s="52" t="s">
        <v>382</v>
      </c>
      <c r="B32" s="53" t="s">
        <v>384</v>
      </c>
      <c r="C32" s="53" t="s">
        <v>287</v>
      </c>
      <c r="D32" s="54">
        <f>ROUND(SUMIF(RV_DATA!V7:'RV_DATA'!V94, 207741250, RV_DATA!I7:'RV_DATA'!I94), 6)</f>
        <v>0.51</v>
      </c>
      <c r="E32" s="55">
        <f>ROUND(RV_DATA!K64, 6)</f>
        <v>91.83</v>
      </c>
      <c r="F32" s="55">
        <f>ROUND(SUMIF(RV_DATA!V7:'RV_DATA'!V94, 207741250, RV_DATA!M7:'RV_DATA'!M94), 6)</f>
        <v>46.83</v>
      </c>
      <c r="AK32">
        <v>2</v>
      </c>
    </row>
    <row r="33" spans="1:37" ht="14.25" x14ac:dyDescent="0.2">
      <c r="A33" s="52" t="s">
        <v>436</v>
      </c>
      <c r="B33" s="53" t="s">
        <v>438</v>
      </c>
      <c r="C33" s="53" t="s">
        <v>287</v>
      </c>
      <c r="D33" s="54">
        <f>ROUND(SUMIF(RV_DATA!V7:'RV_DATA'!V94, 161185725, RV_DATA!I7:'RV_DATA'!I94), 6)</f>
        <v>6.08</v>
      </c>
      <c r="E33" s="55">
        <f>ROUND(RV_DATA!K86, 6)</f>
        <v>2.08</v>
      </c>
      <c r="F33" s="55">
        <f>ROUND(SUMIF(RV_DATA!V7:'RV_DATA'!V94, 161185725, RV_DATA!M7:'RV_DATA'!M94), 6)</f>
        <v>12.65</v>
      </c>
      <c r="AK33">
        <v>2</v>
      </c>
    </row>
    <row r="34" spans="1:37" ht="42.75" x14ac:dyDescent="0.2">
      <c r="A34" s="52" t="s">
        <v>393</v>
      </c>
      <c r="B34" s="53" t="s">
        <v>395</v>
      </c>
      <c r="C34" s="53" t="s">
        <v>287</v>
      </c>
      <c r="D34" s="54">
        <f>ROUND(SUMIF(RV_DATA!V7:'RV_DATA'!V94, 1933853453, RV_DATA!I7:'RV_DATA'!I94), 6)</f>
        <v>0.2364</v>
      </c>
      <c r="E34" s="55">
        <f>ROUND(RV_DATA!K68, 6)</f>
        <v>26.26</v>
      </c>
      <c r="F34" s="55">
        <f>ROUND(SUMIF(RV_DATA!V7:'RV_DATA'!V94, 1933853453, RV_DATA!M7:'RV_DATA'!M94), 6)</f>
        <v>6.21</v>
      </c>
      <c r="AK34">
        <v>2</v>
      </c>
    </row>
    <row r="35" spans="1:37" ht="28.5" x14ac:dyDescent="0.2">
      <c r="A35" s="52" t="s">
        <v>297</v>
      </c>
      <c r="B35" s="53" t="s">
        <v>299</v>
      </c>
      <c r="C35" s="53" t="s">
        <v>287</v>
      </c>
      <c r="D35" s="54">
        <f>ROUND(SUMIF(RV_DATA!V7:'RV_DATA'!V94, 954228560, RV_DATA!I7:'RV_DATA'!I94), 6)</f>
        <v>8.4299750000000007</v>
      </c>
      <c r="E35" s="55">
        <f>ROUND(RV_DATA!K16, 6)</f>
        <v>87.17</v>
      </c>
      <c r="F35" s="55">
        <f>ROUND(SUMIF(RV_DATA!V7:'RV_DATA'!V94, 954228560, RV_DATA!M7:'RV_DATA'!M94), 6)</f>
        <v>734.84</v>
      </c>
      <c r="AK35">
        <v>2</v>
      </c>
    </row>
    <row r="36" spans="1:37" ht="15" x14ac:dyDescent="0.25">
      <c r="A36" s="87" t="s">
        <v>547</v>
      </c>
      <c r="B36" s="87"/>
      <c r="C36" s="87"/>
      <c r="D36" s="87"/>
      <c r="E36" s="88">
        <f>SUMIF(AK20:AK35, 2, F20:F35)</f>
        <v>2183.3200000000002</v>
      </c>
      <c r="F36" s="88"/>
    </row>
    <row r="37" spans="1:37" ht="14.25" x14ac:dyDescent="0.2">
      <c r="A37" s="85" t="s">
        <v>548</v>
      </c>
      <c r="B37" s="86"/>
      <c r="C37" s="86"/>
      <c r="D37" s="86"/>
      <c r="E37" s="86"/>
      <c r="F37" s="86"/>
    </row>
    <row r="38" spans="1:37" ht="28.5" x14ac:dyDescent="0.2">
      <c r="A38" s="52" t="s">
        <v>407</v>
      </c>
      <c r="B38" s="53" t="s">
        <v>409</v>
      </c>
      <c r="C38" s="53" t="s">
        <v>134</v>
      </c>
      <c r="D38" s="54">
        <f>ROUND(SUMIF(RV_DATA!V7:'RV_DATA'!V94, 1473041922, RV_DATA!I7:'RV_DATA'!I94), 6)</f>
        <v>9.9999999999999995E-7</v>
      </c>
      <c r="E38" s="55">
        <f>ROUND(RV_DATA!K77, 6)</f>
        <v>32830.01</v>
      </c>
      <c r="F38" s="55">
        <f>ROUND(SUMIF(RV_DATA!V7:'RV_DATA'!V94, 1473041922, RV_DATA!M7:'RV_DATA'!M94), 6)</f>
        <v>0.04</v>
      </c>
      <c r="AK38">
        <v>3</v>
      </c>
    </row>
    <row r="39" spans="1:37" ht="14.25" x14ac:dyDescent="0.2">
      <c r="A39" s="52" t="s">
        <v>311</v>
      </c>
      <c r="B39" s="53" t="s">
        <v>313</v>
      </c>
      <c r="C39" s="53" t="s">
        <v>134</v>
      </c>
      <c r="D39" s="54">
        <f>ROUND(SUMIF(RV_DATA!V7:'RV_DATA'!V94, 442479961, RV_DATA!I7:'RV_DATA'!I94), 6)</f>
        <v>2.0999999999999999E-5</v>
      </c>
      <c r="E39" s="55">
        <f>ROUND(RV_DATA!K27, 6)</f>
        <v>24599.99</v>
      </c>
      <c r="F39" s="55">
        <f>ROUND(SUMIF(RV_DATA!V7:'RV_DATA'!V94, 442479961, RV_DATA!M7:'RV_DATA'!M94), 6)</f>
        <v>0.51</v>
      </c>
      <c r="AK39">
        <v>3</v>
      </c>
    </row>
    <row r="40" spans="1:37" ht="28.5" x14ac:dyDescent="0.2">
      <c r="A40" s="52" t="s">
        <v>326</v>
      </c>
      <c r="B40" s="53" t="s">
        <v>328</v>
      </c>
      <c r="C40" s="53" t="s">
        <v>134</v>
      </c>
      <c r="D40" s="54">
        <f>ROUND(SUMIF(RV_DATA!V7:'RV_DATA'!V94, 214565021, RV_DATA!I7:'RV_DATA'!I94), 6)</f>
        <v>6.6000000000000005E-5</v>
      </c>
      <c r="E40" s="55">
        <f>ROUND(RV_DATA!K38, 6)</f>
        <v>19800.009999999998</v>
      </c>
      <c r="F40" s="55">
        <f>ROUND(SUMIF(RV_DATA!V7:'RV_DATA'!V94, 214565021, RV_DATA!M7:'RV_DATA'!M94), 6)</f>
        <v>1.31</v>
      </c>
      <c r="AK40">
        <v>3</v>
      </c>
    </row>
    <row r="41" spans="1:37" ht="14.25" x14ac:dyDescent="0.2">
      <c r="A41" s="52" t="s">
        <v>314</v>
      </c>
      <c r="B41" s="53" t="s">
        <v>316</v>
      </c>
      <c r="C41" s="53" t="s">
        <v>317</v>
      </c>
      <c r="D41" s="54">
        <f>ROUND(SUMIF(RV_DATA!V7:'RV_DATA'!V94, -540365543, RV_DATA!I7:'RV_DATA'!I94), 6)</f>
        <v>0.56481000000000003</v>
      </c>
      <c r="E41" s="55">
        <f>ROUND(RV_DATA!K26, 6)</f>
        <v>6.23</v>
      </c>
      <c r="F41" s="55">
        <f>ROUND(SUMIF(RV_DATA!V7:'RV_DATA'!V94, -540365543, RV_DATA!M7:'RV_DATA'!M94), 6)</f>
        <v>3.52</v>
      </c>
      <c r="AK41">
        <v>3</v>
      </c>
    </row>
    <row r="42" spans="1:37" ht="28.5" x14ac:dyDescent="0.2">
      <c r="A42" s="52" t="s">
        <v>410</v>
      </c>
      <c r="B42" s="53" t="s">
        <v>412</v>
      </c>
      <c r="C42" s="53" t="s">
        <v>134</v>
      </c>
      <c r="D42" s="54">
        <f>ROUND(SUMIF(RV_DATA!V7:'RV_DATA'!V94, 12582592, RV_DATA!I7:'RV_DATA'!I94), 6)</f>
        <v>3.9999999999999998E-6</v>
      </c>
      <c r="E42" s="55">
        <f>ROUND(RV_DATA!K75, 6)</f>
        <v>15118.99</v>
      </c>
      <c r="F42" s="55">
        <f>ROUND(SUMIF(RV_DATA!V7:'RV_DATA'!V94, 12582592, RV_DATA!M7:'RV_DATA'!M94), 6)</f>
        <v>7.0000000000000007E-2</v>
      </c>
      <c r="AK42">
        <v>3</v>
      </c>
    </row>
    <row r="43" spans="1:37" ht="28.5" x14ac:dyDescent="0.2">
      <c r="A43" s="52" t="s">
        <v>329</v>
      </c>
      <c r="B43" s="53" t="s">
        <v>331</v>
      </c>
      <c r="C43" s="53" t="s">
        <v>134</v>
      </c>
      <c r="D43" s="54">
        <f>ROUND(SUMIF(RV_DATA!V7:'RV_DATA'!V94, -324112549, RV_DATA!I7:'RV_DATA'!I94), 6)</f>
        <v>2.7999999999999998E-4</v>
      </c>
      <c r="E43" s="55">
        <f>ROUND(RV_DATA!K37, 6)</f>
        <v>3960.01</v>
      </c>
      <c r="F43" s="55">
        <f>ROUND(SUMIF(RV_DATA!V7:'RV_DATA'!V94, -324112549, RV_DATA!M7:'RV_DATA'!M94), 6)</f>
        <v>1.1100000000000001</v>
      </c>
      <c r="AK43">
        <v>3</v>
      </c>
    </row>
    <row r="44" spans="1:37" ht="14.25" x14ac:dyDescent="0.2">
      <c r="A44" s="52" t="s">
        <v>413</v>
      </c>
      <c r="B44" s="53" t="s">
        <v>415</v>
      </c>
      <c r="C44" s="53" t="s">
        <v>134</v>
      </c>
      <c r="D44" s="54">
        <f>ROUND(SUMIF(RV_DATA!V7:'RV_DATA'!V94, 1155205961, RV_DATA!I7:'RV_DATA'!I94), 6)</f>
        <v>5.0000000000000004E-6</v>
      </c>
      <c r="E44" s="55">
        <f>ROUND(RV_DATA!K74, 6)</f>
        <v>16950</v>
      </c>
      <c r="F44" s="55">
        <f>ROUND(SUMIF(RV_DATA!V7:'RV_DATA'!V94, 1155205961, RV_DATA!M7:'RV_DATA'!M94), 6)</f>
        <v>0.09</v>
      </c>
      <c r="AK44">
        <v>3</v>
      </c>
    </row>
    <row r="45" spans="1:37" ht="28.5" x14ac:dyDescent="0.2">
      <c r="A45" s="52" t="s">
        <v>416</v>
      </c>
      <c r="B45" s="53" t="s">
        <v>418</v>
      </c>
      <c r="C45" s="53" t="s">
        <v>134</v>
      </c>
      <c r="D45" s="54">
        <f>ROUND(SUMIF(RV_DATA!V7:'RV_DATA'!V94, 1168505383, RV_DATA!I7:'RV_DATA'!I94), 6)</f>
        <v>1.9999999999999999E-6</v>
      </c>
      <c r="E45" s="55">
        <f>ROUND(RV_DATA!K73, 6)</f>
        <v>13559.99</v>
      </c>
      <c r="F45" s="55">
        <f>ROUND(SUMIF(RV_DATA!V7:'RV_DATA'!V94, 1168505383, RV_DATA!M7:'RV_DATA'!M94), 6)</f>
        <v>0.02</v>
      </c>
      <c r="AK45">
        <v>3</v>
      </c>
    </row>
    <row r="46" spans="1:37" ht="28.5" x14ac:dyDescent="0.2">
      <c r="A46" s="52" t="s">
        <v>439</v>
      </c>
      <c r="B46" s="53" t="s">
        <v>441</v>
      </c>
      <c r="C46" s="53" t="s">
        <v>134</v>
      </c>
      <c r="D46" s="54">
        <f>ROUND(SUMIF(RV_DATA!V7:'RV_DATA'!V94, 1228628375, RV_DATA!I7:'RV_DATA'!I94), 6)</f>
        <v>1E-3</v>
      </c>
      <c r="E46" s="55">
        <f>ROUND(RV_DATA!K85, 6)</f>
        <v>12430</v>
      </c>
      <c r="F46" s="55">
        <f>ROUND(SUMIF(RV_DATA!V7:'RV_DATA'!V94, 1228628375, RV_DATA!M7:'RV_DATA'!M94), 6)</f>
        <v>12.43</v>
      </c>
      <c r="AK46">
        <v>3</v>
      </c>
    </row>
    <row r="47" spans="1:37" ht="14.25" x14ac:dyDescent="0.2">
      <c r="A47" s="52" t="s">
        <v>318</v>
      </c>
      <c r="B47" s="53" t="s">
        <v>320</v>
      </c>
      <c r="C47" s="53" t="s">
        <v>317</v>
      </c>
      <c r="D47" s="54">
        <f>ROUND(SUMIF(RV_DATA!V7:'RV_DATA'!V94, -1187868333, RV_DATA!I7:'RV_DATA'!I94), 6)</f>
        <v>0.48899999999999999</v>
      </c>
      <c r="E47" s="55">
        <f>ROUND(RV_DATA!K25, 6)</f>
        <v>38.49</v>
      </c>
      <c r="F47" s="55">
        <f>ROUND(SUMIF(RV_DATA!V7:'RV_DATA'!V94, -1187868333, RV_DATA!M7:'RV_DATA'!M94), 6)</f>
        <v>18.82</v>
      </c>
      <c r="AK47">
        <v>3</v>
      </c>
    </row>
    <row r="48" spans="1:37" ht="14.25" x14ac:dyDescent="0.2">
      <c r="A48" s="52" t="s">
        <v>349</v>
      </c>
      <c r="B48" s="53" t="s">
        <v>351</v>
      </c>
      <c r="C48" s="53" t="s">
        <v>281</v>
      </c>
      <c r="D48" s="54">
        <f>ROUND(SUMIF(RV_DATA!V7:'RV_DATA'!V94, 2134246809, RV_DATA!I7:'RV_DATA'!I94), 6)</f>
        <v>0.03</v>
      </c>
      <c r="E48" s="55">
        <f>ROUND(RV_DATA!K54, 6)</f>
        <v>35.630000000000003</v>
      </c>
      <c r="F48" s="55">
        <f>ROUND(SUMIF(RV_DATA!V7:'RV_DATA'!V94, 2134246809, RV_DATA!M7:'RV_DATA'!M94), 6)</f>
        <v>1.07</v>
      </c>
      <c r="AK48">
        <v>3</v>
      </c>
    </row>
    <row r="49" spans="1:37" ht="14.25" x14ac:dyDescent="0.2">
      <c r="A49" s="52" t="s">
        <v>419</v>
      </c>
      <c r="B49" s="53" t="s">
        <v>421</v>
      </c>
      <c r="C49" s="53" t="s">
        <v>281</v>
      </c>
      <c r="D49" s="54">
        <f>ROUND(SUMIF(RV_DATA!V7:'RV_DATA'!V94, -1437110030, RV_DATA!I7:'RV_DATA'!I94), 6)</f>
        <v>5.9999999999999995E-4</v>
      </c>
      <c r="E49" s="55">
        <f>ROUND(RV_DATA!K72, 6)</f>
        <v>37.29</v>
      </c>
      <c r="F49" s="55">
        <f>ROUND(SUMIF(RV_DATA!V7:'RV_DATA'!V94, -1437110030, RV_DATA!M7:'RV_DATA'!M94), 6)</f>
        <v>0.02</v>
      </c>
      <c r="AK49">
        <v>3</v>
      </c>
    </row>
    <row r="50" spans="1:37" ht="14.25" x14ac:dyDescent="0.2">
      <c r="A50" s="52" t="s">
        <v>332</v>
      </c>
      <c r="B50" s="53" t="s">
        <v>334</v>
      </c>
      <c r="C50" s="53" t="s">
        <v>134</v>
      </c>
      <c r="D50" s="54">
        <f>ROUND(SUMIF(RV_DATA!V7:'RV_DATA'!V94, -2092651348, RV_DATA!I7:'RV_DATA'!I94), 6)</f>
        <v>6.0000000000000002E-5</v>
      </c>
      <c r="E50" s="55">
        <f>ROUND(RV_DATA!K36, 6)</f>
        <v>1820.01</v>
      </c>
      <c r="F50" s="55">
        <f>ROUND(SUMIF(RV_DATA!V7:'RV_DATA'!V94, -2092651348, RV_DATA!M7:'RV_DATA'!M94), 6)</f>
        <v>0.11</v>
      </c>
      <c r="AK50">
        <v>3</v>
      </c>
    </row>
    <row r="51" spans="1:37" ht="14.25" x14ac:dyDescent="0.2">
      <c r="A51" s="52" t="s">
        <v>300</v>
      </c>
      <c r="B51" s="53" t="s">
        <v>302</v>
      </c>
      <c r="C51" s="53" t="s">
        <v>281</v>
      </c>
      <c r="D51" s="54">
        <f>ROUND(SUMIF(RV_DATA!V7:'RV_DATA'!V94, -1022420247, RV_DATA!I7:'RV_DATA'!I94), 6)</f>
        <v>0.1</v>
      </c>
      <c r="E51" s="55">
        <f>ROUND(RV_DATA!K15, 6)</f>
        <v>14.31</v>
      </c>
      <c r="F51" s="55">
        <f>ROUND(SUMIF(RV_DATA!V7:'RV_DATA'!V94, -1022420247, RV_DATA!M7:'RV_DATA'!M94), 6)</f>
        <v>1.43</v>
      </c>
      <c r="AK51">
        <v>3</v>
      </c>
    </row>
    <row r="52" spans="1:37" ht="14.25" x14ac:dyDescent="0.2">
      <c r="A52" s="52" t="s">
        <v>352</v>
      </c>
      <c r="B52" s="53" t="s">
        <v>354</v>
      </c>
      <c r="C52" s="53" t="s">
        <v>134</v>
      </c>
      <c r="D52" s="54">
        <f>ROUND(SUMIF(RV_DATA!V7:'RV_DATA'!V94, 165664859, RV_DATA!I7:'RV_DATA'!I94), 6)</f>
        <v>2.0000000000000002E-5</v>
      </c>
      <c r="E52" s="55">
        <f>ROUND(RV_DATA!K53, 6)</f>
        <v>15481.01</v>
      </c>
      <c r="F52" s="55">
        <f>ROUND(SUMIF(RV_DATA!V7:'RV_DATA'!V94, 165664859, RV_DATA!M7:'RV_DATA'!M94), 6)</f>
        <v>0.31</v>
      </c>
      <c r="AK52">
        <v>3</v>
      </c>
    </row>
    <row r="53" spans="1:37" ht="14.25" x14ac:dyDescent="0.2">
      <c r="A53" s="52" t="s">
        <v>355</v>
      </c>
      <c r="B53" s="53" t="s">
        <v>357</v>
      </c>
      <c r="C53" s="53" t="s">
        <v>281</v>
      </c>
      <c r="D53" s="54">
        <f>ROUND(SUMIF(RV_DATA!V7:'RV_DATA'!V94, 1539631638, RV_DATA!I7:'RV_DATA'!I94), 6)</f>
        <v>0.01</v>
      </c>
      <c r="E53" s="55">
        <f>ROUND(RV_DATA!K52, 6)</f>
        <v>12.62</v>
      </c>
      <c r="F53" s="55">
        <f>ROUND(SUMIF(RV_DATA!V7:'RV_DATA'!V94, 1539631638, RV_DATA!M7:'RV_DATA'!M94), 6)</f>
        <v>0.13</v>
      </c>
      <c r="AK53">
        <v>3</v>
      </c>
    </row>
    <row r="54" spans="1:37" ht="28.5" x14ac:dyDescent="0.2">
      <c r="A54" s="52" t="s">
        <v>303</v>
      </c>
      <c r="B54" s="53" t="s">
        <v>305</v>
      </c>
      <c r="C54" s="53" t="s">
        <v>281</v>
      </c>
      <c r="D54" s="54">
        <f>ROUND(SUMIF(RV_DATA!V7:'RV_DATA'!V94, -2016438031, RV_DATA!I7:'RV_DATA'!I94), 6)</f>
        <v>0.4</v>
      </c>
      <c r="E54" s="55">
        <f>ROUND(RV_DATA!K14, 6)</f>
        <v>9.0399999999999991</v>
      </c>
      <c r="F54" s="55">
        <f>ROUND(SUMIF(RV_DATA!V7:'RV_DATA'!V94, -2016438031, RV_DATA!M7:'RV_DATA'!M94), 6)</f>
        <v>3.61</v>
      </c>
      <c r="AK54">
        <v>3</v>
      </c>
    </row>
    <row r="55" spans="1:37" ht="14.25" x14ac:dyDescent="0.2">
      <c r="A55" s="52" t="s">
        <v>306</v>
      </c>
      <c r="B55" s="53" t="s">
        <v>308</v>
      </c>
      <c r="C55" s="53" t="s">
        <v>281</v>
      </c>
      <c r="D55" s="54">
        <f>ROUND(SUMIF(RV_DATA!V7:'RV_DATA'!V94, 1217422333, RV_DATA!I7:'RV_DATA'!I94), 6)</f>
        <v>2.8000000000000001E-2</v>
      </c>
      <c r="E55" s="55">
        <f>ROUND(RV_DATA!K13, 6)</f>
        <v>28.67</v>
      </c>
      <c r="F55" s="55">
        <f>ROUND(SUMIF(RV_DATA!V7:'RV_DATA'!V94, 1217422333, RV_DATA!M7:'RV_DATA'!M94), 6)</f>
        <v>0.8</v>
      </c>
      <c r="AK55">
        <v>3</v>
      </c>
    </row>
    <row r="56" spans="1:37" ht="28.5" x14ac:dyDescent="0.2">
      <c r="A56" s="52" t="s">
        <v>442</v>
      </c>
      <c r="B56" s="53" t="s">
        <v>444</v>
      </c>
      <c r="C56" s="53" t="s">
        <v>445</v>
      </c>
      <c r="D56" s="54">
        <f>ROUND(SUMIF(RV_DATA!V7:'RV_DATA'!V94, -1508220156, RV_DATA!I7:'RV_DATA'!I94), 6)</f>
        <v>0.2</v>
      </c>
      <c r="E56" s="55">
        <f>ROUND(RV_DATA!K84, 6)</f>
        <v>179</v>
      </c>
      <c r="F56" s="55">
        <f>ROUND(SUMIF(RV_DATA!V7:'RV_DATA'!V94, -1508220156, RV_DATA!M7:'RV_DATA'!M94), 6)</f>
        <v>35.799999999999997</v>
      </c>
      <c r="AK56">
        <v>3</v>
      </c>
    </row>
    <row r="57" spans="1:37" ht="28.5" x14ac:dyDescent="0.2">
      <c r="A57" s="52" t="s">
        <v>358</v>
      </c>
      <c r="B57" s="53" t="s">
        <v>360</v>
      </c>
      <c r="C57" s="53" t="s">
        <v>50</v>
      </c>
      <c r="D57" s="54">
        <f>ROUND(SUMIF(RV_DATA!V7:'RV_DATA'!V94, 1066437699, RV_DATA!I7:'RV_DATA'!I94), 6)</f>
        <v>0.1</v>
      </c>
      <c r="E57" s="55">
        <f>ROUND(RV_DATA!K50, 6)</f>
        <v>83</v>
      </c>
      <c r="F57" s="55">
        <f>ROUND(SUMIF(RV_DATA!V7:'RV_DATA'!V94, 1066437699, RV_DATA!M7:'RV_DATA'!M94), 6)</f>
        <v>8.3000000000000007</v>
      </c>
      <c r="AK57">
        <v>3</v>
      </c>
    </row>
    <row r="58" spans="1:37" ht="57" x14ac:dyDescent="0.2">
      <c r="A58" s="52" t="s">
        <v>361</v>
      </c>
      <c r="B58" s="53" t="s">
        <v>363</v>
      </c>
      <c r="C58" s="53" t="s">
        <v>281</v>
      </c>
      <c r="D58" s="54">
        <f>ROUND(SUMIF(RV_DATA!V7:'RV_DATA'!V94, -869164017, RV_DATA!I7:'RV_DATA'!I94), 6)</f>
        <v>0.02</v>
      </c>
      <c r="E58" s="55">
        <f>ROUND(RV_DATA!K49, 6)</f>
        <v>91.29</v>
      </c>
      <c r="F58" s="55">
        <f>ROUND(SUMIF(RV_DATA!V7:'RV_DATA'!V94, -869164017, RV_DATA!M7:'RV_DATA'!M94), 6)</f>
        <v>1.83</v>
      </c>
      <c r="AK58">
        <v>3</v>
      </c>
    </row>
    <row r="59" spans="1:37" ht="42.75" x14ac:dyDescent="0.2">
      <c r="A59" s="52" t="s">
        <v>335</v>
      </c>
      <c r="B59" s="53" t="s">
        <v>337</v>
      </c>
      <c r="C59" s="53" t="s">
        <v>281</v>
      </c>
      <c r="D59" s="54">
        <f>ROUND(SUMIF(RV_DATA!V7:'RV_DATA'!V94, 665352987, RV_DATA!I7:'RV_DATA'!I94), 6)</f>
        <v>3.2000000000000001E-2</v>
      </c>
      <c r="E59" s="55">
        <f>ROUND(RV_DATA!K34, 6)</f>
        <v>30.5</v>
      </c>
      <c r="F59" s="55">
        <f>ROUND(SUMIF(RV_DATA!V7:'RV_DATA'!V94, 665352987, RV_DATA!M7:'RV_DATA'!M94), 6)</f>
        <v>0.98</v>
      </c>
      <c r="AK59">
        <v>3</v>
      </c>
    </row>
    <row r="60" spans="1:37" ht="14.25" x14ac:dyDescent="0.2">
      <c r="A60" s="52" t="s">
        <v>338</v>
      </c>
      <c r="B60" s="53" t="s">
        <v>340</v>
      </c>
      <c r="C60" s="53" t="s">
        <v>50</v>
      </c>
      <c r="D60" s="54">
        <f>ROUND(SUMIF(RV_DATA!V7:'RV_DATA'!V94, -1739481354, RV_DATA!I7:'RV_DATA'!I94), 6)</f>
        <v>6.4000000000000001E-2</v>
      </c>
      <c r="E60" s="55">
        <f>ROUND(RV_DATA!K33, 6)</f>
        <v>86.24</v>
      </c>
      <c r="F60" s="55">
        <f>ROUND(SUMIF(RV_DATA!V7:'RV_DATA'!V94, -1739481354, RV_DATA!M7:'RV_DATA'!M94), 6)</f>
        <v>5.52</v>
      </c>
      <c r="AK60">
        <v>3</v>
      </c>
    </row>
    <row r="61" spans="1:37" ht="14.25" x14ac:dyDescent="0.2">
      <c r="A61" s="52" t="s">
        <v>364</v>
      </c>
      <c r="B61" s="53" t="s">
        <v>366</v>
      </c>
      <c r="C61" s="53" t="s">
        <v>281</v>
      </c>
      <c r="D61" s="54">
        <f>ROUND(SUMIF(RV_DATA!V7:'RV_DATA'!V94, 660457367, RV_DATA!I7:'RV_DATA'!I94), 6)</f>
        <v>0.02</v>
      </c>
      <c r="E61" s="55">
        <f>ROUND(RV_DATA!K48, 6)</f>
        <v>15.36</v>
      </c>
      <c r="F61" s="55">
        <f>ROUND(SUMIF(RV_DATA!V7:'RV_DATA'!V94, 660457367, RV_DATA!M7:'RV_DATA'!M94), 6)</f>
        <v>0.31</v>
      </c>
      <c r="AK61">
        <v>3</v>
      </c>
    </row>
    <row r="62" spans="1:37" ht="14.25" x14ac:dyDescent="0.2">
      <c r="A62" s="52" t="s">
        <v>341</v>
      </c>
      <c r="B62" s="53" t="s">
        <v>343</v>
      </c>
      <c r="C62" s="53" t="s">
        <v>134</v>
      </c>
      <c r="D62" s="54">
        <f>ROUND(SUMIF(RV_DATA!V7:'RV_DATA'!V94, 102984346, RV_DATA!I7:'RV_DATA'!I94), 6)</f>
        <v>4.4999999999999997E-3</v>
      </c>
      <c r="E62" s="55">
        <f>ROUND(RV_DATA!K32, 6)</f>
        <v>729.98</v>
      </c>
      <c r="F62" s="55">
        <f>ROUND(SUMIF(RV_DATA!V7:'RV_DATA'!V94, 102984346, RV_DATA!M7:'RV_DATA'!M94), 6)</f>
        <v>3.29</v>
      </c>
      <c r="AK62">
        <v>3</v>
      </c>
    </row>
    <row r="63" spans="1:37" ht="14.25" x14ac:dyDescent="0.2">
      <c r="A63" s="52" t="s">
        <v>425</v>
      </c>
      <c r="B63" s="53" t="s">
        <v>427</v>
      </c>
      <c r="C63" s="53" t="s">
        <v>317</v>
      </c>
      <c r="D63" s="54">
        <f>ROUND(SUMIF(RV_DATA!V7:'RV_DATA'!V94, 1962984545, RV_DATA!I7:'RV_DATA'!I94), 6)</f>
        <v>2.5000000000000001E-3</v>
      </c>
      <c r="E63" s="55">
        <f>ROUND(RV_DATA!K70, 6)</f>
        <v>2.44</v>
      </c>
      <c r="F63" s="55">
        <f>ROUND(SUMIF(RV_DATA!V7:'RV_DATA'!V94, 1962984545, RV_DATA!M7:'RV_DATA'!M94), 6)</f>
        <v>0.01</v>
      </c>
      <c r="AK63">
        <v>3</v>
      </c>
    </row>
    <row r="64" spans="1:37" ht="14.25" x14ac:dyDescent="0.2">
      <c r="A64" s="52" t="s">
        <v>385</v>
      </c>
      <c r="B64" s="53" t="s">
        <v>387</v>
      </c>
      <c r="C64" s="53" t="s">
        <v>317</v>
      </c>
      <c r="D64" s="54">
        <f>ROUND(SUMIF(RV_DATA!V7:'RV_DATA'!V94, 1983381378, RV_DATA!I7:'RV_DATA'!I94), 6)</f>
        <v>0.81</v>
      </c>
      <c r="E64" s="55">
        <f>ROUND(RV_DATA!K59, 6)</f>
        <v>3.14</v>
      </c>
      <c r="F64" s="55">
        <f>ROUND(SUMIF(RV_DATA!V7:'RV_DATA'!V94, 1983381378, RV_DATA!M7:'RV_DATA'!M94), 6)</f>
        <v>2.54</v>
      </c>
      <c r="AK64">
        <v>3</v>
      </c>
    </row>
    <row r="65" spans="1:37" ht="42.75" x14ac:dyDescent="0.2">
      <c r="A65" s="52" t="s">
        <v>367</v>
      </c>
      <c r="B65" s="53" t="s">
        <v>369</v>
      </c>
      <c r="C65" s="53" t="s">
        <v>134</v>
      </c>
      <c r="D65" s="54">
        <f>ROUND(SUMIF(RV_DATA!V7:'RV_DATA'!V94, -609491457, RV_DATA!I7:'RV_DATA'!I94), 6)</f>
        <v>1E-4</v>
      </c>
      <c r="E65" s="55">
        <f>ROUND(RV_DATA!K46, 6)</f>
        <v>37517.01</v>
      </c>
      <c r="F65" s="55">
        <f>ROUND(SUMIF(RV_DATA!V7:'RV_DATA'!V94, -609491457, RV_DATA!M7:'RV_DATA'!M94), 6)</f>
        <v>3.75</v>
      </c>
      <c r="AK65">
        <v>3</v>
      </c>
    </row>
    <row r="66" spans="1:37" ht="28.5" x14ac:dyDescent="0.2">
      <c r="A66" s="52" t="s">
        <v>370</v>
      </c>
      <c r="B66" s="53" t="s">
        <v>372</v>
      </c>
      <c r="C66" s="53" t="s">
        <v>281</v>
      </c>
      <c r="D66" s="54">
        <f>ROUND(SUMIF(RV_DATA!V7:'RV_DATA'!V94, 1007538597, RV_DATA!I7:'RV_DATA'!I94), 6)</f>
        <v>0.06</v>
      </c>
      <c r="E66" s="55">
        <f>ROUND(RV_DATA!K45, 6)</f>
        <v>65.930000000000007</v>
      </c>
      <c r="F66" s="55">
        <f>ROUND(SUMIF(RV_DATA!V7:'RV_DATA'!V94, 1007538597, RV_DATA!M7:'RV_DATA'!M94), 6)</f>
        <v>3.96</v>
      </c>
      <c r="AK66">
        <v>3</v>
      </c>
    </row>
    <row r="67" spans="1:37" ht="14.25" x14ac:dyDescent="0.2">
      <c r="A67" s="52" t="s">
        <v>321</v>
      </c>
      <c r="B67" s="53" t="s">
        <v>323</v>
      </c>
      <c r="C67" s="53" t="s">
        <v>281</v>
      </c>
      <c r="D67" s="54">
        <f>ROUND(SUMIF(RV_DATA!V7:'RV_DATA'!V94, -1238232317, RV_DATA!I7:'RV_DATA'!I94), 6)</f>
        <v>8.3999999999999995E-3</v>
      </c>
      <c r="E67" s="55">
        <f>ROUND(RV_DATA!K24, 6)</f>
        <v>59.25</v>
      </c>
      <c r="F67" s="55">
        <f>ROUND(SUMIF(RV_DATA!V7:'RV_DATA'!V94, -1238232317, RV_DATA!M7:'RV_DATA'!M94), 6)</f>
        <v>0.5</v>
      </c>
      <c r="AK67">
        <v>3</v>
      </c>
    </row>
    <row r="68" spans="1:37" ht="28.5" x14ac:dyDescent="0.2">
      <c r="A68" s="52" t="s">
        <v>373</v>
      </c>
      <c r="B68" s="53" t="s">
        <v>375</v>
      </c>
      <c r="C68" s="53" t="s">
        <v>281</v>
      </c>
      <c r="D68" s="54">
        <f>ROUND(SUMIF(RV_DATA!V7:'RV_DATA'!V94, -5564762, RV_DATA!I7:'RV_DATA'!I94), 6)</f>
        <v>0.08</v>
      </c>
      <c r="E68" s="55">
        <f>ROUND(RV_DATA!K44, 6)</f>
        <v>38.450000000000003</v>
      </c>
      <c r="F68" s="55">
        <f>ROUND(SUMIF(RV_DATA!V7:'RV_DATA'!V94, -5564762, RV_DATA!M7:'RV_DATA'!M94), 6)</f>
        <v>3.08</v>
      </c>
      <c r="AK68">
        <v>3</v>
      </c>
    </row>
    <row r="69" spans="1:37" ht="14.25" x14ac:dyDescent="0.2">
      <c r="A69" s="52" t="s">
        <v>376</v>
      </c>
      <c r="B69" s="53" t="s">
        <v>378</v>
      </c>
      <c r="C69" s="53" t="s">
        <v>50</v>
      </c>
      <c r="D69" s="54">
        <f>ROUND(SUMIF(RV_DATA!V7:'RV_DATA'!V94, 957027532, RV_DATA!I7:'RV_DATA'!I94), 6)</f>
        <v>0.1</v>
      </c>
      <c r="E69" s="55">
        <f>ROUND(RV_DATA!K43, 6)</f>
        <v>60</v>
      </c>
      <c r="F69" s="55">
        <f>ROUND(SUMIF(RV_DATA!V7:'RV_DATA'!V94, 957027532, RV_DATA!M7:'RV_DATA'!M94), 6)</f>
        <v>6</v>
      </c>
      <c r="AK69">
        <v>3</v>
      </c>
    </row>
    <row r="70" spans="1:37" ht="14.25" x14ac:dyDescent="0.2">
      <c r="A70" s="52" t="s">
        <v>388</v>
      </c>
      <c r="B70" s="53" t="s">
        <v>390</v>
      </c>
      <c r="C70" s="53" t="s">
        <v>281</v>
      </c>
      <c r="D70" s="54">
        <f>ROUND(SUMIF(RV_DATA!V7:'RV_DATA'!V94, -201819407, RV_DATA!I7:'RV_DATA'!I94), 6)</f>
        <v>0.21</v>
      </c>
      <c r="E70" s="55">
        <f>ROUND(RV_DATA!K58, 6)</f>
        <v>86.21</v>
      </c>
      <c r="F70" s="55">
        <f>ROUND(SUMIF(RV_DATA!V7:'RV_DATA'!V94, -201819407, RV_DATA!M7:'RV_DATA'!M94), 6)</f>
        <v>18.100000000000001</v>
      </c>
      <c r="AK70">
        <v>3</v>
      </c>
    </row>
    <row r="71" spans="1:37" ht="14.25" x14ac:dyDescent="0.2">
      <c r="A71" s="52" t="s">
        <v>278</v>
      </c>
      <c r="B71" s="53" t="s">
        <v>280</v>
      </c>
      <c r="C71" s="53" t="s">
        <v>281</v>
      </c>
      <c r="D71" s="54">
        <f>ROUND(SUMIF(RV_DATA!V7:'RV_DATA'!V94, -1191323869, RV_DATA!I7:'RV_DATA'!I94), 6)</f>
        <v>0.13</v>
      </c>
      <c r="E71" s="55">
        <f>ROUND(RV_DATA!K10, 6)</f>
        <v>26.52</v>
      </c>
      <c r="F71" s="55">
        <f>ROUND(SUMIF(RV_DATA!V7:'RV_DATA'!V94, -1191323869, RV_DATA!M7:'RV_DATA'!M94), 6)</f>
        <v>3.44</v>
      </c>
      <c r="AK71">
        <v>3</v>
      </c>
    </row>
    <row r="72" spans="1:37" ht="28.5" x14ac:dyDescent="0.2">
      <c r="A72" s="52" t="s">
        <v>272</v>
      </c>
      <c r="B72" s="53" t="s">
        <v>274</v>
      </c>
      <c r="C72" s="53" t="s">
        <v>275</v>
      </c>
      <c r="D72" s="54">
        <f>ROUND(SUMIF(RV_DATA!V7:'RV_DATA'!V94, 655047484, RV_DATA!I7:'RV_DATA'!I94), 6)</f>
        <v>32.598599999999998</v>
      </c>
      <c r="E72" s="55">
        <f>ROUND(RV_DATA!K7, 6)</f>
        <v>1</v>
      </c>
      <c r="F72" s="55">
        <f>ROUND(SUMIF(RV_DATA!V7:'RV_DATA'!V94, 655047484, RV_DATA!M7:'RV_DATA'!M94), 6)</f>
        <v>32.6</v>
      </c>
      <c r="AK72">
        <v>3</v>
      </c>
    </row>
    <row r="73" spans="1:37" ht="15" x14ac:dyDescent="0.25">
      <c r="A73" s="87" t="s">
        <v>549</v>
      </c>
      <c r="B73" s="87"/>
      <c r="C73" s="87"/>
      <c r="D73" s="87"/>
      <c r="E73" s="88">
        <f>SUMIF(AK38:AK72, 3, F38:F72)</f>
        <v>175.41</v>
      </c>
      <c r="F73" s="88"/>
    </row>
  </sheetData>
  <sortState ref="A38:AK72">
    <sortCondition ref="A38"/>
  </sortState>
  <mergeCells count="17">
    <mergeCell ref="A2:F2"/>
    <mergeCell ref="A3:F3"/>
    <mergeCell ref="A4:A6"/>
    <mergeCell ref="B4:B6"/>
    <mergeCell ref="C4:C6"/>
    <mergeCell ref="D4:D6"/>
    <mergeCell ref="E4:F5"/>
    <mergeCell ref="A37:F37"/>
    <mergeCell ref="A73:D73"/>
    <mergeCell ref="E73:F73"/>
    <mergeCell ref="A8:F8"/>
    <mergeCell ref="A9:F9"/>
    <mergeCell ref="A18:D18"/>
    <mergeCell ref="E18:F18"/>
    <mergeCell ref="A19:F19"/>
    <mergeCell ref="A36:D36"/>
    <mergeCell ref="E36:F36"/>
  </mergeCells>
  <pageMargins left="0.6" right="0.4" top="0.65" bottom="0.4" header="0.4" footer="0.4"/>
  <pageSetup paperSize="9" scale="90" fitToHeight="0" orientation="portrait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opLeftCell="A28" zoomScaleNormal="100" workbookViewId="0">
      <selection activeCell="G15" sqref="G15"/>
    </sheetView>
  </sheetViews>
  <sheetFormatPr defaultRowHeight="12.75" x14ac:dyDescent="0.2"/>
  <cols>
    <col min="1" max="1" width="6.7109375" customWidth="1"/>
    <col min="2" max="2" width="75.7109375" customWidth="1"/>
    <col min="3" max="5" width="15.7109375" customWidth="1"/>
    <col min="30" max="31" width="0" hidden="1" customWidth="1"/>
  </cols>
  <sheetData>
    <row r="1" spans="1:5" x14ac:dyDescent="0.2">
      <c r="A1" s="9" t="str">
        <f>Source!B1</f>
        <v>Smeta.RU  (495) 974-1589</v>
      </c>
    </row>
    <row r="2" spans="1:5" ht="14.25" x14ac:dyDescent="0.2">
      <c r="B2" s="11"/>
      <c r="C2" s="11"/>
      <c r="D2" s="11"/>
    </row>
    <row r="3" spans="1:5" ht="15" x14ac:dyDescent="0.25">
      <c r="B3" s="56" t="s">
        <v>550</v>
      </c>
      <c r="C3" s="11"/>
      <c r="D3" s="17" t="s">
        <v>552</v>
      </c>
    </row>
    <row r="4" spans="1:5" ht="15" x14ac:dyDescent="0.25">
      <c r="B4" s="11"/>
      <c r="C4" s="17"/>
      <c r="D4" s="17"/>
    </row>
    <row r="5" spans="1:5" ht="15" x14ac:dyDescent="0.25">
      <c r="B5" s="56" t="s">
        <v>551</v>
      </c>
      <c r="C5" s="76" t="s">
        <v>551</v>
      </c>
      <c r="D5" s="76"/>
    </row>
    <row r="6" spans="1:5" ht="15" x14ac:dyDescent="0.25">
      <c r="B6" s="11"/>
      <c r="C6" s="17"/>
      <c r="D6" s="17"/>
    </row>
    <row r="7" spans="1:5" ht="15" x14ac:dyDescent="0.25">
      <c r="B7" s="56" t="s">
        <v>551</v>
      </c>
      <c r="C7" s="76" t="s">
        <v>551</v>
      </c>
      <c r="D7" s="76"/>
    </row>
    <row r="8" spans="1:5" ht="15" x14ac:dyDescent="0.25">
      <c r="B8" s="11"/>
      <c r="C8" s="17"/>
      <c r="D8" s="17"/>
    </row>
    <row r="9" spans="1:5" ht="15" x14ac:dyDescent="0.25">
      <c r="C9" s="17" t="s">
        <v>553</v>
      </c>
      <c r="D9" s="11"/>
    </row>
    <row r="10" spans="1:5" ht="14.25" x14ac:dyDescent="0.2">
      <c r="A10" s="11"/>
      <c r="B10" s="11"/>
      <c r="C10" s="11"/>
      <c r="D10" s="11"/>
      <c r="E10" s="11"/>
    </row>
    <row r="11" spans="1:5" ht="15.75" x14ac:dyDescent="0.25">
      <c r="A11" s="82" t="str">
        <f>CONCATENATE("Дефектный акт ", IF(Source!AN15&lt;&gt;"", Source!AN15," "))</f>
        <v xml:space="preserve">Дефектный акт  </v>
      </c>
      <c r="B11" s="82"/>
      <c r="C11" s="82"/>
      <c r="D11" s="82"/>
      <c r="E11" s="11"/>
    </row>
    <row r="12" spans="1:5" ht="15" x14ac:dyDescent="0.25">
      <c r="A12" s="98" t="str">
        <f>CONCATENATE(Source!G12)</f>
        <v>МОСП ул.Щепкина д.61/2_(Монтаж)</v>
      </c>
      <c r="B12" s="98"/>
      <c r="C12" s="98"/>
      <c r="D12" s="98"/>
      <c r="E12" s="11"/>
    </row>
    <row r="13" spans="1:5" ht="14.25" x14ac:dyDescent="0.2">
      <c r="A13" s="11"/>
      <c r="B13" s="11"/>
      <c r="C13" s="11"/>
      <c r="D13" s="11"/>
      <c r="E13" s="11"/>
    </row>
    <row r="14" spans="1:5" ht="15" x14ac:dyDescent="0.2">
      <c r="A14" s="11"/>
      <c r="B14" s="57"/>
      <c r="C14" s="11"/>
      <c r="D14" s="11"/>
      <c r="E14" s="11"/>
    </row>
    <row r="15" spans="1:5" ht="15" x14ac:dyDescent="0.2">
      <c r="A15" s="11"/>
      <c r="B15" s="57"/>
      <c r="C15" s="11"/>
      <c r="D15" s="11"/>
      <c r="E15" s="11"/>
    </row>
    <row r="16" spans="1:5" ht="15" x14ac:dyDescent="0.2">
      <c r="A16" s="11"/>
      <c r="B16" s="57"/>
      <c r="C16" s="11"/>
      <c r="D16" s="11"/>
      <c r="E16" s="11"/>
    </row>
    <row r="17" spans="1:5" ht="28.5" x14ac:dyDescent="0.2">
      <c r="A17" s="23" t="s">
        <v>474</v>
      </c>
      <c r="B17" s="23" t="s">
        <v>476</v>
      </c>
      <c r="C17" s="23" t="s">
        <v>539</v>
      </c>
      <c r="D17" s="23" t="s">
        <v>554</v>
      </c>
      <c r="E17" s="58" t="s">
        <v>555</v>
      </c>
    </row>
    <row r="18" spans="1:5" ht="14.25" x14ac:dyDescent="0.2">
      <c r="A18" s="59">
        <v>1</v>
      </c>
      <c r="B18" s="59">
        <v>2</v>
      </c>
      <c r="C18" s="59">
        <v>3</v>
      </c>
      <c r="D18" s="59">
        <v>4</v>
      </c>
      <c r="E18" s="59">
        <v>5</v>
      </c>
    </row>
    <row r="19" spans="1:5" ht="16.5" x14ac:dyDescent="0.25">
      <c r="A19" s="99" t="str">
        <f>CONCATENATE("Локальная смета: ", Source!G20)</f>
        <v>Локальная смета: Новая локальная смета</v>
      </c>
      <c r="B19" s="99"/>
      <c r="C19" s="99"/>
      <c r="D19" s="99"/>
      <c r="E19" s="99"/>
    </row>
    <row r="20" spans="1:5" ht="42.75" x14ac:dyDescent="0.2">
      <c r="A20" s="61" t="str">
        <f>Source!E24</f>
        <v>1</v>
      </c>
      <c r="B20" s="62" t="str">
        <f>Source!G24</f>
        <v>Комплект оборудования для централизованной подачи кислорода, закиси азота и вакуума, в том числе клапан запорный для кислорода, закиси азота и вакуума</v>
      </c>
      <c r="C20" s="63" t="str">
        <f>Source!H24</f>
        <v>1  ШТ.</v>
      </c>
      <c r="D20" s="64">
        <f>Source!I24</f>
        <v>6</v>
      </c>
      <c r="E20" s="62"/>
    </row>
    <row r="21" spans="1:5" ht="14.25" x14ac:dyDescent="0.2">
      <c r="A21" s="61" t="str">
        <f>Source!E26</f>
        <v>2</v>
      </c>
      <c r="B21" s="62" t="str">
        <f>Source!G26</f>
        <v>Прибор, устанавливаемый на резьбовых соединениях, масса до 1,5 кг</v>
      </c>
      <c r="C21" s="63" t="str">
        <f>Source!H26</f>
        <v>1  ШТ.</v>
      </c>
      <c r="D21" s="64">
        <f>Source!I26</f>
        <v>1</v>
      </c>
      <c r="E21" s="62"/>
    </row>
    <row r="22" spans="1:5" ht="28.5" x14ac:dyDescent="0.2">
      <c r="A22" s="61" t="str">
        <f>Source!E29</f>
        <v>3</v>
      </c>
      <c r="B22" s="62" t="str">
        <f>Source!G29</f>
        <v>Шкаф (пульт) управления навесной, высота, ширина и глубина до 600х600х350 мм</v>
      </c>
      <c r="C22" s="63" t="str">
        <f>Source!H29</f>
        <v>1  ШТ.</v>
      </c>
      <c r="D22" s="64">
        <f>Source!I29</f>
        <v>1</v>
      </c>
      <c r="E22" s="62"/>
    </row>
    <row r="23" spans="1:5" ht="28.5" x14ac:dyDescent="0.2">
      <c r="A23" s="61" t="str">
        <f>Source!E31</f>
        <v>4</v>
      </c>
      <c r="B23" s="62" t="str">
        <f>Source!G31</f>
        <v>Вентиль латунный запорный холодный низкого давления, диаметр условного прохода 20 мм</v>
      </c>
      <c r="C23" s="63" t="str">
        <f>Source!H31</f>
        <v>100 шт.</v>
      </c>
      <c r="D23" s="64">
        <f>Source!I31</f>
        <v>0.01</v>
      </c>
      <c r="E23" s="62"/>
    </row>
    <row r="24" spans="1:5" ht="28.5" x14ac:dyDescent="0.2">
      <c r="A24" s="61" t="str">
        <f>Source!E33</f>
        <v>5</v>
      </c>
      <c r="B24" s="62" t="str">
        <f>Source!G33</f>
        <v>Провод, количество проводов в резинобитумной трубке до 2, сечение провода до 6 мм2</v>
      </c>
      <c r="C24" s="63" t="str">
        <f>Source!H33</f>
        <v>100 М ТРУБОК</v>
      </c>
      <c r="D24" s="64">
        <f>Source!I33</f>
        <v>0.2</v>
      </c>
      <c r="E24" s="62"/>
    </row>
    <row r="25" spans="1:5" ht="14.25" x14ac:dyDescent="0.2">
      <c r="A25" s="61" t="str">
        <f>Source!E36</f>
        <v>6</v>
      </c>
      <c r="B25" s="62" t="str">
        <f>Source!G36</f>
        <v>Отдельно устанавливаемый преобразователь или блок питания</v>
      </c>
      <c r="C25" s="63" t="str">
        <f>Source!H36</f>
        <v>1  ШТ.</v>
      </c>
      <c r="D25" s="64">
        <f>Source!I36</f>
        <v>1</v>
      </c>
      <c r="E25" s="62"/>
    </row>
    <row r="26" spans="1:5" ht="28.5" x14ac:dyDescent="0.2">
      <c r="A26" s="61" t="str">
        <f>Source!E38</f>
        <v>7</v>
      </c>
      <c r="B26" s="62" t="str">
        <f>Source!G38</f>
        <v>Трубопровод из медных труб на условное давление до 2,5 МПа, диаметр труб наружный 18 мм</v>
      </c>
      <c r="C26" s="63" t="str">
        <f>Source!H38</f>
        <v>100 м</v>
      </c>
      <c r="D26" s="64">
        <f>Source!I38</f>
        <v>1</v>
      </c>
      <c r="E26" s="62"/>
    </row>
    <row r="27" spans="1:5" ht="28.5" x14ac:dyDescent="0.2">
      <c r="A27" s="61" t="str">
        <f>Source!E41</f>
        <v>8</v>
      </c>
      <c r="B27" s="62" t="str">
        <f>Source!G41</f>
        <v>Сверление горизонтальных отверстий в железобетонных конструкциях стен перфоратором глубиной 200 мм диаметром 20 мм</v>
      </c>
      <c r="C27" s="63" t="str">
        <f>Source!H41</f>
        <v>100 отверстий</v>
      </c>
      <c r="D27" s="64">
        <f>Source!I41</f>
        <v>0.04</v>
      </c>
      <c r="E27" s="62"/>
    </row>
    <row r="28" spans="1:5" ht="28.5" x14ac:dyDescent="0.2">
      <c r="A28" s="61" t="str">
        <f>Source!E42</f>
        <v>9</v>
      </c>
      <c r="B28" s="62" t="str">
        <f>Source!G42</f>
        <v>Прокладка трубопроводов отопления из стальных водогазопроводных неоцинкованных труб диаметром 15 мм (прим. 17х2 мм для гильз)</v>
      </c>
      <c r="C28" s="63" t="str">
        <f>Source!H42</f>
        <v>100 м трубопровода</v>
      </c>
      <c r="D28" s="64">
        <f>Source!I42</f>
        <v>0.01</v>
      </c>
      <c r="E28" s="62"/>
    </row>
    <row r="29" spans="1:5" ht="14.25" x14ac:dyDescent="0.2">
      <c r="A29" s="61" t="str">
        <f>Source!E45</f>
        <v>10</v>
      </c>
      <c r="B29" s="62" t="str">
        <f>Source!G45</f>
        <v>Короба пластмассовые шириной до 40 мм</v>
      </c>
      <c r="C29" s="63" t="str">
        <f>Source!H45</f>
        <v>100 м</v>
      </c>
      <c r="D29" s="64">
        <f>Source!I45</f>
        <v>1</v>
      </c>
      <c r="E29" s="62"/>
    </row>
    <row r="30" spans="1:5" ht="28.5" x14ac:dyDescent="0.2">
      <c r="A30" s="60" t="str">
        <f>Source!E47</f>
        <v>11</v>
      </c>
      <c r="B30" s="53" t="str">
        <f>Source!G47</f>
        <v>Протравка и промывка труб различными реактивами, диаметр труб наружный 15-38 мм</v>
      </c>
      <c r="C30" s="54" t="str">
        <f>Source!H47</f>
        <v>100 м</v>
      </c>
      <c r="D30" s="51">
        <f>Source!I47</f>
        <v>1</v>
      </c>
      <c r="E30" s="53"/>
    </row>
    <row r="33" spans="1:5" ht="15" x14ac:dyDescent="0.25">
      <c r="A33" s="30" t="s">
        <v>556</v>
      </c>
      <c r="B33" s="30"/>
      <c r="C33" s="30" t="s">
        <v>557</v>
      </c>
      <c r="D33" s="30"/>
      <c r="E33" s="30"/>
    </row>
  </sheetData>
  <mergeCells count="5">
    <mergeCell ref="C5:D5"/>
    <mergeCell ref="C7:D7"/>
    <mergeCell ref="A11:D11"/>
    <mergeCell ref="A12:D12"/>
    <mergeCell ref="A19:E19"/>
  </mergeCells>
  <pageMargins left="0.4" right="0.2" top="0.2" bottom="0.4" header="0.2" footer="0.2"/>
  <pageSetup paperSize="9" scale="77" fitToHeight="0" orientation="portrait" r:id="rId1"/>
  <headerFooter>
    <oddHeader>&amp;L&amp;8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146"/>
  <sheetViews>
    <sheetView workbookViewId="0">
      <selection activeCell="A142" sqref="A142:AN142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66086</v>
      </c>
      <c r="M1">
        <v>10</v>
      </c>
      <c r="N1">
        <v>11</v>
      </c>
      <c r="O1">
        <v>3</v>
      </c>
      <c r="P1">
        <v>0</v>
      </c>
      <c r="Q1">
        <v>3</v>
      </c>
    </row>
    <row r="12" spans="1:133" x14ac:dyDescent="0.2">
      <c r="A12" s="1">
        <v>1</v>
      </c>
      <c r="B12" s="1">
        <v>139</v>
      </c>
      <c r="C12" s="1">
        <v>0</v>
      </c>
      <c r="D12" s="1">
        <f>ROW(A80)</f>
        <v>80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16982024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B80</f>
        <v>139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МОСП ул.Щепкина д.61/2_(Монтаж)</v>
      </c>
      <c r="H18" s="2"/>
      <c r="I18" s="2"/>
      <c r="J18" s="2"/>
      <c r="K18" s="2"/>
      <c r="L18" s="2"/>
      <c r="M18" s="2"/>
      <c r="N18" s="2"/>
      <c r="O18" s="2">
        <f t="shared" ref="O18:AT18" si="1">O80</f>
        <v>76475.42</v>
      </c>
      <c r="P18" s="2">
        <f t="shared" si="1"/>
        <v>2067.85</v>
      </c>
      <c r="Q18" s="2">
        <f t="shared" si="1"/>
        <v>19862.75</v>
      </c>
      <c r="R18" s="2">
        <f t="shared" si="1"/>
        <v>4668.33</v>
      </c>
      <c r="S18" s="2">
        <f t="shared" si="1"/>
        <v>54544.82</v>
      </c>
      <c r="T18" s="2">
        <f t="shared" si="1"/>
        <v>0</v>
      </c>
      <c r="U18" s="2">
        <f t="shared" si="1"/>
        <v>171.61395499999998</v>
      </c>
      <c r="V18" s="2">
        <f t="shared" si="1"/>
        <v>11.037475000000001</v>
      </c>
      <c r="W18" s="2">
        <f t="shared" si="1"/>
        <v>0</v>
      </c>
      <c r="X18" s="2">
        <f t="shared" si="1"/>
        <v>48492.26</v>
      </c>
      <c r="Y18" s="2">
        <f t="shared" si="1"/>
        <v>35895.54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160863.22</v>
      </c>
      <c r="AS18" s="2">
        <f t="shared" si="1"/>
        <v>696.4</v>
      </c>
      <c r="AT18" s="2">
        <f t="shared" si="1"/>
        <v>160166.82</v>
      </c>
      <c r="AU18" s="2">
        <f t="shared" ref="AU18:BZ18" si="2">AU80</f>
        <v>0</v>
      </c>
      <c r="AV18" s="2">
        <f t="shared" si="2"/>
        <v>2067.85</v>
      </c>
      <c r="AW18" s="2">
        <f t="shared" si="2"/>
        <v>2067.85</v>
      </c>
      <c r="AX18" s="2">
        <f t="shared" si="2"/>
        <v>0</v>
      </c>
      <c r="AY18" s="2">
        <f t="shared" si="2"/>
        <v>2067.85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CA80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DG80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EM80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FS80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ROW(A50)</f>
        <v>50</v>
      </c>
      <c r="E20" s="1"/>
      <c r="F20" s="1" t="s">
        <v>11</v>
      </c>
      <c r="G20" s="1" t="s">
        <v>11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 s="2">
        <v>52</v>
      </c>
      <c r="B22" s="2">
        <f t="shared" ref="B22:G22" si="7">B50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O50</f>
        <v>76475.42</v>
      </c>
      <c r="P22" s="2">
        <f t="shared" si="8"/>
        <v>2067.85</v>
      </c>
      <c r="Q22" s="2">
        <f t="shared" si="8"/>
        <v>19862.75</v>
      </c>
      <c r="R22" s="2">
        <f t="shared" si="8"/>
        <v>4668.33</v>
      </c>
      <c r="S22" s="2">
        <f t="shared" si="8"/>
        <v>54544.82</v>
      </c>
      <c r="T22" s="2">
        <f t="shared" si="8"/>
        <v>0</v>
      </c>
      <c r="U22" s="2">
        <f t="shared" si="8"/>
        <v>171.61395499999998</v>
      </c>
      <c r="V22" s="2">
        <f t="shared" si="8"/>
        <v>11.037475000000001</v>
      </c>
      <c r="W22" s="2">
        <f t="shared" si="8"/>
        <v>0</v>
      </c>
      <c r="X22" s="2">
        <f t="shared" si="8"/>
        <v>48492.26</v>
      </c>
      <c r="Y22" s="2">
        <f t="shared" si="8"/>
        <v>35895.54</v>
      </c>
      <c r="Z22" s="2">
        <f t="shared" si="8"/>
        <v>0</v>
      </c>
      <c r="AA22" s="2">
        <f t="shared" si="8"/>
        <v>0</v>
      </c>
      <c r="AB22" s="2">
        <f t="shared" si="8"/>
        <v>76475.42</v>
      </c>
      <c r="AC22" s="2">
        <f t="shared" si="8"/>
        <v>2067.85</v>
      </c>
      <c r="AD22" s="2">
        <f t="shared" si="8"/>
        <v>19862.75</v>
      </c>
      <c r="AE22" s="2">
        <f t="shared" si="8"/>
        <v>4668.33</v>
      </c>
      <c r="AF22" s="2">
        <f t="shared" si="8"/>
        <v>54544.82</v>
      </c>
      <c r="AG22" s="2">
        <f t="shared" si="8"/>
        <v>0</v>
      </c>
      <c r="AH22" s="2">
        <f t="shared" si="8"/>
        <v>171.61395499999998</v>
      </c>
      <c r="AI22" s="2">
        <f t="shared" si="8"/>
        <v>11.037475000000001</v>
      </c>
      <c r="AJ22" s="2">
        <f t="shared" si="8"/>
        <v>0</v>
      </c>
      <c r="AK22" s="2">
        <f t="shared" si="8"/>
        <v>48492.26</v>
      </c>
      <c r="AL22" s="2">
        <f t="shared" si="8"/>
        <v>35895.54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160863.22</v>
      </c>
      <c r="AS22" s="2">
        <f t="shared" si="8"/>
        <v>696.4</v>
      </c>
      <c r="AT22" s="2">
        <f t="shared" si="8"/>
        <v>160166.82</v>
      </c>
      <c r="AU22" s="2">
        <f t="shared" ref="AU22:BZ22" si="9">AU50</f>
        <v>0</v>
      </c>
      <c r="AV22" s="2">
        <f t="shared" si="9"/>
        <v>2067.85</v>
      </c>
      <c r="AW22" s="2">
        <f t="shared" si="9"/>
        <v>2067.85</v>
      </c>
      <c r="AX22" s="2">
        <f t="shared" si="9"/>
        <v>0</v>
      </c>
      <c r="AY22" s="2">
        <f t="shared" si="9"/>
        <v>2067.85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CA50</f>
        <v>160863.22</v>
      </c>
      <c r="CB22" s="2">
        <f t="shared" si="10"/>
        <v>696.4</v>
      </c>
      <c r="CC22" s="2">
        <f t="shared" si="10"/>
        <v>160166.82</v>
      </c>
      <c r="CD22" s="2">
        <f t="shared" si="10"/>
        <v>0</v>
      </c>
      <c r="CE22" s="2">
        <f t="shared" si="10"/>
        <v>2067.85</v>
      </c>
      <c r="CF22" s="2">
        <f t="shared" si="10"/>
        <v>2067.85</v>
      </c>
      <c r="CG22" s="2">
        <f t="shared" si="10"/>
        <v>0</v>
      </c>
      <c r="CH22" s="2">
        <f t="shared" si="10"/>
        <v>2067.85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DG50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EM50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FS50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>
        <v>17</v>
      </c>
      <c r="B24">
        <v>1</v>
      </c>
      <c r="C24">
        <f>ROW(SmtRes!A2)</f>
        <v>2</v>
      </c>
      <c r="D24">
        <f>ROW(EtalonRes!A3)</f>
        <v>3</v>
      </c>
      <c r="E24" t="s">
        <v>12</v>
      </c>
      <c r="F24" t="s">
        <v>13</v>
      </c>
      <c r="G24" t="s">
        <v>14</v>
      </c>
      <c r="H24" t="s">
        <v>15</v>
      </c>
      <c r="I24">
        <f>ROUND(ROUND(6,2),9)</f>
        <v>6</v>
      </c>
      <c r="J24">
        <v>0</v>
      </c>
      <c r="K24">
        <f>ROUND(ROUND(6,2),9)</f>
        <v>6</v>
      </c>
      <c r="O24">
        <f t="shared" ref="O24:O48" si="14">ROUND(CP24,2)</f>
        <v>7165.72</v>
      </c>
      <c r="P24">
        <f t="shared" ref="P24:P48" si="15">ROUND(CQ24*I24,2)</f>
        <v>140.53</v>
      </c>
      <c r="Q24">
        <f t="shared" ref="Q24:Q48" si="16">ROUND(CR24*I24,2)</f>
        <v>0</v>
      </c>
      <c r="R24">
        <f t="shared" ref="R24:R48" si="17">ROUND(CS24*I24,2)</f>
        <v>0</v>
      </c>
      <c r="S24">
        <f t="shared" ref="S24:S48" si="18">ROUND(CT24*I24,2)</f>
        <v>7025.19</v>
      </c>
      <c r="T24">
        <f t="shared" ref="T24:T48" si="19">ROUND(CU24*I24,2)</f>
        <v>0</v>
      </c>
      <c r="U24">
        <f t="shared" ref="U24:U48" si="20">CV24*I24</f>
        <v>24.72</v>
      </c>
      <c r="V24">
        <f t="shared" ref="V24:V48" si="21">CW24*I24</f>
        <v>0</v>
      </c>
      <c r="W24">
        <f t="shared" ref="W24:W48" si="22">ROUND(CX24*I24,2)</f>
        <v>0</v>
      </c>
      <c r="X24">
        <f t="shared" ref="X24:X48" si="23">ROUND(CY24,2)</f>
        <v>5620.15</v>
      </c>
      <c r="Y24">
        <f t="shared" ref="Y24:Y48" si="24">ROUND(CZ24,2)</f>
        <v>4215.1099999999997</v>
      </c>
      <c r="AA24">
        <v>50121127</v>
      </c>
      <c r="AB24">
        <f t="shared" ref="AB24:AB48" si="25">ROUND((AC24+AD24+AF24),6)</f>
        <v>35.840000000000003</v>
      </c>
      <c r="AC24">
        <f t="shared" ref="AC24:AC48" si="26">ROUND((ES24),6)</f>
        <v>0.7</v>
      </c>
      <c r="AD24">
        <f t="shared" ref="AD24:AD41" si="27">ROUND((((ET24)-(EU24))+AE24),6)</f>
        <v>0</v>
      </c>
      <c r="AE24">
        <f t="shared" ref="AE24:AE41" si="28">ROUND((EU24),6)</f>
        <v>0</v>
      </c>
      <c r="AF24">
        <f t="shared" ref="AF24:AF41" si="29">ROUND((EV24),6)</f>
        <v>35.14</v>
      </c>
      <c r="AG24">
        <f t="shared" ref="AG24:AG48" si="30">ROUND((AP24),6)</f>
        <v>0</v>
      </c>
      <c r="AH24">
        <f t="shared" ref="AH24:AH41" si="31">(EW24)</f>
        <v>4.12</v>
      </c>
      <c r="AI24">
        <f t="shared" ref="AI24:AI41" si="32">(EX24)</f>
        <v>0</v>
      </c>
      <c r="AJ24">
        <f t="shared" ref="AJ24:AJ48" si="33">(AS24)</f>
        <v>0</v>
      </c>
      <c r="AK24">
        <v>35.840000000000003</v>
      </c>
      <c r="AL24">
        <v>0.7</v>
      </c>
      <c r="AM24">
        <v>0</v>
      </c>
      <c r="AN24">
        <v>0</v>
      </c>
      <c r="AO24">
        <v>35.14</v>
      </c>
      <c r="AP24">
        <v>0</v>
      </c>
      <c r="AQ24">
        <v>4.12</v>
      </c>
      <c r="AR24">
        <v>0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33.32</v>
      </c>
      <c r="BB24">
        <v>1</v>
      </c>
      <c r="BC24">
        <v>33.46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2</v>
      </c>
      <c r="BJ24" t="s">
        <v>16</v>
      </c>
      <c r="BM24">
        <v>134001</v>
      </c>
      <c r="BN24">
        <v>0</v>
      </c>
      <c r="BO24" t="s">
        <v>13</v>
      </c>
      <c r="BP24">
        <v>1</v>
      </c>
      <c r="BQ24">
        <v>3</v>
      </c>
      <c r="BR24">
        <v>0</v>
      </c>
      <c r="BS24">
        <v>33.32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60</v>
      </c>
      <c r="CB24" t="s">
        <v>3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48" si="34">(P24+Q24+S24)</f>
        <v>7165.7199999999993</v>
      </c>
      <c r="CQ24">
        <f t="shared" ref="CQ24:CQ48" si="35">AC24*BC24</f>
        <v>23.422000000000001</v>
      </c>
      <c r="CR24">
        <f t="shared" ref="CR24:CR48" si="36">AD24*BB24</f>
        <v>0</v>
      </c>
      <c r="CS24">
        <f t="shared" ref="CS24:CS48" si="37">AE24*BS24</f>
        <v>0</v>
      </c>
      <c r="CT24">
        <f t="shared" ref="CT24:CT48" si="38">AF24*BA24</f>
        <v>1170.8648000000001</v>
      </c>
      <c r="CU24">
        <f t="shared" ref="CU24:CU48" si="39">AG24</f>
        <v>0</v>
      </c>
      <c r="CV24">
        <f t="shared" ref="CV24:CV48" si="40">AH24</f>
        <v>4.12</v>
      </c>
      <c r="CW24">
        <f t="shared" ref="CW24:CW48" si="41">AI24</f>
        <v>0</v>
      </c>
      <c r="CX24">
        <f t="shared" ref="CX24:CX48" si="42">AJ24</f>
        <v>0</v>
      </c>
      <c r="CY24">
        <f t="shared" ref="CY24:CY48" si="43">(((S24+R24)*AT24)/100)</f>
        <v>5620.1519999999991</v>
      </c>
      <c r="CZ24">
        <f t="shared" ref="CZ24:CZ48" si="44">(((S24+R24)*AU24)/100)</f>
        <v>4215.1139999999996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15</v>
      </c>
      <c r="DW24" t="s">
        <v>15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49284010</v>
      </c>
      <c r="EF24">
        <v>3</v>
      </c>
      <c r="EG24" t="s">
        <v>17</v>
      </c>
      <c r="EH24">
        <v>0</v>
      </c>
      <c r="EI24" t="s">
        <v>3</v>
      </c>
      <c r="EJ24">
        <v>2</v>
      </c>
      <c r="EK24">
        <v>134001</v>
      </c>
      <c r="EL24" t="s">
        <v>18</v>
      </c>
      <c r="EM24" t="s">
        <v>19</v>
      </c>
      <c r="EO24" t="s">
        <v>3</v>
      </c>
      <c r="EQ24">
        <v>0</v>
      </c>
      <c r="ER24">
        <v>35.840000000000003</v>
      </c>
      <c r="ES24">
        <v>0.7</v>
      </c>
      <c r="ET24">
        <v>0</v>
      </c>
      <c r="EU24">
        <v>0</v>
      </c>
      <c r="EV24">
        <v>35.14</v>
      </c>
      <c r="EW24">
        <v>4.12</v>
      </c>
      <c r="EX24">
        <v>0</v>
      </c>
      <c r="EY24">
        <v>0</v>
      </c>
      <c r="FQ24">
        <v>0</v>
      </c>
      <c r="FR24">
        <f t="shared" ref="FR24:FR48" si="45">ROUND(IF(AND(BH24=3,BI24=3),P24,0),2)</f>
        <v>0</v>
      </c>
      <c r="FS24">
        <v>0</v>
      </c>
      <c r="FX24">
        <v>80</v>
      </c>
      <c r="FY24">
        <v>60</v>
      </c>
      <c r="GA24" t="s">
        <v>3</v>
      </c>
      <c r="GD24">
        <v>1</v>
      </c>
      <c r="GF24">
        <v>733744107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48" si="46">ROUND(IF(AND(BH24=3,BI24=3,FS24&lt;&gt;0),P24,0),2)</f>
        <v>0</v>
      </c>
      <c r="GM24">
        <f t="shared" ref="GM24:GM48" si="47">ROUND(O24+X24+Y24,2)+GX24</f>
        <v>17000.98</v>
      </c>
      <c r="GN24">
        <f t="shared" ref="GN24:GN48" si="48">IF(OR(BI24=0,BI24=1),ROUND(O24+X24+Y24,2),0)</f>
        <v>0</v>
      </c>
      <c r="GO24">
        <f t="shared" ref="GO24:GO48" si="49">IF(BI24=2,ROUND(O24+X24+Y24,2),0)</f>
        <v>17000.98</v>
      </c>
      <c r="GP24">
        <f t="shared" ref="GP24:GP48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48" si="51">ROUND((GT24),6)</f>
        <v>0</v>
      </c>
      <c r="GW24">
        <v>1</v>
      </c>
      <c r="GX24">
        <f t="shared" ref="GX24:GX48" si="52">ROUND(HC24*I24,2)</f>
        <v>0</v>
      </c>
      <c r="HA24">
        <v>0</v>
      </c>
      <c r="HB24">
        <v>0</v>
      </c>
      <c r="HC24">
        <f t="shared" ref="HC24:HC48" si="53">GV24*GW24</f>
        <v>0</v>
      </c>
      <c r="HE24" t="s">
        <v>3</v>
      </c>
      <c r="HF24" t="s">
        <v>3</v>
      </c>
      <c r="HM24" t="s">
        <v>3</v>
      </c>
      <c r="IK24">
        <v>0</v>
      </c>
    </row>
    <row r="25" spans="1:245" x14ac:dyDescent="0.2">
      <c r="A25">
        <v>17</v>
      </c>
      <c r="B25">
        <v>1</v>
      </c>
      <c r="E25" t="s">
        <v>3</v>
      </c>
      <c r="F25" t="s">
        <v>20</v>
      </c>
      <c r="G25" t="s">
        <v>458</v>
      </c>
      <c r="H25" t="s">
        <v>21</v>
      </c>
      <c r="I25">
        <f>ROUND(ROUND(6,2),9)</f>
        <v>6</v>
      </c>
      <c r="J25">
        <v>0</v>
      </c>
      <c r="K25">
        <f>ROUND(ROUND(6,2),9)</f>
        <v>6</v>
      </c>
      <c r="O25">
        <f t="shared" si="14"/>
        <v>145667.46</v>
      </c>
      <c r="P25">
        <f t="shared" si="15"/>
        <v>145667.46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-1</v>
      </c>
      <c r="AB25">
        <f t="shared" si="25"/>
        <v>24277.91</v>
      </c>
      <c r="AC25">
        <f t="shared" si="26"/>
        <v>24277.91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24277.91</v>
      </c>
      <c r="AL25">
        <v>24277.91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3</v>
      </c>
      <c r="BJ25" t="s">
        <v>3</v>
      </c>
      <c r="BM25">
        <v>1100</v>
      </c>
      <c r="BN25">
        <v>0</v>
      </c>
      <c r="BO25" t="s">
        <v>3</v>
      </c>
      <c r="BP25">
        <v>0</v>
      </c>
      <c r="BQ25">
        <v>8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0</v>
      </c>
      <c r="CA25">
        <v>0</v>
      </c>
      <c r="CB25" t="s">
        <v>3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145667.46</v>
      </c>
      <c r="CQ25">
        <f t="shared" si="35"/>
        <v>24277.91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 t="shared" si="43"/>
        <v>0</v>
      </c>
      <c r="CZ25">
        <f t="shared" si="44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1010</v>
      </c>
      <c r="DV25" t="s">
        <v>21</v>
      </c>
      <c r="DW25" t="s">
        <v>21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49284274</v>
      </c>
      <c r="EF25">
        <v>8</v>
      </c>
      <c r="EG25" t="s">
        <v>22</v>
      </c>
      <c r="EH25">
        <v>0</v>
      </c>
      <c r="EI25" t="s">
        <v>3</v>
      </c>
      <c r="EJ25">
        <v>1</v>
      </c>
      <c r="EK25">
        <v>1100</v>
      </c>
      <c r="EL25" t="s">
        <v>23</v>
      </c>
      <c r="EM25" t="s">
        <v>24</v>
      </c>
      <c r="EO25" t="s">
        <v>3</v>
      </c>
      <c r="EQ25">
        <v>1024</v>
      </c>
      <c r="ER25">
        <v>24277.91</v>
      </c>
      <c r="ES25">
        <v>24277.91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5</v>
      </c>
      <c r="FC25">
        <v>0</v>
      </c>
      <c r="FD25">
        <v>18</v>
      </c>
      <c r="FF25">
        <v>23290.400000000001</v>
      </c>
      <c r="FQ25">
        <v>0</v>
      </c>
      <c r="FR25">
        <f t="shared" si="45"/>
        <v>145667.46</v>
      </c>
      <c r="FS25">
        <v>0</v>
      </c>
      <c r="FX25">
        <v>0</v>
      </c>
      <c r="FY25">
        <v>0</v>
      </c>
      <c r="GA25" t="s">
        <v>25</v>
      </c>
      <c r="GD25">
        <v>1</v>
      </c>
      <c r="GF25">
        <v>-1668828525</v>
      </c>
      <c r="GG25">
        <v>2</v>
      </c>
      <c r="GH25">
        <v>3</v>
      </c>
      <c r="GI25">
        <v>3</v>
      </c>
      <c r="GJ25">
        <v>0</v>
      </c>
      <c r="GK25">
        <v>0</v>
      </c>
      <c r="GL25">
        <f t="shared" si="46"/>
        <v>0</v>
      </c>
      <c r="GM25">
        <f t="shared" si="47"/>
        <v>145667.46</v>
      </c>
      <c r="GN25">
        <f t="shared" si="48"/>
        <v>0</v>
      </c>
      <c r="GO25">
        <f t="shared" si="49"/>
        <v>0</v>
      </c>
      <c r="GP25">
        <f t="shared" si="50"/>
        <v>0</v>
      </c>
      <c r="GR25">
        <v>1</v>
      </c>
      <c r="GS25">
        <v>1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HE25" t="s">
        <v>26</v>
      </c>
      <c r="HF25" t="s">
        <v>27</v>
      </c>
      <c r="HM25" t="s">
        <v>3</v>
      </c>
      <c r="IK25">
        <v>0</v>
      </c>
    </row>
    <row r="26" spans="1:245" x14ac:dyDescent="0.2">
      <c r="A26">
        <v>17</v>
      </c>
      <c r="B26">
        <v>1</v>
      </c>
      <c r="C26">
        <f>ROW(SmtRes!A5)</f>
        <v>5</v>
      </c>
      <c r="D26">
        <f>ROW(EtalonRes!A6)</f>
        <v>6</v>
      </c>
      <c r="E26" t="s">
        <v>28</v>
      </c>
      <c r="F26" t="s">
        <v>29</v>
      </c>
      <c r="G26" t="s">
        <v>30</v>
      </c>
      <c r="H26" t="s">
        <v>15</v>
      </c>
      <c r="I26">
        <f>ROUND(ROUND(1,2),9)</f>
        <v>1</v>
      </c>
      <c r="J26">
        <v>0</v>
      </c>
      <c r="K26">
        <f>ROUND(ROUND(1,2),9)</f>
        <v>1</v>
      </c>
      <c r="O26">
        <f t="shared" si="14"/>
        <v>352.25</v>
      </c>
      <c r="P26">
        <f t="shared" si="15"/>
        <v>11.72</v>
      </c>
      <c r="Q26">
        <f t="shared" si="16"/>
        <v>0</v>
      </c>
      <c r="R26">
        <f t="shared" si="17"/>
        <v>0</v>
      </c>
      <c r="S26">
        <f t="shared" si="18"/>
        <v>340.53</v>
      </c>
      <c r="T26">
        <f t="shared" si="19"/>
        <v>0</v>
      </c>
      <c r="U26">
        <f t="shared" si="20"/>
        <v>1.03</v>
      </c>
      <c r="V26">
        <f t="shared" si="21"/>
        <v>0</v>
      </c>
      <c r="W26">
        <f t="shared" si="22"/>
        <v>0</v>
      </c>
      <c r="X26">
        <f t="shared" si="23"/>
        <v>272.42</v>
      </c>
      <c r="Y26">
        <f t="shared" si="24"/>
        <v>204.32</v>
      </c>
      <c r="AA26">
        <v>50121127</v>
      </c>
      <c r="AB26">
        <f t="shared" si="25"/>
        <v>11.53</v>
      </c>
      <c r="AC26">
        <f t="shared" si="26"/>
        <v>1.31</v>
      </c>
      <c r="AD26">
        <f t="shared" si="27"/>
        <v>0</v>
      </c>
      <c r="AE26">
        <f t="shared" si="28"/>
        <v>0</v>
      </c>
      <c r="AF26">
        <f t="shared" si="29"/>
        <v>10.220000000000001</v>
      </c>
      <c r="AG26">
        <f t="shared" si="30"/>
        <v>0</v>
      </c>
      <c r="AH26">
        <f t="shared" si="31"/>
        <v>1.03</v>
      </c>
      <c r="AI26">
        <f t="shared" si="32"/>
        <v>0</v>
      </c>
      <c r="AJ26">
        <f t="shared" si="33"/>
        <v>0</v>
      </c>
      <c r="AK26">
        <v>11.53</v>
      </c>
      <c r="AL26">
        <v>1.31</v>
      </c>
      <c r="AM26">
        <v>0</v>
      </c>
      <c r="AN26">
        <v>0</v>
      </c>
      <c r="AO26">
        <v>10.220000000000001</v>
      </c>
      <c r="AP26">
        <v>0</v>
      </c>
      <c r="AQ26">
        <v>1.03</v>
      </c>
      <c r="AR26">
        <v>0</v>
      </c>
      <c r="AS26">
        <v>0</v>
      </c>
      <c r="AT26">
        <v>80</v>
      </c>
      <c r="AU26">
        <v>60</v>
      </c>
      <c r="AV26">
        <v>1</v>
      </c>
      <c r="AW26">
        <v>1</v>
      </c>
      <c r="AZ26">
        <v>1</v>
      </c>
      <c r="BA26">
        <v>33.32</v>
      </c>
      <c r="BB26">
        <v>1</v>
      </c>
      <c r="BC26">
        <v>8.9499999999999993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2</v>
      </c>
      <c r="BJ26" t="s">
        <v>31</v>
      </c>
      <c r="BM26">
        <v>111001</v>
      </c>
      <c r="BN26">
        <v>0</v>
      </c>
      <c r="BO26" t="s">
        <v>29</v>
      </c>
      <c r="BP26">
        <v>1</v>
      </c>
      <c r="BQ26">
        <v>3</v>
      </c>
      <c r="BR26">
        <v>0</v>
      </c>
      <c r="BS26">
        <v>33.32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80</v>
      </c>
      <c r="CA26">
        <v>60</v>
      </c>
      <c r="CB26" t="s">
        <v>3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352.25</v>
      </c>
      <c r="CQ26">
        <f t="shared" si="35"/>
        <v>11.724499999999999</v>
      </c>
      <c r="CR26">
        <f t="shared" si="36"/>
        <v>0</v>
      </c>
      <c r="CS26">
        <f t="shared" si="37"/>
        <v>0</v>
      </c>
      <c r="CT26">
        <f t="shared" si="38"/>
        <v>340.53040000000004</v>
      </c>
      <c r="CU26">
        <f t="shared" si="39"/>
        <v>0</v>
      </c>
      <c r="CV26">
        <f t="shared" si="40"/>
        <v>1.03</v>
      </c>
      <c r="CW26">
        <f t="shared" si="41"/>
        <v>0</v>
      </c>
      <c r="CX26">
        <f t="shared" si="42"/>
        <v>0</v>
      </c>
      <c r="CY26">
        <f t="shared" si="43"/>
        <v>272.42399999999998</v>
      </c>
      <c r="CZ26">
        <f t="shared" si="44"/>
        <v>204.31799999999998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15</v>
      </c>
      <c r="DW26" t="s">
        <v>15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49283983</v>
      </c>
      <c r="EF26">
        <v>3</v>
      </c>
      <c r="EG26" t="s">
        <v>17</v>
      </c>
      <c r="EH26">
        <v>0</v>
      </c>
      <c r="EI26" t="s">
        <v>3</v>
      </c>
      <c r="EJ26">
        <v>2</v>
      </c>
      <c r="EK26">
        <v>111001</v>
      </c>
      <c r="EL26" t="s">
        <v>32</v>
      </c>
      <c r="EM26" t="s">
        <v>33</v>
      </c>
      <c r="EO26" t="s">
        <v>3</v>
      </c>
      <c r="EQ26">
        <v>0</v>
      </c>
      <c r="ER26">
        <v>11.53</v>
      </c>
      <c r="ES26">
        <v>1.31</v>
      </c>
      <c r="ET26">
        <v>0</v>
      </c>
      <c r="EU26">
        <v>0</v>
      </c>
      <c r="EV26">
        <v>10.220000000000001</v>
      </c>
      <c r="EW26">
        <v>1.03</v>
      </c>
      <c r="EX26">
        <v>0</v>
      </c>
      <c r="EY26">
        <v>0</v>
      </c>
      <c r="FQ26">
        <v>0</v>
      </c>
      <c r="FR26">
        <f t="shared" si="45"/>
        <v>0</v>
      </c>
      <c r="FS26">
        <v>0</v>
      </c>
      <c r="FX26">
        <v>80</v>
      </c>
      <c r="FY26">
        <v>60</v>
      </c>
      <c r="GA26" t="s">
        <v>3</v>
      </c>
      <c r="GD26">
        <v>1</v>
      </c>
      <c r="GF26">
        <v>-1793343634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828.99</v>
      </c>
      <c r="GN26">
        <f t="shared" si="48"/>
        <v>0</v>
      </c>
      <c r="GO26">
        <f t="shared" si="49"/>
        <v>828.99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HE26" t="s">
        <v>3</v>
      </c>
      <c r="HF26" t="s">
        <v>3</v>
      </c>
      <c r="HM26" t="s">
        <v>3</v>
      </c>
      <c r="IK26">
        <v>0</v>
      </c>
    </row>
    <row r="27" spans="1:245" x14ac:dyDescent="0.2">
      <c r="A27">
        <v>17</v>
      </c>
      <c r="B27">
        <v>1</v>
      </c>
      <c r="E27" t="s">
        <v>3</v>
      </c>
      <c r="F27" t="s">
        <v>20</v>
      </c>
      <c r="G27" t="s">
        <v>34</v>
      </c>
      <c r="H27" t="s">
        <v>21</v>
      </c>
      <c r="I27">
        <f>ROUND(ROUND(1,2),9)</f>
        <v>1</v>
      </c>
      <c r="J27">
        <v>0</v>
      </c>
      <c r="K27">
        <f>ROUND(ROUND(1,2),9)</f>
        <v>1</v>
      </c>
      <c r="O27">
        <f t="shared" si="14"/>
        <v>251739.6</v>
      </c>
      <c r="P27">
        <f t="shared" si="15"/>
        <v>251739.6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-1</v>
      </c>
      <c r="AB27">
        <f t="shared" si="25"/>
        <v>251739.6</v>
      </c>
      <c r="AC27">
        <f t="shared" si="26"/>
        <v>251739.6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</v>
      </c>
      <c r="AK27">
        <v>251739.6</v>
      </c>
      <c r="AL27">
        <v>251739.6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3</v>
      </c>
      <c r="BJ27" t="s">
        <v>3</v>
      </c>
      <c r="BM27">
        <v>1100</v>
      </c>
      <c r="BN27">
        <v>0</v>
      </c>
      <c r="BO27" t="s">
        <v>3</v>
      </c>
      <c r="BP27">
        <v>0</v>
      </c>
      <c r="BQ27">
        <v>8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0</v>
      </c>
      <c r="CA27">
        <v>0</v>
      </c>
      <c r="CB27" t="s">
        <v>3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251739.6</v>
      </c>
      <c r="CQ27">
        <f t="shared" si="35"/>
        <v>251739.6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</v>
      </c>
      <c r="CY27">
        <f t="shared" si="43"/>
        <v>0</v>
      </c>
      <c r="CZ27">
        <f t="shared" si="44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1010</v>
      </c>
      <c r="DV27" t="s">
        <v>21</v>
      </c>
      <c r="DW27" t="s">
        <v>21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49284274</v>
      </c>
      <c r="EF27">
        <v>8</v>
      </c>
      <c r="EG27" t="s">
        <v>22</v>
      </c>
      <c r="EH27">
        <v>0</v>
      </c>
      <c r="EI27" t="s">
        <v>3</v>
      </c>
      <c r="EJ27">
        <v>1</v>
      </c>
      <c r="EK27">
        <v>1100</v>
      </c>
      <c r="EL27" t="s">
        <v>23</v>
      </c>
      <c r="EM27" t="s">
        <v>24</v>
      </c>
      <c r="EO27" t="s">
        <v>3</v>
      </c>
      <c r="EQ27">
        <v>1024</v>
      </c>
      <c r="ER27">
        <v>251739.6</v>
      </c>
      <c r="ES27">
        <v>251739.6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5</v>
      </c>
      <c r="FC27">
        <v>1</v>
      </c>
      <c r="FD27">
        <v>18</v>
      </c>
      <c r="FF27">
        <v>289800</v>
      </c>
      <c r="FQ27">
        <v>0</v>
      </c>
      <c r="FR27">
        <f t="shared" si="45"/>
        <v>251739.6</v>
      </c>
      <c r="FS27">
        <v>0</v>
      </c>
      <c r="FX27">
        <v>0</v>
      </c>
      <c r="FY27">
        <v>0</v>
      </c>
      <c r="GA27" t="s">
        <v>35</v>
      </c>
      <c r="GD27">
        <v>1</v>
      </c>
      <c r="GF27">
        <v>1386855354</v>
      </c>
      <c r="GG27">
        <v>2</v>
      </c>
      <c r="GH27">
        <v>3</v>
      </c>
      <c r="GI27">
        <v>3</v>
      </c>
      <c r="GJ27">
        <v>0</v>
      </c>
      <c r="GK27">
        <v>0</v>
      </c>
      <c r="GL27">
        <f t="shared" si="46"/>
        <v>0</v>
      </c>
      <c r="GM27">
        <f t="shared" si="47"/>
        <v>251739.6</v>
      </c>
      <c r="GN27">
        <f t="shared" si="48"/>
        <v>0</v>
      </c>
      <c r="GO27">
        <f t="shared" si="49"/>
        <v>0</v>
      </c>
      <c r="GP27">
        <f t="shared" si="50"/>
        <v>0</v>
      </c>
      <c r="GR27">
        <v>1</v>
      </c>
      <c r="GS27">
        <v>1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HE27" t="s">
        <v>26</v>
      </c>
      <c r="HF27" t="s">
        <v>27</v>
      </c>
      <c r="HM27" t="s">
        <v>3</v>
      </c>
      <c r="IK27">
        <v>0</v>
      </c>
    </row>
    <row r="28" spans="1:245" x14ac:dyDescent="0.2">
      <c r="A28">
        <v>17</v>
      </c>
      <c r="B28">
        <v>1</v>
      </c>
      <c r="E28" t="s">
        <v>3</v>
      </c>
      <c r="F28" t="s">
        <v>20</v>
      </c>
      <c r="G28" t="s">
        <v>36</v>
      </c>
      <c r="H28" t="s">
        <v>21</v>
      </c>
      <c r="I28">
        <f>ROUND(ROUND(2,2),9)</f>
        <v>2</v>
      </c>
      <c r="J28">
        <v>0</v>
      </c>
      <c r="K28">
        <f>ROUND(ROUND(2,2),9)</f>
        <v>2</v>
      </c>
      <c r="O28">
        <f t="shared" si="14"/>
        <v>4246.92</v>
      </c>
      <c r="P28">
        <f t="shared" si="15"/>
        <v>4246.92</v>
      </c>
      <c r="Q28">
        <f t="shared" si="16"/>
        <v>0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4"/>
        <v>0</v>
      </c>
      <c r="AA28">
        <v>-1</v>
      </c>
      <c r="AB28">
        <f t="shared" si="25"/>
        <v>2123.46</v>
      </c>
      <c r="AC28">
        <f t="shared" si="26"/>
        <v>2123.46</v>
      </c>
      <c r="AD28">
        <f t="shared" si="27"/>
        <v>0</v>
      </c>
      <c r="AE28">
        <f t="shared" si="28"/>
        <v>0</v>
      </c>
      <c r="AF28">
        <f t="shared" si="29"/>
        <v>0</v>
      </c>
      <c r="AG28">
        <f t="shared" si="30"/>
        <v>0</v>
      </c>
      <c r="AH28">
        <f t="shared" si="31"/>
        <v>0</v>
      </c>
      <c r="AI28">
        <f t="shared" si="32"/>
        <v>0</v>
      </c>
      <c r="AJ28">
        <f t="shared" si="33"/>
        <v>0</v>
      </c>
      <c r="AK28">
        <v>2123.46</v>
      </c>
      <c r="AL28">
        <v>2123.46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2</v>
      </c>
      <c r="BJ28" t="s">
        <v>3</v>
      </c>
      <c r="BM28">
        <v>1100</v>
      </c>
      <c r="BN28">
        <v>0</v>
      </c>
      <c r="BO28" t="s">
        <v>3</v>
      </c>
      <c r="BP28">
        <v>0</v>
      </c>
      <c r="BQ28">
        <v>8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0</v>
      </c>
      <c r="CA28">
        <v>0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4246.92</v>
      </c>
      <c r="CQ28">
        <f t="shared" si="35"/>
        <v>2123.46</v>
      </c>
      <c r="CR28">
        <f t="shared" si="36"/>
        <v>0</v>
      </c>
      <c r="CS28">
        <f t="shared" si="37"/>
        <v>0</v>
      </c>
      <c r="CT28">
        <f t="shared" si="38"/>
        <v>0</v>
      </c>
      <c r="CU28">
        <f t="shared" si="39"/>
        <v>0</v>
      </c>
      <c r="CV28">
        <f t="shared" si="40"/>
        <v>0</v>
      </c>
      <c r="CW28">
        <f t="shared" si="41"/>
        <v>0</v>
      </c>
      <c r="CX28">
        <f t="shared" si="42"/>
        <v>0</v>
      </c>
      <c r="CY28">
        <f t="shared" si="43"/>
        <v>0</v>
      </c>
      <c r="CZ28">
        <f t="shared" si="44"/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1010</v>
      </c>
      <c r="DV28" t="s">
        <v>21</v>
      </c>
      <c r="DW28" t="s">
        <v>21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49284274</v>
      </c>
      <c r="EF28">
        <v>8</v>
      </c>
      <c r="EG28" t="s">
        <v>22</v>
      </c>
      <c r="EH28">
        <v>0</v>
      </c>
      <c r="EI28" t="s">
        <v>3</v>
      </c>
      <c r="EJ28">
        <v>1</v>
      </c>
      <c r="EK28">
        <v>1100</v>
      </c>
      <c r="EL28" t="s">
        <v>23</v>
      </c>
      <c r="EM28" t="s">
        <v>24</v>
      </c>
      <c r="EO28" t="s">
        <v>3</v>
      </c>
      <c r="EQ28">
        <v>1024</v>
      </c>
      <c r="ER28">
        <v>2123.46</v>
      </c>
      <c r="ES28">
        <v>2123.46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5</v>
      </c>
      <c r="FC28">
        <v>1</v>
      </c>
      <c r="FD28">
        <v>18</v>
      </c>
      <c r="FF28">
        <v>2425.4299999999998</v>
      </c>
      <c r="FQ28">
        <v>0</v>
      </c>
      <c r="FR28">
        <f t="shared" si="45"/>
        <v>0</v>
      </c>
      <c r="FS28">
        <v>0</v>
      </c>
      <c r="FX28">
        <v>0</v>
      </c>
      <c r="FY28">
        <v>0</v>
      </c>
      <c r="GA28" t="s">
        <v>37</v>
      </c>
      <c r="GD28">
        <v>1</v>
      </c>
      <c r="GF28">
        <v>-938232324</v>
      </c>
      <c r="GG28">
        <v>2</v>
      </c>
      <c r="GH28">
        <v>3</v>
      </c>
      <c r="GI28">
        <v>3</v>
      </c>
      <c r="GJ28">
        <v>0</v>
      </c>
      <c r="GK28">
        <v>0</v>
      </c>
      <c r="GL28">
        <f t="shared" si="46"/>
        <v>0</v>
      </c>
      <c r="GM28">
        <f t="shared" si="47"/>
        <v>4246.92</v>
      </c>
      <c r="GN28">
        <f t="shared" si="48"/>
        <v>0</v>
      </c>
      <c r="GO28">
        <f t="shared" si="49"/>
        <v>4246.92</v>
      </c>
      <c r="GP28">
        <f t="shared" si="50"/>
        <v>0</v>
      </c>
      <c r="GR28">
        <v>1</v>
      </c>
      <c r="GS28">
        <v>1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HE28" t="s">
        <v>38</v>
      </c>
      <c r="HF28" t="s">
        <v>27</v>
      </c>
      <c r="HM28" t="s">
        <v>3</v>
      </c>
      <c r="IK28">
        <v>0</v>
      </c>
    </row>
    <row r="29" spans="1:245" x14ac:dyDescent="0.2">
      <c r="A29">
        <v>17</v>
      </c>
      <c r="B29">
        <v>1</v>
      </c>
      <c r="C29">
        <f>ROW(SmtRes!A16)</f>
        <v>16</v>
      </c>
      <c r="D29">
        <f>ROW(EtalonRes!A17)</f>
        <v>17</v>
      </c>
      <c r="E29" t="s">
        <v>39</v>
      </c>
      <c r="F29" t="s">
        <v>40</v>
      </c>
      <c r="G29" t="s">
        <v>41</v>
      </c>
      <c r="H29" t="s">
        <v>15</v>
      </c>
      <c r="I29">
        <f>ROUND(ROUND(1,2),9)</f>
        <v>1</v>
      </c>
      <c r="J29">
        <v>0</v>
      </c>
      <c r="K29">
        <f>ROUND(ROUND(1,2),9)</f>
        <v>1</v>
      </c>
      <c r="O29">
        <f t="shared" si="14"/>
        <v>1125.5999999999999</v>
      </c>
      <c r="P29">
        <f t="shared" si="15"/>
        <v>34.61</v>
      </c>
      <c r="Q29">
        <f t="shared" si="16"/>
        <v>307.64</v>
      </c>
      <c r="R29">
        <f t="shared" si="17"/>
        <v>105.29</v>
      </c>
      <c r="S29">
        <f t="shared" si="18"/>
        <v>783.35</v>
      </c>
      <c r="T29">
        <f t="shared" si="19"/>
        <v>0</v>
      </c>
      <c r="U29">
        <f t="shared" si="20"/>
        <v>2.37</v>
      </c>
      <c r="V29">
        <f t="shared" si="21"/>
        <v>0.28999999999999998</v>
      </c>
      <c r="W29">
        <f t="shared" si="22"/>
        <v>0</v>
      </c>
      <c r="X29">
        <f t="shared" si="23"/>
        <v>844.21</v>
      </c>
      <c r="Y29">
        <f t="shared" si="24"/>
        <v>577.62</v>
      </c>
      <c r="AA29">
        <v>50121127</v>
      </c>
      <c r="AB29">
        <f t="shared" si="25"/>
        <v>59.07</v>
      </c>
      <c r="AC29">
        <f t="shared" si="26"/>
        <v>3.38</v>
      </c>
      <c r="AD29">
        <f t="shared" si="27"/>
        <v>32.18</v>
      </c>
      <c r="AE29">
        <f t="shared" si="28"/>
        <v>3.16</v>
      </c>
      <c r="AF29">
        <f t="shared" si="29"/>
        <v>23.51</v>
      </c>
      <c r="AG29">
        <f t="shared" si="30"/>
        <v>0</v>
      </c>
      <c r="AH29">
        <f t="shared" si="31"/>
        <v>2.37</v>
      </c>
      <c r="AI29">
        <f t="shared" si="32"/>
        <v>0.28999999999999998</v>
      </c>
      <c r="AJ29">
        <f t="shared" si="33"/>
        <v>0</v>
      </c>
      <c r="AK29">
        <v>59.07</v>
      </c>
      <c r="AL29">
        <v>3.38</v>
      </c>
      <c r="AM29">
        <v>32.18</v>
      </c>
      <c r="AN29">
        <v>3.16</v>
      </c>
      <c r="AO29">
        <v>23.51</v>
      </c>
      <c r="AP29">
        <v>0</v>
      </c>
      <c r="AQ29">
        <v>2.37</v>
      </c>
      <c r="AR29">
        <v>0.28999999999999998</v>
      </c>
      <c r="AS29">
        <v>0</v>
      </c>
      <c r="AT29">
        <v>95</v>
      </c>
      <c r="AU29">
        <v>65</v>
      </c>
      <c r="AV29">
        <v>1</v>
      </c>
      <c r="AW29">
        <v>1</v>
      </c>
      <c r="AZ29">
        <v>1</v>
      </c>
      <c r="BA29">
        <v>33.32</v>
      </c>
      <c r="BB29">
        <v>9.56</v>
      </c>
      <c r="BC29">
        <v>10.24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42</v>
      </c>
      <c r="BM29">
        <v>108001</v>
      </c>
      <c r="BN29">
        <v>0</v>
      </c>
      <c r="BO29" t="s">
        <v>40</v>
      </c>
      <c r="BP29">
        <v>1</v>
      </c>
      <c r="BQ29">
        <v>3</v>
      </c>
      <c r="BR29">
        <v>0</v>
      </c>
      <c r="BS29">
        <v>33.32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95</v>
      </c>
      <c r="CA29">
        <v>65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1125.5999999999999</v>
      </c>
      <c r="CQ29">
        <f t="shared" si="35"/>
        <v>34.611199999999997</v>
      </c>
      <c r="CR29">
        <f t="shared" si="36"/>
        <v>307.64080000000001</v>
      </c>
      <c r="CS29">
        <f t="shared" si="37"/>
        <v>105.2912</v>
      </c>
      <c r="CT29">
        <f t="shared" si="38"/>
        <v>783.35320000000002</v>
      </c>
      <c r="CU29">
        <f t="shared" si="39"/>
        <v>0</v>
      </c>
      <c r="CV29">
        <f t="shared" si="40"/>
        <v>2.37</v>
      </c>
      <c r="CW29">
        <f t="shared" si="41"/>
        <v>0.28999999999999998</v>
      </c>
      <c r="CX29">
        <f t="shared" si="42"/>
        <v>0</v>
      </c>
      <c r="CY29">
        <f t="shared" si="43"/>
        <v>844.20800000000008</v>
      </c>
      <c r="CZ29">
        <f t="shared" si="44"/>
        <v>577.61599999999999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15</v>
      </c>
      <c r="DW29" t="s">
        <v>15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49283977</v>
      </c>
      <c r="EF29">
        <v>3</v>
      </c>
      <c r="EG29" t="s">
        <v>17</v>
      </c>
      <c r="EH29">
        <v>0</v>
      </c>
      <c r="EI29" t="s">
        <v>3</v>
      </c>
      <c r="EJ29">
        <v>2</v>
      </c>
      <c r="EK29">
        <v>108001</v>
      </c>
      <c r="EL29" t="s">
        <v>43</v>
      </c>
      <c r="EM29" t="s">
        <v>44</v>
      </c>
      <c r="EO29" t="s">
        <v>3</v>
      </c>
      <c r="EQ29">
        <v>0</v>
      </c>
      <c r="ER29">
        <v>59.07</v>
      </c>
      <c r="ES29">
        <v>3.38</v>
      </c>
      <c r="ET29">
        <v>32.18</v>
      </c>
      <c r="EU29">
        <v>3.16</v>
      </c>
      <c r="EV29">
        <v>23.51</v>
      </c>
      <c r="EW29">
        <v>2.37</v>
      </c>
      <c r="EX29">
        <v>0.28999999999999998</v>
      </c>
      <c r="EY29">
        <v>0</v>
      </c>
      <c r="FQ29">
        <v>0</v>
      </c>
      <c r="FR29">
        <f t="shared" si="45"/>
        <v>0</v>
      </c>
      <c r="FS29">
        <v>0</v>
      </c>
      <c r="FX29">
        <v>95</v>
      </c>
      <c r="FY29">
        <v>65</v>
      </c>
      <c r="GA29" t="s">
        <v>3</v>
      </c>
      <c r="GD29">
        <v>1</v>
      </c>
      <c r="GF29">
        <v>-1126504097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2547.4299999999998</v>
      </c>
      <c r="GN29">
        <f t="shared" si="48"/>
        <v>0</v>
      </c>
      <c r="GO29">
        <f t="shared" si="49"/>
        <v>2547.4299999999998</v>
      </c>
      <c r="GP29">
        <f t="shared" si="50"/>
        <v>0</v>
      </c>
      <c r="GR29">
        <v>0</v>
      </c>
      <c r="GS29">
        <v>3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HE29" t="s">
        <v>3</v>
      </c>
      <c r="HF29" t="s">
        <v>3</v>
      </c>
      <c r="HM29" t="s">
        <v>3</v>
      </c>
      <c r="IK29">
        <v>0</v>
      </c>
    </row>
    <row r="30" spans="1:245" x14ac:dyDescent="0.2">
      <c r="A30">
        <v>17</v>
      </c>
      <c r="B30">
        <v>1</v>
      </c>
      <c r="E30" t="s">
        <v>3</v>
      </c>
      <c r="F30" t="s">
        <v>20</v>
      </c>
      <c r="G30" t="s">
        <v>45</v>
      </c>
      <c r="H30" t="s">
        <v>21</v>
      </c>
      <c r="I30">
        <f>ROUND(ROUND(1,2),9)</f>
        <v>1</v>
      </c>
      <c r="J30">
        <v>0</v>
      </c>
      <c r="K30">
        <f>ROUND(ROUND(1,2),9)</f>
        <v>1</v>
      </c>
      <c r="O30">
        <f t="shared" si="14"/>
        <v>11729.95</v>
      </c>
      <c r="P30">
        <f t="shared" si="15"/>
        <v>11729.95</v>
      </c>
      <c r="Q30">
        <f t="shared" si="16"/>
        <v>0</v>
      </c>
      <c r="R30">
        <f t="shared" si="17"/>
        <v>0</v>
      </c>
      <c r="S30">
        <f t="shared" si="18"/>
        <v>0</v>
      </c>
      <c r="T30">
        <f t="shared" si="19"/>
        <v>0</v>
      </c>
      <c r="U30">
        <f t="shared" si="20"/>
        <v>0</v>
      </c>
      <c r="V30">
        <f t="shared" si="21"/>
        <v>0</v>
      </c>
      <c r="W30">
        <f t="shared" si="22"/>
        <v>0</v>
      </c>
      <c r="X30">
        <f t="shared" si="23"/>
        <v>0</v>
      </c>
      <c r="Y30">
        <f t="shared" si="24"/>
        <v>0</v>
      </c>
      <c r="AA30">
        <v>-1</v>
      </c>
      <c r="AB30">
        <f t="shared" si="25"/>
        <v>11729.95</v>
      </c>
      <c r="AC30">
        <f t="shared" si="26"/>
        <v>11729.95</v>
      </c>
      <c r="AD30">
        <f t="shared" si="27"/>
        <v>0</v>
      </c>
      <c r="AE30">
        <f t="shared" si="28"/>
        <v>0</v>
      </c>
      <c r="AF30">
        <f t="shared" si="29"/>
        <v>0</v>
      </c>
      <c r="AG30">
        <f t="shared" si="30"/>
        <v>0</v>
      </c>
      <c r="AH30">
        <f t="shared" si="31"/>
        <v>0</v>
      </c>
      <c r="AI30">
        <f t="shared" si="32"/>
        <v>0</v>
      </c>
      <c r="AJ30">
        <f t="shared" si="33"/>
        <v>0</v>
      </c>
      <c r="AK30">
        <v>11729.95</v>
      </c>
      <c r="AL30">
        <v>11729.95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2</v>
      </c>
      <c r="BJ30" t="s">
        <v>3</v>
      </c>
      <c r="BM30">
        <v>1100</v>
      </c>
      <c r="BN30">
        <v>0</v>
      </c>
      <c r="BO30" t="s">
        <v>3</v>
      </c>
      <c r="BP30">
        <v>0</v>
      </c>
      <c r="BQ30">
        <v>8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0</v>
      </c>
      <c r="CA30">
        <v>0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11729.95</v>
      </c>
      <c r="CQ30">
        <f t="shared" si="35"/>
        <v>11729.95</v>
      </c>
      <c r="CR30">
        <f t="shared" si="36"/>
        <v>0</v>
      </c>
      <c r="CS30">
        <f t="shared" si="37"/>
        <v>0</v>
      </c>
      <c r="CT30">
        <f t="shared" si="38"/>
        <v>0</v>
      </c>
      <c r="CU30">
        <f t="shared" si="39"/>
        <v>0</v>
      </c>
      <c r="CV30">
        <f t="shared" si="40"/>
        <v>0</v>
      </c>
      <c r="CW30">
        <f t="shared" si="41"/>
        <v>0</v>
      </c>
      <c r="CX30">
        <f t="shared" si="42"/>
        <v>0</v>
      </c>
      <c r="CY30">
        <f t="shared" si="43"/>
        <v>0</v>
      </c>
      <c r="CZ30">
        <f t="shared" si="44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1010</v>
      </c>
      <c r="DV30" t="s">
        <v>21</v>
      </c>
      <c r="DW30" t="s">
        <v>21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49284274</v>
      </c>
      <c r="EF30">
        <v>8</v>
      </c>
      <c r="EG30" t="s">
        <v>22</v>
      </c>
      <c r="EH30">
        <v>0</v>
      </c>
      <c r="EI30" t="s">
        <v>3</v>
      </c>
      <c r="EJ30">
        <v>1</v>
      </c>
      <c r="EK30">
        <v>1100</v>
      </c>
      <c r="EL30" t="s">
        <v>23</v>
      </c>
      <c r="EM30" t="s">
        <v>24</v>
      </c>
      <c r="EO30" t="s">
        <v>3</v>
      </c>
      <c r="EQ30">
        <v>1024</v>
      </c>
      <c r="ER30">
        <v>11729.95</v>
      </c>
      <c r="ES30">
        <v>11729.95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5</v>
      </c>
      <c r="FC30">
        <v>1</v>
      </c>
      <c r="FD30">
        <v>18</v>
      </c>
      <c r="FF30">
        <v>13398</v>
      </c>
      <c r="FQ30">
        <v>0</v>
      </c>
      <c r="FR30">
        <f t="shared" si="45"/>
        <v>0</v>
      </c>
      <c r="FS30">
        <v>0</v>
      </c>
      <c r="FX30">
        <v>0</v>
      </c>
      <c r="FY30">
        <v>0</v>
      </c>
      <c r="GA30" t="s">
        <v>46</v>
      </c>
      <c r="GD30">
        <v>1</v>
      </c>
      <c r="GF30">
        <v>-209318986</v>
      </c>
      <c r="GG30">
        <v>2</v>
      </c>
      <c r="GH30">
        <v>3</v>
      </c>
      <c r="GI30">
        <v>3</v>
      </c>
      <c r="GJ30">
        <v>0</v>
      </c>
      <c r="GK30">
        <v>0</v>
      </c>
      <c r="GL30">
        <f t="shared" si="46"/>
        <v>0</v>
      </c>
      <c r="GM30">
        <f t="shared" si="47"/>
        <v>11729.95</v>
      </c>
      <c r="GN30">
        <f t="shared" si="48"/>
        <v>0</v>
      </c>
      <c r="GO30">
        <f t="shared" si="49"/>
        <v>11729.95</v>
      </c>
      <c r="GP30">
        <f t="shared" si="50"/>
        <v>0</v>
      </c>
      <c r="GR30">
        <v>1</v>
      </c>
      <c r="GS30">
        <v>1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38</v>
      </c>
      <c r="HF30" t="s">
        <v>27</v>
      </c>
      <c r="HM30" t="s">
        <v>3</v>
      </c>
      <c r="IK30">
        <v>0</v>
      </c>
    </row>
    <row r="31" spans="1:245" x14ac:dyDescent="0.2">
      <c r="A31">
        <v>17</v>
      </c>
      <c r="B31">
        <v>1</v>
      </c>
      <c r="C31">
        <f>ROW(SmtRes!A26)</f>
        <v>26</v>
      </c>
      <c r="D31">
        <f>ROW(EtalonRes!A27)</f>
        <v>27</v>
      </c>
      <c r="E31" t="s">
        <v>47</v>
      </c>
      <c r="F31" t="s">
        <v>48</v>
      </c>
      <c r="G31" t="s">
        <v>49</v>
      </c>
      <c r="H31" t="s">
        <v>50</v>
      </c>
      <c r="I31">
        <f>ROUND(ROUND(1/100,2),9)</f>
        <v>0.01</v>
      </c>
      <c r="J31">
        <v>0</v>
      </c>
      <c r="K31">
        <f>ROUND(ROUND(1/100,2),9)</f>
        <v>0.01</v>
      </c>
      <c r="O31">
        <f t="shared" si="14"/>
        <v>826.37</v>
      </c>
      <c r="P31">
        <f t="shared" si="15"/>
        <v>52.21</v>
      </c>
      <c r="Q31">
        <f t="shared" si="16"/>
        <v>40.130000000000003</v>
      </c>
      <c r="R31">
        <f t="shared" si="17"/>
        <v>8.82</v>
      </c>
      <c r="S31">
        <f t="shared" si="18"/>
        <v>734.03</v>
      </c>
      <c r="T31">
        <f t="shared" si="19"/>
        <v>0</v>
      </c>
      <c r="U31">
        <f t="shared" si="20"/>
        <v>2.29</v>
      </c>
      <c r="V31">
        <f t="shared" si="21"/>
        <v>1.9599999999999999E-2</v>
      </c>
      <c r="W31">
        <f t="shared" si="22"/>
        <v>0</v>
      </c>
      <c r="X31">
        <f t="shared" si="23"/>
        <v>594.28</v>
      </c>
      <c r="Y31">
        <f t="shared" si="24"/>
        <v>445.71</v>
      </c>
      <c r="AA31">
        <v>50121127</v>
      </c>
      <c r="AB31">
        <f t="shared" si="25"/>
        <v>3053.76</v>
      </c>
      <c r="AC31">
        <f t="shared" si="26"/>
        <v>416.01</v>
      </c>
      <c r="AD31">
        <f t="shared" si="27"/>
        <v>434.77</v>
      </c>
      <c r="AE31">
        <f t="shared" si="28"/>
        <v>26.46</v>
      </c>
      <c r="AF31">
        <f t="shared" si="29"/>
        <v>2202.98</v>
      </c>
      <c r="AG31">
        <f t="shared" si="30"/>
        <v>0</v>
      </c>
      <c r="AH31">
        <f t="shared" si="31"/>
        <v>229</v>
      </c>
      <c r="AI31">
        <f t="shared" si="32"/>
        <v>1.96</v>
      </c>
      <c r="AJ31">
        <f t="shared" si="33"/>
        <v>0</v>
      </c>
      <c r="AK31">
        <v>3053.76</v>
      </c>
      <c r="AL31">
        <v>416.01</v>
      </c>
      <c r="AM31">
        <v>434.77</v>
      </c>
      <c r="AN31">
        <v>26.46</v>
      </c>
      <c r="AO31">
        <v>2202.98</v>
      </c>
      <c r="AP31">
        <v>0</v>
      </c>
      <c r="AQ31">
        <v>229</v>
      </c>
      <c r="AR31">
        <v>1.96</v>
      </c>
      <c r="AS31">
        <v>0</v>
      </c>
      <c r="AT31">
        <v>80</v>
      </c>
      <c r="AU31">
        <v>60</v>
      </c>
      <c r="AV31">
        <v>1</v>
      </c>
      <c r="AW31">
        <v>1</v>
      </c>
      <c r="AZ31">
        <v>1</v>
      </c>
      <c r="BA31">
        <v>33.32</v>
      </c>
      <c r="BB31">
        <v>9.23</v>
      </c>
      <c r="BC31">
        <v>12.55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2</v>
      </c>
      <c r="BJ31" t="s">
        <v>51</v>
      </c>
      <c r="BM31">
        <v>112001</v>
      </c>
      <c r="BN31">
        <v>0</v>
      </c>
      <c r="BO31" t="s">
        <v>48</v>
      </c>
      <c r="BP31">
        <v>1</v>
      </c>
      <c r="BQ31">
        <v>3</v>
      </c>
      <c r="BR31">
        <v>0</v>
      </c>
      <c r="BS31">
        <v>33.32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60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826.37</v>
      </c>
      <c r="CQ31">
        <f t="shared" si="35"/>
        <v>5220.9255000000003</v>
      </c>
      <c r="CR31">
        <f t="shared" si="36"/>
        <v>4012.9270999999999</v>
      </c>
      <c r="CS31">
        <f t="shared" si="37"/>
        <v>881.6472</v>
      </c>
      <c r="CT31">
        <f t="shared" si="38"/>
        <v>73403.293600000005</v>
      </c>
      <c r="CU31">
        <f t="shared" si="39"/>
        <v>0</v>
      </c>
      <c r="CV31">
        <f t="shared" si="40"/>
        <v>229</v>
      </c>
      <c r="CW31">
        <f t="shared" si="41"/>
        <v>1.96</v>
      </c>
      <c r="CX31">
        <f t="shared" si="42"/>
        <v>0</v>
      </c>
      <c r="CY31">
        <f t="shared" si="43"/>
        <v>594.28</v>
      </c>
      <c r="CZ31">
        <f t="shared" si="44"/>
        <v>445.71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1010</v>
      </c>
      <c r="DV31" t="s">
        <v>50</v>
      </c>
      <c r="DW31" t="s">
        <v>50</v>
      </c>
      <c r="DX31">
        <v>100</v>
      </c>
      <c r="DZ31" t="s">
        <v>3</v>
      </c>
      <c r="EA31" t="s">
        <v>3</v>
      </c>
      <c r="EB31" t="s">
        <v>3</v>
      </c>
      <c r="EC31" t="s">
        <v>3</v>
      </c>
      <c r="EE31">
        <v>49283986</v>
      </c>
      <c r="EF31">
        <v>3</v>
      </c>
      <c r="EG31" t="s">
        <v>17</v>
      </c>
      <c r="EH31">
        <v>0</v>
      </c>
      <c r="EI31" t="s">
        <v>3</v>
      </c>
      <c r="EJ31">
        <v>2</v>
      </c>
      <c r="EK31">
        <v>112001</v>
      </c>
      <c r="EL31" t="s">
        <v>52</v>
      </c>
      <c r="EM31" t="s">
        <v>53</v>
      </c>
      <c r="EO31" t="s">
        <v>3</v>
      </c>
      <c r="EQ31">
        <v>0</v>
      </c>
      <c r="ER31">
        <v>3053.76</v>
      </c>
      <c r="ES31">
        <v>416.01</v>
      </c>
      <c r="ET31">
        <v>434.77</v>
      </c>
      <c r="EU31">
        <v>26.46</v>
      </c>
      <c r="EV31">
        <v>2202.98</v>
      </c>
      <c r="EW31">
        <v>229</v>
      </c>
      <c r="EX31">
        <v>1.96</v>
      </c>
      <c r="EY31">
        <v>0</v>
      </c>
      <c r="FQ31">
        <v>0</v>
      </c>
      <c r="FR31">
        <f t="shared" si="45"/>
        <v>0</v>
      </c>
      <c r="FS31">
        <v>0</v>
      </c>
      <c r="FX31">
        <v>80</v>
      </c>
      <c r="FY31">
        <v>60</v>
      </c>
      <c r="GA31" t="s">
        <v>3</v>
      </c>
      <c r="GD31">
        <v>1</v>
      </c>
      <c r="GF31">
        <v>-351023656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6"/>
        <v>0</v>
      </c>
      <c r="GM31">
        <f t="shared" si="47"/>
        <v>1866.36</v>
      </c>
      <c r="GN31">
        <f t="shared" si="48"/>
        <v>0</v>
      </c>
      <c r="GO31">
        <f t="shared" si="49"/>
        <v>1866.36</v>
      </c>
      <c r="GP31">
        <f t="shared" si="50"/>
        <v>0</v>
      </c>
      <c r="GR31">
        <v>0</v>
      </c>
      <c r="GS31">
        <v>3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HE31" t="s">
        <v>3</v>
      </c>
      <c r="HF31" t="s">
        <v>3</v>
      </c>
      <c r="HM31" t="s">
        <v>3</v>
      </c>
      <c r="IK31">
        <v>0</v>
      </c>
    </row>
    <row r="32" spans="1:245" x14ac:dyDescent="0.2">
      <c r="A32">
        <v>17</v>
      </c>
      <c r="B32">
        <v>1</v>
      </c>
      <c r="E32" t="s">
        <v>3</v>
      </c>
      <c r="F32" t="s">
        <v>54</v>
      </c>
      <c r="G32" t="s">
        <v>55</v>
      </c>
      <c r="H32" t="s">
        <v>21</v>
      </c>
      <c r="I32">
        <f>ROUND(ROUND(1,2),9)</f>
        <v>1</v>
      </c>
      <c r="J32">
        <v>0</v>
      </c>
      <c r="K32">
        <f>ROUND(ROUND(1,2),9)</f>
        <v>1</v>
      </c>
      <c r="O32">
        <f t="shared" si="14"/>
        <v>909.06</v>
      </c>
      <c r="P32">
        <f t="shared" si="15"/>
        <v>909.06</v>
      </c>
      <c r="Q32">
        <f t="shared" si="16"/>
        <v>0</v>
      </c>
      <c r="R32">
        <f t="shared" si="17"/>
        <v>0</v>
      </c>
      <c r="S32">
        <f t="shared" si="18"/>
        <v>0</v>
      </c>
      <c r="T32">
        <f t="shared" si="19"/>
        <v>0</v>
      </c>
      <c r="U32">
        <f t="shared" si="20"/>
        <v>0</v>
      </c>
      <c r="V32">
        <f t="shared" si="21"/>
        <v>0</v>
      </c>
      <c r="W32">
        <f t="shared" si="22"/>
        <v>0.01</v>
      </c>
      <c r="X32">
        <f t="shared" si="23"/>
        <v>0</v>
      </c>
      <c r="Y32">
        <f t="shared" si="24"/>
        <v>0</v>
      </c>
      <c r="AA32">
        <v>-1</v>
      </c>
      <c r="AB32">
        <f t="shared" si="25"/>
        <v>43.33</v>
      </c>
      <c r="AC32">
        <f t="shared" si="26"/>
        <v>43.33</v>
      </c>
      <c r="AD32">
        <f t="shared" si="27"/>
        <v>0</v>
      </c>
      <c r="AE32">
        <f t="shared" si="28"/>
        <v>0</v>
      </c>
      <c r="AF32">
        <f t="shared" si="29"/>
        <v>0</v>
      </c>
      <c r="AG32">
        <f t="shared" si="30"/>
        <v>0</v>
      </c>
      <c r="AH32">
        <f t="shared" si="31"/>
        <v>0</v>
      </c>
      <c r="AI32">
        <f t="shared" si="32"/>
        <v>0</v>
      </c>
      <c r="AJ32">
        <f t="shared" si="33"/>
        <v>0.01</v>
      </c>
      <c r="AK32">
        <v>43.33</v>
      </c>
      <c r="AL32">
        <v>43.33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0.01</v>
      </c>
      <c r="AT32">
        <v>0</v>
      </c>
      <c r="AU32">
        <v>0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20.98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1</v>
      </c>
      <c r="BJ32" t="s">
        <v>56</v>
      </c>
      <c r="BM32">
        <v>500001</v>
      </c>
      <c r="BN32">
        <v>0</v>
      </c>
      <c r="BO32" t="s">
        <v>54</v>
      </c>
      <c r="BP32">
        <v>1</v>
      </c>
      <c r="BQ32">
        <v>8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0</v>
      </c>
      <c r="CA32">
        <v>0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909.06</v>
      </c>
      <c r="CQ32">
        <f t="shared" si="35"/>
        <v>909.0634</v>
      </c>
      <c r="CR32">
        <f t="shared" si="36"/>
        <v>0</v>
      </c>
      <c r="CS32">
        <f t="shared" si="37"/>
        <v>0</v>
      </c>
      <c r="CT32">
        <f t="shared" si="38"/>
        <v>0</v>
      </c>
      <c r="CU32">
        <f t="shared" si="39"/>
        <v>0</v>
      </c>
      <c r="CV32">
        <f t="shared" si="40"/>
        <v>0</v>
      </c>
      <c r="CW32">
        <f t="shared" si="41"/>
        <v>0</v>
      </c>
      <c r="CX32">
        <f t="shared" si="42"/>
        <v>0.01</v>
      </c>
      <c r="CY32">
        <f t="shared" si="43"/>
        <v>0</v>
      </c>
      <c r="CZ32">
        <f t="shared" si="44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1010</v>
      </c>
      <c r="DV32" t="s">
        <v>21</v>
      </c>
      <c r="DW32" t="s">
        <v>21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49284027</v>
      </c>
      <c r="EF32">
        <v>8</v>
      </c>
      <c r="EG32" t="s">
        <v>22</v>
      </c>
      <c r="EH32">
        <v>0</v>
      </c>
      <c r="EI32" t="s">
        <v>3</v>
      </c>
      <c r="EJ32">
        <v>1</v>
      </c>
      <c r="EK32">
        <v>500001</v>
      </c>
      <c r="EL32" t="s">
        <v>57</v>
      </c>
      <c r="EM32" t="s">
        <v>58</v>
      </c>
      <c r="EO32" t="s">
        <v>3</v>
      </c>
      <c r="EQ32">
        <v>1024</v>
      </c>
      <c r="ER32">
        <v>43.33</v>
      </c>
      <c r="ES32">
        <v>43.33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FQ32">
        <v>0</v>
      </c>
      <c r="FR32">
        <f t="shared" si="45"/>
        <v>0</v>
      </c>
      <c r="FS32">
        <v>0</v>
      </c>
      <c r="FX32">
        <v>0</v>
      </c>
      <c r="FY32">
        <v>0</v>
      </c>
      <c r="GA32" t="s">
        <v>3</v>
      </c>
      <c r="GD32">
        <v>1</v>
      </c>
      <c r="GF32">
        <v>1944909296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909.06</v>
      </c>
      <c r="GN32">
        <f t="shared" si="48"/>
        <v>909.06</v>
      </c>
      <c r="GO32">
        <f t="shared" si="49"/>
        <v>0</v>
      </c>
      <c r="GP32">
        <f t="shared" si="50"/>
        <v>0</v>
      </c>
      <c r="GR32">
        <v>0</v>
      </c>
      <c r="GS32">
        <v>3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3</v>
      </c>
      <c r="HF32" t="s">
        <v>3</v>
      </c>
      <c r="HM32" t="s">
        <v>3</v>
      </c>
      <c r="IK32">
        <v>0</v>
      </c>
    </row>
    <row r="33" spans="1:245" x14ac:dyDescent="0.2">
      <c r="A33">
        <v>17</v>
      </c>
      <c r="B33">
        <v>1</v>
      </c>
      <c r="C33">
        <f>ROW(SmtRes!A38)</f>
        <v>38</v>
      </c>
      <c r="D33">
        <f>ROW(EtalonRes!A39)</f>
        <v>39</v>
      </c>
      <c r="E33" t="s">
        <v>59</v>
      </c>
      <c r="F33" t="s">
        <v>60</v>
      </c>
      <c r="G33" t="s">
        <v>61</v>
      </c>
      <c r="H33" t="s">
        <v>62</v>
      </c>
      <c r="I33">
        <f>ROUND(ROUND(20/100,2),9)</f>
        <v>0.2</v>
      </c>
      <c r="J33">
        <v>0</v>
      </c>
      <c r="K33">
        <f>ROUND(ROUND(20/100,2),9)</f>
        <v>0.2</v>
      </c>
      <c r="O33">
        <f t="shared" si="14"/>
        <v>1155.1099999999999</v>
      </c>
      <c r="P33">
        <f t="shared" si="15"/>
        <v>69.14</v>
      </c>
      <c r="Q33">
        <f t="shared" si="16"/>
        <v>73.709999999999994</v>
      </c>
      <c r="R33">
        <f t="shared" si="17"/>
        <v>16.190000000000001</v>
      </c>
      <c r="S33">
        <f t="shared" si="18"/>
        <v>1012.26</v>
      </c>
      <c r="T33">
        <f t="shared" si="19"/>
        <v>0</v>
      </c>
      <c r="U33">
        <f t="shared" si="20"/>
        <v>3.2320000000000002</v>
      </c>
      <c r="V33">
        <f t="shared" si="21"/>
        <v>3.5999999999999997E-2</v>
      </c>
      <c r="W33">
        <f t="shared" si="22"/>
        <v>0</v>
      </c>
      <c r="X33">
        <f t="shared" si="23"/>
        <v>977.03</v>
      </c>
      <c r="Y33">
        <f t="shared" si="24"/>
        <v>668.49</v>
      </c>
      <c r="AA33">
        <v>50121127</v>
      </c>
      <c r="AB33">
        <f t="shared" si="25"/>
        <v>256.45</v>
      </c>
      <c r="AC33">
        <f t="shared" si="26"/>
        <v>64.62</v>
      </c>
      <c r="AD33">
        <f t="shared" si="27"/>
        <v>39.93</v>
      </c>
      <c r="AE33">
        <f t="shared" si="28"/>
        <v>2.4300000000000002</v>
      </c>
      <c r="AF33">
        <f t="shared" si="29"/>
        <v>151.9</v>
      </c>
      <c r="AG33">
        <f t="shared" si="30"/>
        <v>0</v>
      </c>
      <c r="AH33">
        <f t="shared" si="31"/>
        <v>16.16</v>
      </c>
      <c r="AI33">
        <f t="shared" si="32"/>
        <v>0.18</v>
      </c>
      <c r="AJ33">
        <f t="shared" si="33"/>
        <v>0</v>
      </c>
      <c r="AK33">
        <v>256.45</v>
      </c>
      <c r="AL33">
        <v>64.62</v>
      </c>
      <c r="AM33">
        <v>39.93</v>
      </c>
      <c r="AN33">
        <v>2.4300000000000002</v>
      </c>
      <c r="AO33">
        <v>151.9</v>
      </c>
      <c r="AP33">
        <v>0</v>
      </c>
      <c r="AQ33">
        <v>16.16</v>
      </c>
      <c r="AR33">
        <v>0.18</v>
      </c>
      <c r="AS33">
        <v>0</v>
      </c>
      <c r="AT33">
        <v>95</v>
      </c>
      <c r="AU33">
        <v>65</v>
      </c>
      <c r="AV33">
        <v>1</v>
      </c>
      <c r="AW33">
        <v>1</v>
      </c>
      <c r="AZ33">
        <v>1</v>
      </c>
      <c r="BA33">
        <v>33.32</v>
      </c>
      <c r="BB33">
        <v>9.23</v>
      </c>
      <c r="BC33">
        <v>5.35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2</v>
      </c>
      <c r="BJ33" t="s">
        <v>63</v>
      </c>
      <c r="BM33">
        <v>108001</v>
      </c>
      <c r="BN33">
        <v>0</v>
      </c>
      <c r="BO33" t="s">
        <v>60</v>
      </c>
      <c r="BP33">
        <v>1</v>
      </c>
      <c r="BQ33">
        <v>3</v>
      </c>
      <c r="BR33">
        <v>0</v>
      </c>
      <c r="BS33">
        <v>33.32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95</v>
      </c>
      <c r="CA33">
        <v>65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1155.1099999999999</v>
      </c>
      <c r="CQ33">
        <f t="shared" si="35"/>
        <v>345.71699999999998</v>
      </c>
      <c r="CR33">
        <f t="shared" si="36"/>
        <v>368.5539</v>
      </c>
      <c r="CS33">
        <f t="shared" si="37"/>
        <v>80.967600000000004</v>
      </c>
      <c r="CT33">
        <f t="shared" si="38"/>
        <v>5061.308</v>
      </c>
      <c r="CU33">
        <f t="shared" si="39"/>
        <v>0</v>
      </c>
      <c r="CV33">
        <f t="shared" si="40"/>
        <v>16.16</v>
      </c>
      <c r="CW33">
        <f t="shared" si="41"/>
        <v>0.18</v>
      </c>
      <c r="CX33">
        <f t="shared" si="42"/>
        <v>0</v>
      </c>
      <c r="CY33">
        <f t="shared" si="43"/>
        <v>977.02750000000003</v>
      </c>
      <c r="CZ33">
        <f t="shared" si="44"/>
        <v>668.49249999999995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62</v>
      </c>
      <c r="DW33" t="s">
        <v>62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49283977</v>
      </c>
      <c r="EF33">
        <v>3</v>
      </c>
      <c r="EG33" t="s">
        <v>17</v>
      </c>
      <c r="EH33">
        <v>0</v>
      </c>
      <c r="EI33" t="s">
        <v>3</v>
      </c>
      <c r="EJ33">
        <v>2</v>
      </c>
      <c r="EK33">
        <v>108001</v>
      </c>
      <c r="EL33" t="s">
        <v>43</v>
      </c>
      <c r="EM33" t="s">
        <v>44</v>
      </c>
      <c r="EO33" t="s">
        <v>3</v>
      </c>
      <c r="EQ33">
        <v>0</v>
      </c>
      <c r="ER33">
        <v>256.45</v>
      </c>
      <c r="ES33">
        <v>64.62</v>
      </c>
      <c r="ET33">
        <v>39.93</v>
      </c>
      <c r="EU33">
        <v>2.4300000000000002</v>
      </c>
      <c r="EV33">
        <v>151.9</v>
      </c>
      <c r="EW33">
        <v>16.16</v>
      </c>
      <c r="EX33">
        <v>0.18</v>
      </c>
      <c r="EY33">
        <v>0</v>
      </c>
      <c r="FQ33">
        <v>0</v>
      </c>
      <c r="FR33">
        <f t="shared" si="45"/>
        <v>0</v>
      </c>
      <c r="FS33">
        <v>0</v>
      </c>
      <c r="FX33">
        <v>95</v>
      </c>
      <c r="FY33">
        <v>65</v>
      </c>
      <c r="GA33" t="s">
        <v>3</v>
      </c>
      <c r="GD33">
        <v>1</v>
      </c>
      <c r="GF33">
        <v>-1476381088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2800.63</v>
      </c>
      <c r="GN33">
        <f t="shared" si="48"/>
        <v>0</v>
      </c>
      <c r="GO33">
        <f t="shared" si="49"/>
        <v>2800.63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HE33" t="s">
        <v>3</v>
      </c>
      <c r="HF33" t="s">
        <v>3</v>
      </c>
      <c r="HM33" t="s">
        <v>3</v>
      </c>
      <c r="IK33">
        <v>0</v>
      </c>
    </row>
    <row r="34" spans="1:245" x14ac:dyDescent="0.2">
      <c r="A34">
        <v>17</v>
      </c>
      <c r="B34">
        <v>1</v>
      </c>
      <c r="E34" t="s">
        <v>3</v>
      </c>
      <c r="F34" t="s">
        <v>64</v>
      </c>
      <c r="G34" t="s">
        <v>65</v>
      </c>
      <c r="H34" t="s">
        <v>66</v>
      </c>
      <c r="I34">
        <f>ROUND(ROUND((20*1.02)/1000,2),9)</f>
        <v>0.02</v>
      </c>
      <c r="J34">
        <v>0</v>
      </c>
      <c r="K34">
        <f>ROUND(ROUND((20*1.02)/1000,2),9)</f>
        <v>0.02</v>
      </c>
      <c r="O34">
        <f t="shared" si="14"/>
        <v>876.09</v>
      </c>
      <c r="P34">
        <f t="shared" si="15"/>
        <v>876.09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-1</v>
      </c>
      <c r="AB34">
        <f t="shared" si="25"/>
        <v>43804.69</v>
      </c>
      <c r="AC34">
        <f t="shared" si="26"/>
        <v>43804.69</v>
      </c>
      <c r="AD34">
        <f t="shared" si="27"/>
        <v>0</v>
      </c>
      <c r="AE34">
        <f t="shared" si="28"/>
        <v>0</v>
      </c>
      <c r="AF34">
        <f t="shared" si="29"/>
        <v>0</v>
      </c>
      <c r="AG34">
        <f t="shared" si="30"/>
        <v>0</v>
      </c>
      <c r="AH34">
        <f t="shared" si="31"/>
        <v>0</v>
      </c>
      <c r="AI34">
        <f t="shared" si="32"/>
        <v>0</v>
      </c>
      <c r="AJ34">
        <f t="shared" si="33"/>
        <v>0</v>
      </c>
      <c r="AK34">
        <v>43804.69</v>
      </c>
      <c r="AL34">
        <v>43804.69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2</v>
      </c>
      <c r="BJ34" t="s">
        <v>67</v>
      </c>
      <c r="BM34">
        <v>500002</v>
      </c>
      <c r="BN34">
        <v>0</v>
      </c>
      <c r="BO34" t="s">
        <v>3</v>
      </c>
      <c r="BP34">
        <v>0</v>
      </c>
      <c r="BQ34">
        <v>12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876.09</v>
      </c>
      <c r="CQ34">
        <f t="shared" si="35"/>
        <v>43804.69</v>
      </c>
      <c r="CR34">
        <f t="shared" si="36"/>
        <v>0</v>
      </c>
      <c r="CS34">
        <f t="shared" si="37"/>
        <v>0</v>
      </c>
      <c r="CT34">
        <f t="shared" si="38"/>
        <v>0</v>
      </c>
      <c r="CU34">
        <f t="shared" si="39"/>
        <v>0</v>
      </c>
      <c r="CV34">
        <f t="shared" si="40"/>
        <v>0</v>
      </c>
      <c r="CW34">
        <f t="shared" si="41"/>
        <v>0</v>
      </c>
      <c r="CX34">
        <f t="shared" si="42"/>
        <v>0</v>
      </c>
      <c r="CY34">
        <f t="shared" si="43"/>
        <v>0</v>
      </c>
      <c r="CZ34">
        <f t="shared" si="44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1013</v>
      </c>
      <c r="DV34" t="s">
        <v>66</v>
      </c>
      <c r="DW34" t="s">
        <v>68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49284028</v>
      </c>
      <c r="EF34">
        <v>12</v>
      </c>
      <c r="EG34" t="s">
        <v>69</v>
      </c>
      <c r="EH34">
        <v>0</v>
      </c>
      <c r="EI34" t="s">
        <v>3</v>
      </c>
      <c r="EJ34">
        <v>2</v>
      </c>
      <c r="EK34">
        <v>500002</v>
      </c>
      <c r="EL34" t="s">
        <v>70</v>
      </c>
      <c r="EM34" t="s">
        <v>71</v>
      </c>
      <c r="EO34" t="s">
        <v>3</v>
      </c>
      <c r="EQ34">
        <v>1024</v>
      </c>
      <c r="ER34">
        <v>43804.69</v>
      </c>
      <c r="ES34">
        <v>43804.69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45"/>
        <v>0</v>
      </c>
      <c r="FS34">
        <v>0</v>
      </c>
      <c r="FX34">
        <v>0</v>
      </c>
      <c r="FY34">
        <v>0</v>
      </c>
      <c r="GA34" t="s">
        <v>72</v>
      </c>
      <c r="GD34">
        <v>1</v>
      </c>
      <c r="GE34">
        <v>43804.69</v>
      </c>
      <c r="GF34">
        <v>1639841130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46"/>
        <v>0</v>
      </c>
      <c r="GM34">
        <f t="shared" si="47"/>
        <v>876.09</v>
      </c>
      <c r="GN34">
        <f t="shared" si="48"/>
        <v>0</v>
      </c>
      <c r="GO34">
        <f t="shared" si="49"/>
        <v>876.09</v>
      </c>
      <c r="GP34">
        <f t="shared" si="50"/>
        <v>0</v>
      </c>
      <c r="GR34">
        <v>3</v>
      </c>
      <c r="GS34">
        <v>5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3</v>
      </c>
      <c r="HF34" t="s">
        <v>3</v>
      </c>
      <c r="HM34" t="s">
        <v>3</v>
      </c>
      <c r="IK34">
        <v>0</v>
      </c>
    </row>
    <row r="35" spans="1:245" x14ac:dyDescent="0.2">
      <c r="A35">
        <v>17</v>
      </c>
      <c r="B35">
        <v>1</v>
      </c>
      <c r="E35" t="s">
        <v>3</v>
      </c>
      <c r="F35" t="s">
        <v>20</v>
      </c>
      <c r="G35" t="s">
        <v>73</v>
      </c>
      <c r="H35" t="s">
        <v>74</v>
      </c>
      <c r="I35">
        <f>ROUND(ROUND(20*1.02,2),9)</f>
        <v>20.399999999999999</v>
      </c>
      <c r="J35">
        <v>0</v>
      </c>
      <c r="K35">
        <f>ROUND(ROUND(20*1.02,2),9)</f>
        <v>20.399999999999999</v>
      </c>
      <c r="O35">
        <f t="shared" si="14"/>
        <v>1689.53</v>
      </c>
      <c r="P35">
        <f t="shared" si="15"/>
        <v>1689.53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0</v>
      </c>
      <c r="X35">
        <f t="shared" si="23"/>
        <v>0</v>
      </c>
      <c r="Y35">
        <f t="shared" si="24"/>
        <v>0</v>
      </c>
      <c r="AA35">
        <v>-1</v>
      </c>
      <c r="AB35">
        <f t="shared" si="25"/>
        <v>82.82</v>
      </c>
      <c r="AC35">
        <f t="shared" si="26"/>
        <v>82.82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0</v>
      </c>
      <c r="AK35">
        <v>82.82</v>
      </c>
      <c r="AL35">
        <v>82.82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3</v>
      </c>
      <c r="BM35">
        <v>1100</v>
      </c>
      <c r="BN35">
        <v>0</v>
      </c>
      <c r="BO35" t="s">
        <v>3</v>
      </c>
      <c r="BP35">
        <v>0</v>
      </c>
      <c r="BQ35">
        <v>8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1689.53</v>
      </c>
      <c r="CQ35">
        <f t="shared" si="35"/>
        <v>82.82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74</v>
      </c>
      <c r="DW35" t="s">
        <v>74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49284274</v>
      </c>
      <c r="EF35">
        <v>8</v>
      </c>
      <c r="EG35" t="s">
        <v>22</v>
      </c>
      <c r="EH35">
        <v>0</v>
      </c>
      <c r="EI35" t="s">
        <v>3</v>
      </c>
      <c r="EJ35">
        <v>1</v>
      </c>
      <c r="EK35">
        <v>1100</v>
      </c>
      <c r="EL35" t="s">
        <v>23</v>
      </c>
      <c r="EM35" t="s">
        <v>24</v>
      </c>
      <c r="EO35" t="s">
        <v>3</v>
      </c>
      <c r="EQ35">
        <v>1024</v>
      </c>
      <c r="ER35">
        <v>82.82</v>
      </c>
      <c r="ES35">
        <v>82.82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5</v>
      </c>
      <c r="FC35">
        <v>1</v>
      </c>
      <c r="FD35">
        <v>18</v>
      </c>
      <c r="FF35">
        <v>94.6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75</v>
      </c>
      <c r="GD35">
        <v>1</v>
      </c>
      <c r="GF35">
        <v>321820447</v>
      </c>
      <c r="GG35">
        <v>2</v>
      </c>
      <c r="GH35">
        <v>3</v>
      </c>
      <c r="GI35">
        <v>3</v>
      </c>
      <c r="GJ35">
        <v>0</v>
      </c>
      <c r="GK35">
        <v>0</v>
      </c>
      <c r="GL35">
        <f t="shared" si="46"/>
        <v>0</v>
      </c>
      <c r="GM35">
        <f t="shared" si="47"/>
        <v>1689.53</v>
      </c>
      <c r="GN35">
        <f t="shared" si="48"/>
        <v>0</v>
      </c>
      <c r="GO35">
        <f t="shared" si="49"/>
        <v>1689.53</v>
      </c>
      <c r="GP35">
        <f t="shared" si="50"/>
        <v>0</v>
      </c>
      <c r="GR35">
        <v>1</v>
      </c>
      <c r="GS35">
        <v>1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HE35" t="s">
        <v>38</v>
      </c>
      <c r="HF35" t="s">
        <v>27</v>
      </c>
      <c r="HM35" t="s">
        <v>3</v>
      </c>
      <c r="IK35">
        <v>0</v>
      </c>
    </row>
    <row r="36" spans="1:245" x14ac:dyDescent="0.2">
      <c r="A36">
        <v>17</v>
      </c>
      <c r="B36">
        <v>1</v>
      </c>
      <c r="C36">
        <f>ROW(SmtRes!A54)</f>
        <v>54</v>
      </c>
      <c r="D36">
        <f>ROW(EtalonRes!A56)</f>
        <v>56</v>
      </c>
      <c r="E36" t="s">
        <v>76</v>
      </c>
      <c r="F36" t="s">
        <v>77</v>
      </c>
      <c r="G36" t="s">
        <v>78</v>
      </c>
      <c r="H36" t="s">
        <v>15</v>
      </c>
      <c r="I36">
        <f>ROUND(ROUND(1,2),9)</f>
        <v>1</v>
      </c>
      <c r="J36">
        <v>0</v>
      </c>
      <c r="K36">
        <f>ROUND(ROUND(1,2),9)</f>
        <v>1</v>
      </c>
      <c r="O36">
        <f t="shared" si="14"/>
        <v>4425.82</v>
      </c>
      <c r="P36">
        <f t="shared" si="15"/>
        <v>297.22000000000003</v>
      </c>
      <c r="Q36">
        <f t="shared" si="16"/>
        <v>396.43</v>
      </c>
      <c r="R36">
        <f t="shared" si="17"/>
        <v>147.61000000000001</v>
      </c>
      <c r="S36">
        <f t="shared" si="18"/>
        <v>3732.17</v>
      </c>
      <c r="T36">
        <f t="shared" si="19"/>
        <v>0</v>
      </c>
      <c r="U36">
        <f t="shared" si="20"/>
        <v>10.1</v>
      </c>
      <c r="V36">
        <f t="shared" si="21"/>
        <v>0.44</v>
      </c>
      <c r="W36">
        <f t="shared" si="22"/>
        <v>0</v>
      </c>
      <c r="X36">
        <f t="shared" si="23"/>
        <v>3103.82</v>
      </c>
      <c r="Y36">
        <f t="shared" si="24"/>
        <v>2327.87</v>
      </c>
      <c r="AA36">
        <v>50121127</v>
      </c>
      <c r="AB36">
        <f t="shared" si="25"/>
        <v>189.85</v>
      </c>
      <c r="AC36">
        <f t="shared" si="26"/>
        <v>33.89</v>
      </c>
      <c r="AD36">
        <f t="shared" si="27"/>
        <v>43.95</v>
      </c>
      <c r="AE36">
        <f t="shared" si="28"/>
        <v>4.43</v>
      </c>
      <c r="AF36">
        <f t="shared" si="29"/>
        <v>112.01</v>
      </c>
      <c r="AG36">
        <f t="shared" si="30"/>
        <v>0</v>
      </c>
      <c r="AH36">
        <f t="shared" si="31"/>
        <v>10.1</v>
      </c>
      <c r="AI36">
        <f t="shared" si="32"/>
        <v>0.44</v>
      </c>
      <c r="AJ36">
        <f t="shared" si="33"/>
        <v>0</v>
      </c>
      <c r="AK36">
        <v>189.85</v>
      </c>
      <c r="AL36">
        <v>33.89</v>
      </c>
      <c r="AM36">
        <v>43.95</v>
      </c>
      <c r="AN36">
        <v>4.43</v>
      </c>
      <c r="AO36">
        <v>112.01</v>
      </c>
      <c r="AP36">
        <v>0</v>
      </c>
      <c r="AQ36">
        <v>10.1</v>
      </c>
      <c r="AR36">
        <v>0.44</v>
      </c>
      <c r="AS36">
        <v>0</v>
      </c>
      <c r="AT36">
        <v>80</v>
      </c>
      <c r="AU36">
        <v>60</v>
      </c>
      <c r="AV36">
        <v>1</v>
      </c>
      <c r="AW36">
        <v>1</v>
      </c>
      <c r="AZ36">
        <v>1</v>
      </c>
      <c r="BA36">
        <v>33.32</v>
      </c>
      <c r="BB36">
        <v>9.02</v>
      </c>
      <c r="BC36">
        <v>8.77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2</v>
      </c>
      <c r="BJ36" t="s">
        <v>79</v>
      </c>
      <c r="BM36">
        <v>110001</v>
      </c>
      <c r="BN36">
        <v>0</v>
      </c>
      <c r="BO36" t="s">
        <v>77</v>
      </c>
      <c r="BP36">
        <v>1</v>
      </c>
      <c r="BQ36">
        <v>3</v>
      </c>
      <c r="BR36">
        <v>0</v>
      </c>
      <c r="BS36">
        <v>33.32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80</v>
      </c>
      <c r="CA36">
        <v>60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4425.82</v>
      </c>
      <c r="CQ36">
        <f t="shared" si="35"/>
        <v>297.21530000000001</v>
      </c>
      <c r="CR36">
        <f t="shared" si="36"/>
        <v>396.42900000000003</v>
      </c>
      <c r="CS36">
        <f t="shared" si="37"/>
        <v>147.60759999999999</v>
      </c>
      <c r="CT36">
        <f t="shared" si="38"/>
        <v>3732.1732000000002</v>
      </c>
      <c r="CU36">
        <f t="shared" si="39"/>
        <v>0</v>
      </c>
      <c r="CV36">
        <f t="shared" si="40"/>
        <v>10.1</v>
      </c>
      <c r="CW36">
        <f t="shared" si="41"/>
        <v>0.44</v>
      </c>
      <c r="CX36">
        <f t="shared" si="42"/>
        <v>0</v>
      </c>
      <c r="CY36">
        <f t="shared" si="43"/>
        <v>3103.8240000000001</v>
      </c>
      <c r="CZ36">
        <f t="shared" si="44"/>
        <v>2327.8680000000004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15</v>
      </c>
      <c r="DW36" t="s">
        <v>15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49283980</v>
      </c>
      <c r="EF36">
        <v>3</v>
      </c>
      <c r="EG36" t="s">
        <v>17</v>
      </c>
      <c r="EH36">
        <v>0</v>
      </c>
      <c r="EI36" t="s">
        <v>3</v>
      </c>
      <c r="EJ36">
        <v>2</v>
      </c>
      <c r="EK36">
        <v>110001</v>
      </c>
      <c r="EL36" t="s">
        <v>80</v>
      </c>
      <c r="EM36" t="s">
        <v>81</v>
      </c>
      <c r="EO36" t="s">
        <v>3</v>
      </c>
      <c r="EQ36">
        <v>0</v>
      </c>
      <c r="ER36">
        <v>189.85</v>
      </c>
      <c r="ES36">
        <v>33.89</v>
      </c>
      <c r="ET36">
        <v>43.95</v>
      </c>
      <c r="EU36">
        <v>4.43</v>
      </c>
      <c r="EV36">
        <v>112.01</v>
      </c>
      <c r="EW36">
        <v>10.1</v>
      </c>
      <c r="EX36">
        <v>0.44</v>
      </c>
      <c r="EY36">
        <v>0</v>
      </c>
      <c r="FQ36">
        <v>0</v>
      </c>
      <c r="FR36">
        <f t="shared" si="45"/>
        <v>0</v>
      </c>
      <c r="FS36">
        <v>0</v>
      </c>
      <c r="FX36">
        <v>80</v>
      </c>
      <c r="FY36">
        <v>60</v>
      </c>
      <c r="GA36" t="s">
        <v>3</v>
      </c>
      <c r="GD36">
        <v>1</v>
      </c>
      <c r="GF36">
        <v>1434967353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46"/>
        <v>0</v>
      </c>
      <c r="GM36">
        <f t="shared" si="47"/>
        <v>9857.51</v>
      </c>
      <c r="GN36">
        <f t="shared" si="48"/>
        <v>0</v>
      </c>
      <c r="GO36">
        <f t="shared" si="49"/>
        <v>9857.51</v>
      </c>
      <c r="GP36">
        <f t="shared" si="50"/>
        <v>0</v>
      </c>
      <c r="GR36">
        <v>0</v>
      </c>
      <c r="GS36">
        <v>3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3</v>
      </c>
      <c r="HF36" t="s">
        <v>3</v>
      </c>
      <c r="HM36" t="s">
        <v>3</v>
      </c>
      <c r="IK36">
        <v>0</v>
      </c>
    </row>
    <row r="37" spans="1:245" x14ac:dyDescent="0.2">
      <c r="A37">
        <v>17</v>
      </c>
      <c r="B37">
        <v>1</v>
      </c>
      <c r="E37" t="s">
        <v>3</v>
      </c>
      <c r="F37" t="s">
        <v>20</v>
      </c>
      <c r="G37" t="s">
        <v>82</v>
      </c>
      <c r="H37" t="s">
        <v>21</v>
      </c>
      <c r="I37">
        <f>ROUND(ROUND(1,2),9)</f>
        <v>1</v>
      </c>
      <c r="J37">
        <v>0</v>
      </c>
      <c r="K37">
        <f>ROUND(ROUND(1,2),9)</f>
        <v>1</v>
      </c>
      <c r="O37">
        <f t="shared" si="14"/>
        <v>525.61</v>
      </c>
      <c r="P37">
        <f t="shared" si="15"/>
        <v>525.61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-1</v>
      </c>
      <c r="AB37">
        <f t="shared" si="25"/>
        <v>525.61</v>
      </c>
      <c r="AC37">
        <f t="shared" si="26"/>
        <v>525.61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0</v>
      </c>
      <c r="AK37">
        <v>525.61</v>
      </c>
      <c r="AL37">
        <v>525.61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3</v>
      </c>
      <c r="BJ37" t="s">
        <v>3</v>
      </c>
      <c r="BM37">
        <v>1100</v>
      </c>
      <c r="BN37">
        <v>0</v>
      </c>
      <c r="BO37" t="s">
        <v>3</v>
      </c>
      <c r="BP37">
        <v>0</v>
      </c>
      <c r="BQ37">
        <v>8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525.61</v>
      </c>
      <c r="CQ37">
        <f t="shared" si="35"/>
        <v>525.61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0</v>
      </c>
      <c r="CY37">
        <f t="shared" si="43"/>
        <v>0</v>
      </c>
      <c r="CZ37">
        <f t="shared" si="44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21</v>
      </c>
      <c r="DW37" t="s">
        <v>21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49284274</v>
      </c>
      <c r="EF37">
        <v>8</v>
      </c>
      <c r="EG37" t="s">
        <v>22</v>
      </c>
      <c r="EH37">
        <v>0</v>
      </c>
      <c r="EI37" t="s">
        <v>3</v>
      </c>
      <c r="EJ37">
        <v>1</v>
      </c>
      <c r="EK37">
        <v>1100</v>
      </c>
      <c r="EL37" t="s">
        <v>23</v>
      </c>
      <c r="EM37" t="s">
        <v>24</v>
      </c>
      <c r="EO37" t="s">
        <v>3</v>
      </c>
      <c r="EQ37">
        <v>1024</v>
      </c>
      <c r="ER37">
        <v>525.61</v>
      </c>
      <c r="ES37">
        <v>525.61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5</v>
      </c>
      <c r="FC37">
        <v>1</v>
      </c>
      <c r="FD37">
        <v>18</v>
      </c>
      <c r="FF37">
        <v>605.08000000000004</v>
      </c>
      <c r="FQ37">
        <v>0</v>
      </c>
      <c r="FR37">
        <f t="shared" si="45"/>
        <v>525.61</v>
      </c>
      <c r="FS37">
        <v>0</v>
      </c>
      <c r="FX37">
        <v>0</v>
      </c>
      <c r="FY37">
        <v>0</v>
      </c>
      <c r="GA37" t="s">
        <v>83</v>
      </c>
      <c r="GD37">
        <v>1</v>
      </c>
      <c r="GF37">
        <v>-1302501029</v>
      </c>
      <c r="GG37">
        <v>2</v>
      </c>
      <c r="GH37">
        <v>3</v>
      </c>
      <c r="GI37">
        <v>3</v>
      </c>
      <c r="GJ37">
        <v>0</v>
      </c>
      <c r="GK37">
        <v>0</v>
      </c>
      <c r="GL37">
        <f t="shared" si="46"/>
        <v>0</v>
      </c>
      <c r="GM37">
        <f t="shared" si="47"/>
        <v>525.61</v>
      </c>
      <c r="GN37">
        <f t="shared" si="48"/>
        <v>0</v>
      </c>
      <c r="GO37">
        <f t="shared" si="49"/>
        <v>0</v>
      </c>
      <c r="GP37">
        <f t="shared" si="50"/>
        <v>0</v>
      </c>
      <c r="GR37">
        <v>1</v>
      </c>
      <c r="GS37">
        <v>1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HE37" t="s">
        <v>26</v>
      </c>
      <c r="HF37" t="s">
        <v>27</v>
      </c>
      <c r="HM37" t="s">
        <v>3</v>
      </c>
      <c r="IK37">
        <v>0</v>
      </c>
    </row>
    <row r="38" spans="1:245" x14ac:dyDescent="0.2">
      <c r="A38">
        <v>17</v>
      </c>
      <c r="B38">
        <v>1</v>
      </c>
      <c r="C38">
        <f>ROW(SmtRes!A66)</f>
        <v>66</v>
      </c>
      <c r="D38">
        <f>ROW(EtalonRes!A68)</f>
        <v>68</v>
      </c>
      <c r="E38" t="s">
        <v>84</v>
      </c>
      <c r="F38" t="s">
        <v>85</v>
      </c>
      <c r="G38" t="s">
        <v>86</v>
      </c>
      <c r="H38" t="s">
        <v>87</v>
      </c>
      <c r="I38">
        <f>ROUND(ROUND((60+40)/100,2),9)</f>
        <v>1</v>
      </c>
      <c r="J38">
        <v>0</v>
      </c>
      <c r="K38">
        <f>ROUND(ROUND((60+40)/100,2),9)</f>
        <v>1</v>
      </c>
      <c r="O38">
        <f t="shared" si="14"/>
        <v>31867.51</v>
      </c>
      <c r="P38">
        <f t="shared" si="15"/>
        <v>968.77</v>
      </c>
      <c r="Q38">
        <f t="shared" si="16"/>
        <v>2595.0700000000002</v>
      </c>
      <c r="R38">
        <f t="shared" si="17"/>
        <v>620.75</v>
      </c>
      <c r="S38">
        <f t="shared" si="18"/>
        <v>28303.67</v>
      </c>
      <c r="T38">
        <f t="shared" si="19"/>
        <v>0</v>
      </c>
      <c r="U38">
        <f t="shared" si="20"/>
        <v>88.3</v>
      </c>
      <c r="V38">
        <f t="shared" si="21"/>
        <v>1.51</v>
      </c>
      <c r="W38">
        <f t="shared" si="22"/>
        <v>0</v>
      </c>
      <c r="X38">
        <f t="shared" si="23"/>
        <v>23139.54</v>
      </c>
      <c r="Y38">
        <f t="shared" si="24"/>
        <v>17354.650000000001</v>
      </c>
      <c r="AA38">
        <v>50121127</v>
      </c>
      <c r="AB38">
        <f t="shared" si="25"/>
        <v>1203.5899999999999</v>
      </c>
      <c r="AC38">
        <f t="shared" si="26"/>
        <v>59.58</v>
      </c>
      <c r="AD38">
        <f t="shared" si="27"/>
        <v>294.56</v>
      </c>
      <c r="AE38">
        <f t="shared" si="28"/>
        <v>18.63</v>
      </c>
      <c r="AF38">
        <f t="shared" si="29"/>
        <v>849.45</v>
      </c>
      <c r="AG38">
        <f t="shared" si="30"/>
        <v>0</v>
      </c>
      <c r="AH38">
        <f t="shared" si="31"/>
        <v>88.3</v>
      </c>
      <c r="AI38">
        <f t="shared" si="32"/>
        <v>1.51</v>
      </c>
      <c r="AJ38">
        <f t="shared" si="33"/>
        <v>0</v>
      </c>
      <c r="AK38">
        <v>1203.5899999999999</v>
      </c>
      <c r="AL38">
        <v>59.58</v>
      </c>
      <c r="AM38">
        <v>294.56</v>
      </c>
      <c r="AN38">
        <v>18.63</v>
      </c>
      <c r="AO38">
        <v>849.45</v>
      </c>
      <c r="AP38">
        <v>0</v>
      </c>
      <c r="AQ38">
        <v>88.3</v>
      </c>
      <c r="AR38">
        <v>1.51</v>
      </c>
      <c r="AS38">
        <v>0</v>
      </c>
      <c r="AT38">
        <v>80</v>
      </c>
      <c r="AU38">
        <v>60</v>
      </c>
      <c r="AV38">
        <v>1</v>
      </c>
      <c r="AW38">
        <v>1</v>
      </c>
      <c r="AZ38">
        <v>1</v>
      </c>
      <c r="BA38">
        <v>33.32</v>
      </c>
      <c r="BB38">
        <v>8.81</v>
      </c>
      <c r="BC38">
        <v>16.260000000000002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2</v>
      </c>
      <c r="BJ38" t="s">
        <v>88</v>
      </c>
      <c r="BM38">
        <v>112001</v>
      </c>
      <c r="BN38">
        <v>0</v>
      </c>
      <c r="BO38" t="s">
        <v>85</v>
      </c>
      <c r="BP38">
        <v>1</v>
      </c>
      <c r="BQ38">
        <v>3</v>
      </c>
      <c r="BR38">
        <v>0</v>
      </c>
      <c r="BS38">
        <v>33.32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80</v>
      </c>
      <c r="CA38">
        <v>60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4"/>
        <v>31867.51</v>
      </c>
      <c r="CQ38">
        <f t="shared" si="35"/>
        <v>968.77080000000012</v>
      </c>
      <c r="CR38">
        <f t="shared" si="36"/>
        <v>2595.0736000000002</v>
      </c>
      <c r="CS38">
        <f t="shared" si="37"/>
        <v>620.75159999999994</v>
      </c>
      <c r="CT38">
        <f t="shared" si="38"/>
        <v>28303.674000000003</v>
      </c>
      <c r="CU38">
        <f t="shared" si="39"/>
        <v>0</v>
      </c>
      <c r="CV38">
        <f t="shared" si="40"/>
        <v>88.3</v>
      </c>
      <c r="CW38">
        <f t="shared" si="41"/>
        <v>1.51</v>
      </c>
      <c r="CX38">
        <f t="shared" si="42"/>
        <v>0</v>
      </c>
      <c r="CY38">
        <f t="shared" si="43"/>
        <v>23139.535999999996</v>
      </c>
      <c r="CZ38">
        <f t="shared" si="44"/>
        <v>17354.651999999998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1003</v>
      </c>
      <c r="DV38" t="s">
        <v>87</v>
      </c>
      <c r="DW38" t="s">
        <v>87</v>
      </c>
      <c r="DX38">
        <v>100</v>
      </c>
      <c r="DZ38" t="s">
        <v>3</v>
      </c>
      <c r="EA38" t="s">
        <v>3</v>
      </c>
      <c r="EB38" t="s">
        <v>3</v>
      </c>
      <c r="EC38" t="s">
        <v>3</v>
      </c>
      <c r="EE38">
        <v>49283986</v>
      </c>
      <c r="EF38">
        <v>3</v>
      </c>
      <c r="EG38" t="s">
        <v>17</v>
      </c>
      <c r="EH38">
        <v>0</v>
      </c>
      <c r="EI38" t="s">
        <v>3</v>
      </c>
      <c r="EJ38">
        <v>2</v>
      </c>
      <c r="EK38">
        <v>112001</v>
      </c>
      <c r="EL38" t="s">
        <v>52</v>
      </c>
      <c r="EM38" t="s">
        <v>53</v>
      </c>
      <c r="EO38" t="s">
        <v>3</v>
      </c>
      <c r="EQ38">
        <v>0</v>
      </c>
      <c r="ER38">
        <v>1203.5899999999999</v>
      </c>
      <c r="ES38">
        <v>59.58</v>
      </c>
      <c r="ET38">
        <v>294.56</v>
      </c>
      <c r="EU38">
        <v>18.63</v>
      </c>
      <c r="EV38">
        <v>849.45</v>
      </c>
      <c r="EW38">
        <v>88.3</v>
      </c>
      <c r="EX38">
        <v>1.51</v>
      </c>
      <c r="EY38">
        <v>0</v>
      </c>
      <c r="FQ38">
        <v>0</v>
      </c>
      <c r="FR38">
        <f t="shared" si="45"/>
        <v>0</v>
      </c>
      <c r="FS38">
        <v>0</v>
      </c>
      <c r="FX38">
        <v>80</v>
      </c>
      <c r="FY38">
        <v>60</v>
      </c>
      <c r="GA38" t="s">
        <v>3</v>
      </c>
      <c r="GD38">
        <v>1</v>
      </c>
      <c r="GF38">
        <v>-291285876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46"/>
        <v>0</v>
      </c>
      <c r="GM38">
        <f t="shared" si="47"/>
        <v>72361.7</v>
      </c>
      <c r="GN38">
        <f t="shared" si="48"/>
        <v>0</v>
      </c>
      <c r="GO38">
        <f t="shared" si="49"/>
        <v>72361.7</v>
      </c>
      <c r="GP38">
        <f t="shared" si="50"/>
        <v>0</v>
      </c>
      <c r="GR38">
        <v>0</v>
      </c>
      <c r="GS38">
        <v>3</v>
      </c>
      <c r="GT38">
        <v>0</v>
      </c>
      <c r="GU38" t="s">
        <v>3</v>
      </c>
      <c r="GV38">
        <f t="shared" si="51"/>
        <v>0</v>
      </c>
      <c r="GW38">
        <v>1</v>
      </c>
      <c r="GX38">
        <f t="shared" si="52"/>
        <v>0</v>
      </c>
      <c r="HA38">
        <v>0</v>
      </c>
      <c r="HB38">
        <v>0</v>
      </c>
      <c r="HC38">
        <f t="shared" si="53"/>
        <v>0</v>
      </c>
      <c r="HE38" t="s">
        <v>3</v>
      </c>
      <c r="HF38" t="s">
        <v>3</v>
      </c>
      <c r="HM38" t="s">
        <v>3</v>
      </c>
      <c r="IK38">
        <v>0</v>
      </c>
    </row>
    <row r="39" spans="1:245" x14ac:dyDescent="0.2">
      <c r="A39">
        <v>17</v>
      </c>
      <c r="B39">
        <v>1</v>
      </c>
      <c r="E39" t="s">
        <v>3</v>
      </c>
      <c r="F39" t="s">
        <v>89</v>
      </c>
      <c r="G39" t="s">
        <v>90</v>
      </c>
      <c r="H39" t="s">
        <v>74</v>
      </c>
      <c r="I39">
        <f>ROUND(ROUND(60*1.04,2),9)</f>
        <v>62.4</v>
      </c>
      <c r="J39">
        <v>0</v>
      </c>
      <c r="K39">
        <f>ROUND(ROUND(60*1.04,2),9)</f>
        <v>62.4</v>
      </c>
      <c r="O39">
        <f t="shared" si="14"/>
        <v>12684.26</v>
      </c>
      <c r="P39">
        <f t="shared" si="15"/>
        <v>12684.26</v>
      </c>
      <c r="Q39">
        <f t="shared" si="16"/>
        <v>0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0</v>
      </c>
      <c r="V39">
        <f t="shared" si="21"/>
        <v>0</v>
      </c>
      <c r="W39">
        <f t="shared" si="22"/>
        <v>0.62</v>
      </c>
      <c r="X39">
        <f t="shared" si="23"/>
        <v>0</v>
      </c>
      <c r="Y39">
        <f t="shared" si="24"/>
        <v>0</v>
      </c>
      <c r="AA39">
        <v>-1</v>
      </c>
      <c r="AB39">
        <f t="shared" si="25"/>
        <v>32.42</v>
      </c>
      <c r="AC39">
        <f t="shared" si="26"/>
        <v>32.42</v>
      </c>
      <c r="AD39">
        <f t="shared" si="27"/>
        <v>0</v>
      </c>
      <c r="AE39">
        <f t="shared" si="28"/>
        <v>0</v>
      </c>
      <c r="AF39">
        <f t="shared" si="29"/>
        <v>0</v>
      </c>
      <c r="AG39">
        <f t="shared" si="30"/>
        <v>0</v>
      </c>
      <c r="AH39">
        <f t="shared" si="31"/>
        <v>0</v>
      </c>
      <c r="AI39">
        <f t="shared" si="32"/>
        <v>0</v>
      </c>
      <c r="AJ39">
        <f t="shared" si="33"/>
        <v>0.01</v>
      </c>
      <c r="AK39">
        <v>32.42</v>
      </c>
      <c r="AL39">
        <v>32.42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0.01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6.27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2</v>
      </c>
      <c r="BJ39" t="s">
        <v>91</v>
      </c>
      <c r="BM39">
        <v>500002</v>
      </c>
      <c r="BN39">
        <v>0</v>
      </c>
      <c r="BO39" t="s">
        <v>89</v>
      </c>
      <c r="BP39">
        <v>1</v>
      </c>
      <c r="BQ39">
        <v>12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4"/>
        <v>12684.26</v>
      </c>
      <c r="CQ39">
        <f t="shared" si="35"/>
        <v>203.27340000000001</v>
      </c>
      <c r="CR39">
        <f t="shared" si="36"/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0.01</v>
      </c>
      <c r="CY39">
        <f t="shared" si="43"/>
        <v>0</v>
      </c>
      <c r="CZ39">
        <f t="shared" si="44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1003</v>
      </c>
      <c r="DV39" t="s">
        <v>74</v>
      </c>
      <c r="DW39" t="s">
        <v>74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49284028</v>
      </c>
      <c r="EF39">
        <v>12</v>
      </c>
      <c r="EG39" t="s">
        <v>69</v>
      </c>
      <c r="EH39">
        <v>0</v>
      </c>
      <c r="EI39" t="s">
        <v>3</v>
      </c>
      <c r="EJ39">
        <v>2</v>
      </c>
      <c r="EK39">
        <v>500002</v>
      </c>
      <c r="EL39" t="s">
        <v>70</v>
      </c>
      <c r="EM39" t="s">
        <v>71</v>
      </c>
      <c r="EO39" t="s">
        <v>3</v>
      </c>
      <c r="EQ39">
        <v>1024</v>
      </c>
      <c r="ER39">
        <v>32.42</v>
      </c>
      <c r="ES39">
        <v>32.42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f t="shared" si="45"/>
        <v>0</v>
      </c>
      <c r="FS39">
        <v>0</v>
      </c>
      <c r="FX39">
        <v>0</v>
      </c>
      <c r="FY39">
        <v>0</v>
      </c>
      <c r="GA39" t="s">
        <v>3</v>
      </c>
      <c r="GD39">
        <v>1</v>
      </c>
      <c r="GF39">
        <v>-406062585</v>
      </c>
      <c r="GG39">
        <v>2</v>
      </c>
      <c r="GH39">
        <v>1</v>
      </c>
      <c r="GI39">
        <v>2</v>
      </c>
      <c r="GJ39">
        <v>0</v>
      </c>
      <c r="GK39">
        <v>0</v>
      </c>
      <c r="GL39">
        <f t="shared" si="46"/>
        <v>0</v>
      </c>
      <c r="GM39">
        <f t="shared" si="47"/>
        <v>12684.26</v>
      </c>
      <c r="GN39">
        <f t="shared" si="48"/>
        <v>0</v>
      </c>
      <c r="GO39">
        <f t="shared" si="49"/>
        <v>12684.26</v>
      </c>
      <c r="GP39">
        <f t="shared" si="50"/>
        <v>0</v>
      </c>
      <c r="GR39">
        <v>0</v>
      </c>
      <c r="GS39">
        <v>3</v>
      </c>
      <c r="GT39">
        <v>0</v>
      </c>
      <c r="GU39" t="s">
        <v>3</v>
      </c>
      <c r="GV39">
        <f t="shared" si="51"/>
        <v>0</v>
      </c>
      <c r="GW39">
        <v>1</v>
      </c>
      <c r="GX39">
        <f t="shared" si="52"/>
        <v>0</v>
      </c>
      <c r="HA39">
        <v>0</v>
      </c>
      <c r="HB39">
        <v>0</v>
      </c>
      <c r="HC39">
        <f t="shared" si="53"/>
        <v>0</v>
      </c>
      <c r="HE39" t="s">
        <v>3</v>
      </c>
      <c r="HF39" t="s">
        <v>3</v>
      </c>
      <c r="HM39" t="s">
        <v>3</v>
      </c>
      <c r="IK39">
        <v>0</v>
      </c>
    </row>
    <row r="40" spans="1:245" x14ac:dyDescent="0.2">
      <c r="A40">
        <v>17</v>
      </c>
      <c r="B40">
        <v>1</v>
      </c>
      <c r="E40" t="s">
        <v>3</v>
      </c>
      <c r="F40" t="s">
        <v>92</v>
      </c>
      <c r="G40" t="s">
        <v>93</v>
      </c>
      <c r="H40" t="s">
        <v>74</v>
      </c>
      <c r="I40">
        <f>ROUND(ROUND(40*1.04,2),9)</f>
        <v>41.6</v>
      </c>
      <c r="J40">
        <v>0</v>
      </c>
      <c r="K40">
        <f>ROUND(ROUND(40*1.04,2),9)</f>
        <v>41.6</v>
      </c>
      <c r="O40">
        <f t="shared" si="14"/>
        <v>12273.46</v>
      </c>
      <c r="P40">
        <f t="shared" si="15"/>
        <v>12273.46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0</v>
      </c>
      <c r="W40">
        <f t="shared" si="22"/>
        <v>0.42</v>
      </c>
      <c r="X40">
        <f t="shared" si="23"/>
        <v>0</v>
      </c>
      <c r="Y40">
        <f t="shared" si="24"/>
        <v>0</v>
      </c>
      <c r="AA40">
        <v>-1</v>
      </c>
      <c r="AB40">
        <f t="shared" si="25"/>
        <v>45.39</v>
      </c>
      <c r="AC40">
        <f t="shared" si="26"/>
        <v>45.39</v>
      </c>
      <c r="AD40">
        <f t="shared" si="27"/>
        <v>0</v>
      </c>
      <c r="AE40">
        <f t="shared" si="28"/>
        <v>0</v>
      </c>
      <c r="AF40">
        <f t="shared" si="29"/>
        <v>0</v>
      </c>
      <c r="AG40">
        <f t="shared" si="30"/>
        <v>0</v>
      </c>
      <c r="AH40">
        <f t="shared" si="31"/>
        <v>0</v>
      </c>
      <c r="AI40">
        <f t="shared" si="32"/>
        <v>0</v>
      </c>
      <c r="AJ40">
        <f t="shared" si="33"/>
        <v>0.01</v>
      </c>
      <c r="AK40">
        <v>45.39</v>
      </c>
      <c r="AL40">
        <v>45.39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0.01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6.5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2</v>
      </c>
      <c r="BJ40" t="s">
        <v>94</v>
      </c>
      <c r="BM40">
        <v>500002</v>
      </c>
      <c r="BN40">
        <v>0</v>
      </c>
      <c r="BO40" t="s">
        <v>92</v>
      </c>
      <c r="BP40">
        <v>1</v>
      </c>
      <c r="BQ40">
        <v>12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4"/>
        <v>12273.46</v>
      </c>
      <c r="CQ40">
        <f t="shared" si="35"/>
        <v>295.03500000000003</v>
      </c>
      <c r="CR40">
        <f t="shared" si="36"/>
        <v>0</v>
      </c>
      <c r="CS40">
        <f t="shared" si="37"/>
        <v>0</v>
      </c>
      <c r="CT40">
        <f t="shared" si="38"/>
        <v>0</v>
      </c>
      <c r="CU40">
        <f t="shared" si="39"/>
        <v>0</v>
      </c>
      <c r="CV40">
        <f t="shared" si="40"/>
        <v>0</v>
      </c>
      <c r="CW40">
        <f t="shared" si="41"/>
        <v>0</v>
      </c>
      <c r="CX40">
        <f t="shared" si="42"/>
        <v>0.01</v>
      </c>
      <c r="CY40">
        <f t="shared" si="43"/>
        <v>0</v>
      </c>
      <c r="CZ40">
        <f t="shared" si="44"/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1003</v>
      </c>
      <c r="DV40" t="s">
        <v>74</v>
      </c>
      <c r="DW40" t="s">
        <v>74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49284028</v>
      </c>
      <c r="EF40">
        <v>12</v>
      </c>
      <c r="EG40" t="s">
        <v>69</v>
      </c>
      <c r="EH40">
        <v>0</v>
      </c>
      <c r="EI40" t="s">
        <v>3</v>
      </c>
      <c r="EJ40">
        <v>2</v>
      </c>
      <c r="EK40">
        <v>500002</v>
      </c>
      <c r="EL40" t="s">
        <v>70</v>
      </c>
      <c r="EM40" t="s">
        <v>71</v>
      </c>
      <c r="EO40" t="s">
        <v>3</v>
      </c>
      <c r="EQ40">
        <v>1024</v>
      </c>
      <c r="ER40">
        <v>45.39</v>
      </c>
      <c r="ES40">
        <v>45.39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45"/>
        <v>0</v>
      </c>
      <c r="FS40">
        <v>0</v>
      </c>
      <c r="FX40">
        <v>0</v>
      </c>
      <c r="FY40">
        <v>0</v>
      </c>
      <c r="GA40" t="s">
        <v>3</v>
      </c>
      <c r="GD40">
        <v>1</v>
      </c>
      <c r="GF40">
        <v>862173509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46"/>
        <v>0</v>
      </c>
      <c r="GM40">
        <f t="shared" si="47"/>
        <v>12273.46</v>
      </c>
      <c r="GN40">
        <f t="shared" si="48"/>
        <v>0</v>
      </c>
      <c r="GO40">
        <f t="shared" si="49"/>
        <v>12273.46</v>
      </c>
      <c r="GP40">
        <f t="shared" si="50"/>
        <v>0</v>
      </c>
      <c r="GR40">
        <v>0</v>
      </c>
      <c r="GS40">
        <v>3</v>
      </c>
      <c r="GT40">
        <v>0</v>
      </c>
      <c r="GU40" t="s">
        <v>3</v>
      </c>
      <c r="GV40">
        <f t="shared" si="51"/>
        <v>0</v>
      </c>
      <c r="GW40">
        <v>1</v>
      </c>
      <c r="GX40">
        <f t="shared" si="52"/>
        <v>0</v>
      </c>
      <c r="HA40">
        <v>0</v>
      </c>
      <c r="HB40">
        <v>0</v>
      </c>
      <c r="HC40">
        <f t="shared" si="53"/>
        <v>0</v>
      </c>
      <c r="HE40" t="s">
        <v>3</v>
      </c>
      <c r="HF40" t="s">
        <v>3</v>
      </c>
      <c r="HM40" t="s">
        <v>3</v>
      </c>
      <c r="IK40">
        <v>0</v>
      </c>
    </row>
    <row r="41" spans="1:245" x14ac:dyDescent="0.2">
      <c r="A41">
        <v>17</v>
      </c>
      <c r="B41">
        <v>1</v>
      </c>
      <c r="C41">
        <f>ROW(SmtRes!A68)</f>
        <v>68</v>
      </c>
      <c r="D41">
        <f>ROW(EtalonRes!A70)</f>
        <v>70</v>
      </c>
      <c r="E41" t="s">
        <v>95</v>
      </c>
      <c r="F41" t="s">
        <v>96</v>
      </c>
      <c r="G41" t="s">
        <v>97</v>
      </c>
      <c r="H41" t="s">
        <v>98</v>
      </c>
      <c r="I41">
        <f>ROUND(ROUND(4/100,2),9)</f>
        <v>0.04</v>
      </c>
      <c r="J41">
        <v>0</v>
      </c>
      <c r="K41">
        <f>ROUND(ROUND(4/100,2),9)</f>
        <v>0.04</v>
      </c>
      <c r="O41">
        <f t="shared" si="14"/>
        <v>93.76</v>
      </c>
      <c r="P41">
        <f t="shared" si="15"/>
        <v>0</v>
      </c>
      <c r="Q41">
        <f t="shared" si="16"/>
        <v>7.7</v>
      </c>
      <c r="R41">
        <f t="shared" si="17"/>
        <v>0</v>
      </c>
      <c r="S41">
        <f t="shared" si="18"/>
        <v>86.06</v>
      </c>
      <c r="T41">
        <f t="shared" si="19"/>
        <v>0</v>
      </c>
      <c r="U41">
        <f t="shared" si="20"/>
        <v>0.30280000000000001</v>
      </c>
      <c r="V41">
        <f t="shared" si="21"/>
        <v>0</v>
      </c>
      <c r="W41">
        <f t="shared" si="22"/>
        <v>0</v>
      </c>
      <c r="X41">
        <f t="shared" si="23"/>
        <v>85.2</v>
      </c>
      <c r="Y41">
        <f t="shared" si="24"/>
        <v>51.64</v>
      </c>
      <c r="AA41">
        <v>50121127</v>
      </c>
      <c r="AB41">
        <f t="shared" si="25"/>
        <v>219.77</v>
      </c>
      <c r="AC41">
        <f t="shared" si="26"/>
        <v>0</v>
      </c>
      <c r="AD41">
        <f t="shared" si="27"/>
        <v>155.19999999999999</v>
      </c>
      <c r="AE41">
        <f t="shared" si="28"/>
        <v>0</v>
      </c>
      <c r="AF41">
        <f t="shared" si="29"/>
        <v>64.569999999999993</v>
      </c>
      <c r="AG41">
        <f t="shared" si="30"/>
        <v>0</v>
      </c>
      <c r="AH41">
        <f t="shared" si="31"/>
        <v>7.57</v>
      </c>
      <c r="AI41">
        <f t="shared" si="32"/>
        <v>0</v>
      </c>
      <c r="AJ41">
        <f t="shared" si="33"/>
        <v>0</v>
      </c>
      <c r="AK41">
        <v>219.77</v>
      </c>
      <c r="AL41">
        <v>0</v>
      </c>
      <c r="AM41">
        <v>155.19999999999999</v>
      </c>
      <c r="AN41">
        <v>0</v>
      </c>
      <c r="AO41">
        <v>64.569999999999993</v>
      </c>
      <c r="AP41">
        <v>0</v>
      </c>
      <c r="AQ41">
        <v>7.57</v>
      </c>
      <c r="AR41">
        <v>0</v>
      </c>
      <c r="AS41">
        <v>0</v>
      </c>
      <c r="AT41">
        <v>99</v>
      </c>
      <c r="AU41">
        <v>60</v>
      </c>
      <c r="AV41">
        <v>1</v>
      </c>
      <c r="AW41">
        <v>1</v>
      </c>
      <c r="AZ41">
        <v>1</v>
      </c>
      <c r="BA41">
        <v>33.32</v>
      </c>
      <c r="BB41">
        <v>1.24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99</v>
      </c>
      <c r="BM41">
        <v>46001</v>
      </c>
      <c r="BN41">
        <v>0</v>
      </c>
      <c r="BO41" t="s">
        <v>96</v>
      </c>
      <c r="BP41">
        <v>1</v>
      </c>
      <c r="BQ41">
        <v>2</v>
      </c>
      <c r="BR41">
        <v>0</v>
      </c>
      <c r="BS41">
        <v>33.32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110</v>
      </c>
      <c r="CA41">
        <v>70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4"/>
        <v>93.76</v>
      </c>
      <c r="CQ41">
        <f t="shared" si="35"/>
        <v>0</v>
      </c>
      <c r="CR41">
        <f t="shared" si="36"/>
        <v>192.44799999999998</v>
      </c>
      <c r="CS41">
        <f t="shared" si="37"/>
        <v>0</v>
      </c>
      <c r="CT41">
        <f t="shared" si="38"/>
        <v>2151.4723999999997</v>
      </c>
      <c r="CU41">
        <f t="shared" si="39"/>
        <v>0</v>
      </c>
      <c r="CV41">
        <f t="shared" si="40"/>
        <v>7.57</v>
      </c>
      <c r="CW41">
        <f t="shared" si="41"/>
        <v>0</v>
      </c>
      <c r="CX41">
        <f t="shared" si="42"/>
        <v>0</v>
      </c>
      <c r="CY41">
        <f t="shared" si="43"/>
        <v>85.199400000000011</v>
      </c>
      <c r="CZ41">
        <f t="shared" si="44"/>
        <v>51.636000000000003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98</v>
      </c>
      <c r="DW41" t="s">
        <v>98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49284162</v>
      </c>
      <c r="EF41">
        <v>2</v>
      </c>
      <c r="EG41" t="s">
        <v>100</v>
      </c>
      <c r="EH41">
        <v>0</v>
      </c>
      <c r="EI41" t="s">
        <v>3</v>
      </c>
      <c r="EJ41">
        <v>1</v>
      </c>
      <c r="EK41">
        <v>46001</v>
      </c>
      <c r="EL41" t="s">
        <v>101</v>
      </c>
      <c r="EM41" t="s">
        <v>102</v>
      </c>
      <c r="EO41" t="s">
        <v>3</v>
      </c>
      <c r="EQ41">
        <v>0</v>
      </c>
      <c r="ER41">
        <v>219.77</v>
      </c>
      <c r="ES41">
        <v>0</v>
      </c>
      <c r="ET41">
        <v>155.19999999999999</v>
      </c>
      <c r="EU41">
        <v>0</v>
      </c>
      <c r="EV41">
        <v>64.569999999999993</v>
      </c>
      <c r="EW41">
        <v>7.57</v>
      </c>
      <c r="EX41">
        <v>0</v>
      </c>
      <c r="EY41">
        <v>0</v>
      </c>
      <c r="FQ41">
        <v>0</v>
      </c>
      <c r="FR41">
        <f t="shared" si="45"/>
        <v>0</v>
      </c>
      <c r="FS41">
        <v>0</v>
      </c>
      <c r="FT41" t="s">
        <v>103</v>
      </c>
      <c r="FU41" t="s">
        <v>104</v>
      </c>
      <c r="FX41">
        <v>99</v>
      </c>
      <c r="FY41">
        <v>59.5</v>
      </c>
      <c r="GA41" t="s">
        <v>3</v>
      </c>
      <c r="GD41">
        <v>1</v>
      </c>
      <c r="GF41">
        <v>-898747126</v>
      </c>
      <c r="GG41">
        <v>2</v>
      </c>
      <c r="GH41">
        <v>1</v>
      </c>
      <c r="GI41">
        <v>2</v>
      </c>
      <c r="GJ41">
        <v>0</v>
      </c>
      <c r="GK41">
        <v>0</v>
      </c>
      <c r="GL41">
        <f t="shared" si="46"/>
        <v>0</v>
      </c>
      <c r="GM41">
        <f t="shared" si="47"/>
        <v>230.6</v>
      </c>
      <c r="GN41">
        <f t="shared" si="48"/>
        <v>230.6</v>
      </c>
      <c r="GO41">
        <f t="shared" si="49"/>
        <v>0</v>
      </c>
      <c r="GP41">
        <f t="shared" si="50"/>
        <v>0</v>
      </c>
      <c r="GR41">
        <v>0</v>
      </c>
      <c r="GS41">
        <v>3</v>
      </c>
      <c r="GT41">
        <v>0</v>
      </c>
      <c r="GU41" t="s">
        <v>3</v>
      </c>
      <c r="GV41">
        <f t="shared" si="51"/>
        <v>0</v>
      </c>
      <c r="GW41">
        <v>1</v>
      </c>
      <c r="GX41">
        <f t="shared" si="52"/>
        <v>0</v>
      </c>
      <c r="HA41">
        <v>0</v>
      </c>
      <c r="HB41">
        <v>0</v>
      </c>
      <c r="HC41">
        <f t="shared" si="53"/>
        <v>0</v>
      </c>
      <c r="HE41" t="s">
        <v>3</v>
      </c>
      <c r="HF41" t="s">
        <v>3</v>
      </c>
      <c r="HM41" t="s">
        <v>3</v>
      </c>
      <c r="IK41">
        <v>0</v>
      </c>
    </row>
    <row r="42" spans="1:245" x14ac:dyDescent="0.2">
      <c r="A42">
        <v>17</v>
      </c>
      <c r="B42">
        <v>1</v>
      </c>
      <c r="C42">
        <f>ROW(SmtRes!A82)</f>
        <v>82</v>
      </c>
      <c r="D42">
        <f>ROW(EtalonRes!A87)</f>
        <v>87</v>
      </c>
      <c r="E42" t="s">
        <v>105</v>
      </c>
      <c r="F42" t="s">
        <v>106</v>
      </c>
      <c r="G42" t="s">
        <v>107</v>
      </c>
      <c r="H42" t="s">
        <v>108</v>
      </c>
      <c r="I42">
        <f>ROUND(ROUND(1/100,2),9)</f>
        <v>0.01</v>
      </c>
      <c r="J42">
        <v>0</v>
      </c>
      <c r="K42">
        <f>ROUND(ROUND(1/100,2),9)</f>
        <v>0.01</v>
      </c>
      <c r="O42">
        <f t="shared" si="14"/>
        <v>238.17</v>
      </c>
      <c r="P42">
        <f t="shared" si="15"/>
        <v>110.58</v>
      </c>
      <c r="Q42">
        <f t="shared" si="16"/>
        <v>6.06</v>
      </c>
      <c r="R42">
        <f t="shared" si="17"/>
        <v>0.85</v>
      </c>
      <c r="S42">
        <f t="shared" si="18"/>
        <v>121.53</v>
      </c>
      <c r="T42">
        <f t="shared" si="19"/>
        <v>0</v>
      </c>
      <c r="U42">
        <f t="shared" si="20"/>
        <v>0.37915499999999996</v>
      </c>
      <c r="V42">
        <f t="shared" si="21"/>
        <v>1.8749999999999999E-3</v>
      </c>
      <c r="W42">
        <f t="shared" si="22"/>
        <v>0</v>
      </c>
      <c r="X42">
        <f t="shared" si="23"/>
        <v>140.74</v>
      </c>
      <c r="Y42">
        <f t="shared" si="24"/>
        <v>86.89</v>
      </c>
      <c r="AA42">
        <v>50121127</v>
      </c>
      <c r="AB42">
        <f t="shared" si="25"/>
        <v>2411.8555000000001</v>
      </c>
      <c r="AC42">
        <f t="shared" si="26"/>
        <v>1988.81</v>
      </c>
      <c r="AD42">
        <f>ROUND(((((ET42*1.25))-((EU42*1.25)))+AE42),6)</f>
        <v>58.3</v>
      </c>
      <c r="AE42">
        <f>ROUND(((EU42*1.25)),6)</f>
        <v>2.5375000000000001</v>
      </c>
      <c r="AF42">
        <f>ROUND(((EV42*1.15)),6)</f>
        <v>364.74549999999999</v>
      </c>
      <c r="AG42">
        <f t="shared" si="30"/>
        <v>0</v>
      </c>
      <c r="AH42">
        <f>((EW42*1.15))</f>
        <v>37.915499999999994</v>
      </c>
      <c r="AI42">
        <f>((EX42*1.25))</f>
        <v>0.1875</v>
      </c>
      <c r="AJ42">
        <f t="shared" si="33"/>
        <v>0</v>
      </c>
      <c r="AK42">
        <v>2352.62</v>
      </c>
      <c r="AL42">
        <v>1988.81</v>
      </c>
      <c r="AM42">
        <v>46.64</v>
      </c>
      <c r="AN42">
        <v>2.0299999999999998</v>
      </c>
      <c r="AO42">
        <v>317.17</v>
      </c>
      <c r="AP42">
        <v>0</v>
      </c>
      <c r="AQ42">
        <v>32.97</v>
      </c>
      <c r="AR42">
        <v>0.15</v>
      </c>
      <c r="AS42">
        <v>0</v>
      </c>
      <c r="AT42">
        <v>115</v>
      </c>
      <c r="AU42">
        <v>71</v>
      </c>
      <c r="AV42">
        <v>1</v>
      </c>
      <c r="AW42">
        <v>1</v>
      </c>
      <c r="AZ42">
        <v>1</v>
      </c>
      <c r="BA42">
        <v>33.32</v>
      </c>
      <c r="BB42">
        <v>10.39</v>
      </c>
      <c r="BC42">
        <v>5.56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1</v>
      </c>
      <c r="BJ42" t="s">
        <v>109</v>
      </c>
      <c r="BM42">
        <v>16001</v>
      </c>
      <c r="BN42">
        <v>0</v>
      </c>
      <c r="BO42" t="s">
        <v>106</v>
      </c>
      <c r="BP42">
        <v>1</v>
      </c>
      <c r="BQ42">
        <v>2</v>
      </c>
      <c r="BR42">
        <v>0</v>
      </c>
      <c r="BS42">
        <v>33.32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128</v>
      </c>
      <c r="CA42">
        <v>83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459</v>
      </c>
      <c r="CO42">
        <v>0</v>
      </c>
      <c r="CP42">
        <f t="shared" si="34"/>
        <v>238.17000000000002</v>
      </c>
      <c r="CQ42">
        <f t="shared" si="35"/>
        <v>11057.783599999999</v>
      </c>
      <c r="CR42">
        <f t="shared" si="36"/>
        <v>605.73699999999997</v>
      </c>
      <c r="CS42">
        <f t="shared" si="37"/>
        <v>84.549500000000009</v>
      </c>
      <c r="CT42">
        <f t="shared" si="38"/>
        <v>12153.32006</v>
      </c>
      <c r="CU42">
        <f t="shared" si="39"/>
        <v>0</v>
      </c>
      <c r="CV42">
        <f t="shared" si="40"/>
        <v>37.915499999999994</v>
      </c>
      <c r="CW42">
        <f t="shared" si="41"/>
        <v>0.1875</v>
      </c>
      <c r="CX42">
        <f t="shared" si="42"/>
        <v>0</v>
      </c>
      <c r="CY42">
        <f t="shared" si="43"/>
        <v>140.73699999999999</v>
      </c>
      <c r="CZ42">
        <f t="shared" si="44"/>
        <v>86.889799999999994</v>
      </c>
      <c r="DC42" t="s">
        <v>3</v>
      </c>
      <c r="DD42" t="s">
        <v>3</v>
      </c>
      <c r="DE42" t="s">
        <v>110</v>
      </c>
      <c r="DF42" t="s">
        <v>110</v>
      </c>
      <c r="DG42" t="s">
        <v>111</v>
      </c>
      <c r="DH42" t="s">
        <v>3</v>
      </c>
      <c r="DI42" t="s">
        <v>111</v>
      </c>
      <c r="DJ42" t="s">
        <v>110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1013</v>
      </c>
      <c r="DV42" t="s">
        <v>108</v>
      </c>
      <c r="DW42" t="s">
        <v>108</v>
      </c>
      <c r="DX42">
        <v>1</v>
      </c>
      <c r="DZ42" t="s">
        <v>3</v>
      </c>
      <c r="EA42" t="s">
        <v>3</v>
      </c>
      <c r="EB42" t="s">
        <v>3</v>
      </c>
      <c r="EC42" t="s">
        <v>3</v>
      </c>
      <c r="EE42">
        <v>49284121</v>
      </c>
      <c r="EF42">
        <v>2</v>
      </c>
      <c r="EG42" t="s">
        <v>100</v>
      </c>
      <c r="EH42">
        <v>0</v>
      </c>
      <c r="EI42" t="s">
        <v>3</v>
      </c>
      <c r="EJ42">
        <v>1</v>
      </c>
      <c r="EK42">
        <v>16001</v>
      </c>
      <c r="EL42" t="s">
        <v>112</v>
      </c>
      <c r="EM42" t="s">
        <v>113</v>
      </c>
      <c r="EO42" t="s">
        <v>114</v>
      </c>
      <c r="EQ42">
        <v>0</v>
      </c>
      <c r="ER42">
        <v>2352.62</v>
      </c>
      <c r="ES42">
        <v>1988.81</v>
      </c>
      <c r="ET42">
        <v>46.64</v>
      </c>
      <c r="EU42">
        <v>2.0299999999999998</v>
      </c>
      <c r="EV42">
        <v>317.17</v>
      </c>
      <c r="EW42">
        <v>32.97</v>
      </c>
      <c r="EX42">
        <v>0.15</v>
      </c>
      <c r="EY42">
        <v>0</v>
      </c>
      <c r="FQ42">
        <v>0</v>
      </c>
      <c r="FR42">
        <f t="shared" si="45"/>
        <v>0</v>
      </c>
      <c r="FS42">
        <v>0</v>
      </c>
      <c r="FT42" t="s">
        <v>103</v>
      </c>
      <c r="FU42" t="s">
        <v>104</v>
      </c>
      <c r="FX42">
        <v>115.2</v>
      </c>
      <c r="FY42">
        <v>70.55</v>
      </c>
      <c r="GA42" t="s">
        <v>3</v>
      </c>
      <c r="GD42">
        <v>1</v>
      </c>
      <c r="GF42">
        <v>827086294</v>
      </c>
      <c r="GG42">
        <v>2</v>
      </c>
      <c r="GH42">
        <v>1</v>
      </c>
      <c r="GI42">
        <v>2</v>
      </c>
      <c r="GJ42">
        <v>0</v>
      </c>
      <c r="GK42">
        <v>0</v>
      </c>
      <c r="GL42">
        <f t="shared" si="46"/>
        <v>0</v>
      </c>
      <c r="GM42">
        <f t="shared" si="47"/>
        <v>465.8</v>
      </c>
      <c r="GN42">
        <f t="shared" si="48"/>
        <v>465.8</v>
      </c>
      <c r="GO42">
        <f t="shared" si="49"/>
        <v>0</v>
      </c>
      <c r="GP42">
        <f t="shared" si="50"/>
        <v>0</v>
      </c>
      <c r="GR42">
        <v>0</v>
      </c>
      <c r="GS42">
        <v>3</v>
      </c>
      <c r="GT42">
        <v>0</v>
      </c>
      <c r="GU42" t="s">
        <v>3</v>
      </c>
      <c r="GV42">
        <f t="shared" si="51"/>
        <v>0</v>
      </c>
      <c r="GW42">
        <v>1</v>
      </c>
      <c r="GX42">
        <f t="shared" si="52"/>
        <v>0</v>
      </c>
      <c r="HA42">
        <v>0</v>
      </c>
      <c r="HB42">
        <v>0</v>
      </c>
      <c r="HC42">
        <f t="shared" si="53"/>
        <v>0</v>
      </c>
      <c r="HE42" t="s">
        <v>3</v>
      </c>
      <c r="HF42" t="s">
        <v>3</v>
      </c>
      <c r="HM42" t="s">
        <v>3</v>
      </c>
      <c r="IK42">
        <v>0</v>
      </c>
    </row>
    <row r="43" spans="1:245" x14ac:dyDescent="0.2">
      <c r="A43">
        <v>17</v>
      </c>
      <c r="B43">
        <v>1</v>
      </c>
      <c r="E43" t="s">
        <v>3</v>
      </c>
      <c r="F43" t="s">
        <v>115</v>
      </c>
      <c r="G43" t="s">
        <v>116</v>
      </c>
      <c r="H43" t="s">
        <v>74</v>
      </c>
      <c r="I43">
        <v>1</v>
      </c>
      <c r="J43">
        <v>0</v>
      </c>
      <c r="K43">
        <v>100</v>
      </c>
      <c r="O43">
        <f t="shared" si="14"/>
        <v>77.19</v>
      </c>
      <c r="P43">
        <f t="shared" si="15"/>
        <v>77.19</v>
      </c>
      <c r="Q43">
        <f t="shared" si="16"/>
        <v>0</v>
      </c>
      <c r="R43">
        <f t="shared" si="17"/>
        <v>0</v>
      </c>
      <c r="S43">
        <f t="shared" si="18"/>
        <v>0</v>
      </c>
      <c r="T43">
        <f t="shared" si="19"/>
        <v>0</v>
      </c>
      <c r="U43">
        <f t="shared" si="20"/>
        <v>0</v>
      </c>
      <c r="V43">
        <f t="shared" si="21"/>
        <v>0</v>
      </c>
      <c r="W43">
        <f t="shared" si="22"/>
        <v>0.04</v>
      </c>
      <c r="X43">
        <f t="shared" si="23"/>
        <v>0</v>
      </c>
      <c r="Y43">
        <f t="shared" si="24"/>
        <v>0</v>
      </c>
      <c r="AA43">
        <v>-1</v>
      </c>
      <c r="AB43">
        <f t="shared" si="25"/>
        <v>9.1999999999999993</v>
      </c>
      <c r="AC43">
        <f t="shared" si="26"/>
        <v>9.1999999999999993</v>
      </c>
      <c r="AD43">
        <f t="shared" ref="AD43:AD48" si="54">ROUND((((ET43)-(EU43))+AE43),6)</f>
        <v>0</v>
      </c>
      <c r="AE43">
        <f t="shared" ref="AE43:AF48" si="55">ROUND((EU43),6)</f>
        <v>0</v>
      </c>
      <c r="AF43">
        <f t="shared" si="55"/>
        <v>0</v>
      </c>
      <c r="AG43">
        <f t="shared" si="30"/>
        <v>0</v>
      </c>
      <c r="AH43">
        <f t="shared" ref="AH43:AI48" si="56">(EW43)</f>
        <v>0</v>
      </c>
      <c r="AI43">
        <f t="shared" si="56"/>
        <v>0</v>
      </c>
      <c r="AJ43">
        <f t="shared" si="33"/>
        <v>0.04</v>
      </c>
      <c r="AK43">
        <v>9.1999999999999993</v>
      </c>
      <c r="AL43">
        <v>9.1999999999999993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0.04</v>
      </c>
      <c r="AT43">
        <v>115</v>
      </c>
      <c r="AU43">
        <v>71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8.39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117</v>
      </c>
      <c r="BM43">
        <v>16001</v>
      </c>
      <c r="BN43">
        <v>0</v>
      </c>
      <c r="BO43" t="s">
        <v>115</v>
      </c>
      <c r="BP43">
        <v>1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128</v>
      </c>
      <c r="CA43">
        <v>83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34"/>
        <v>77.19</v>
      </c>
      <c r="CQ43">
        <f t="shared" si="35"/>
        <v>77.188000000000002</v>
      </c>
      <c r="CR43">
        <f t="shared" si="36"/>
        <v>0</v>
      </c>
      <c r="CS43">
        <f t="shared" si="37"/>
        <v>0</v>
      </c>
      <c r="CT43">
        <f t="shared" si="38"/>
        <v>0</v>
      </c>
      <c r="CU43">
        <f t="shared" si="39"/>
        <v>0</v>
      </c>
      <c r="CV43">
        <f t="shared" si="40"/>
        <v>0</v>
      </c>
      <c r="CW43">
        <f t="shared" si="41"/>
        <v>0</v>
      </c>
      <c r="CX43">
        <f t="shared" si="42"/>
        <v>0.04</v>
      </c>
      <c r="CY43">
        <f t="shared" si="43"/>
        <v>0</v>
      </c>
      <c r="CZ43">
        <f t="shared" si="44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1003</v>
      </c>
      <c r="DV43" t="s">
        <v>74</v>
      </c>
      <c r="DW43" t="s">
        <v>74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49284121</v>
      </c>
      <c r="EF43">
        <v>2</v>
      </c>
      <c r="EG43" t="s">
        <v>100</v>
      </c>
      <c r="EH43">
        <v>0</v>
      </c>
      <c r="EI43" t="s">
        <v>3</v>
      </c>
      <c r="EJ43">
        <v>1</v>
      </c>
      <c r="EK43">
        <v>16001</v>
      </c>
      <c r="EL43" t="s">
        <v>112</v>
      </c>
      <c r="EM43" t="s">
        <v>113</v>
      </c>
      <c r="EO43" t="s">
        <v>3</v>
      </c>
      <c r="EQ43">
        <v>1024</v>
      </c>
      <c r="ER43">
        <v>9.1999999999999993</v>
      </c>
      <c r="ES43">
        <v>9.1999999999999993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FQ43">
        <v>0</v>
      </c>
      <c r="FR43">
        <f t="shared" si="45"/>
        <v>0</v>
      </c>
      <c r="FS43">
        <v>0</v>
      </c>
      <c r="FT43" t="s">
        <v>103</v>
      </c>
      <c r="FU43" t="s">
        <v>104</v>
      </c>
      <c r="FX43">
        <v>115.2</v>
      </c>
      <c r="FY43">
        <v>70.55</v>
      </c>
      <c r="GA43" t="s">
        <v>3</v>
      </c>
      <c r="GD43">
        <v>1</v>
      </c>
      <c r="GF43">
        <v>-1831722468</v>
      </c>
      <c r="GG43">
        <v>2</v>
      </c>
      <c r="GH43">
        <v>1</v>
      </c>
      <c r="GI43">
        <v>2</v>
      </c>
      <c r="GJ43">
        <v>0</v>
      </c>
      <c r="GK43">
        <v>0</v>
      </c>
      <c r="GL43">
        <f t="shared" si="46"/>
        <v>0</v>
      </c>
      <c r="GM43">
        <f t="shared" si="47"/>
        <v>77.19</v>
      </c>
      <c r="GN43">
        <f t="shared" si="48"/>
        <v>77.19</v>
      </c>
      <c r="GO43">
        <f t="shared" si="49"/>
        <v>0</v>
      </c>
      <c r="GP43">
        <f t="shared" si="50"/>
        <v>0</v>
      </c>
      <c r="GR43">
        <v>0</v>
      </c>
      <c r="GS43">
        <v>3</v>
      </c>
      <c r="GT43">
        <v>0</v>
      </c>
      <c r="GU43" t="s">
        <v>3</v>
      </c>
      <c r="GV43">
        <f t="shared" si="51"/>
        <v>0</v>
      </c>
      <c r="GW43">
        <v>1</v>
      </c>
      <c r="GX43">
        <f t="shared" si="52"/>
        <v>0</v>
      </c>
      <c r="HA43">
        <v>0</v>
      </c>
      <c r="HB43">
        <v>0</v>
      </c>
      <c r="HC43">
        <f t="shared" si="53"/>
        <v>0</v>
      </c>
      <c r="HE43" t="s">
        <v>3</v>
      </c>
      <c r="HF43" t="s">
        <v>3</v>
      </c>
      <c r="HM43" t="s">
        <v>3</v>
      </c>
      <c r="IK43">
        <v>0</v>
      </c>
    </row>
    <row r="44" spans="1:245" x14ac:dyDescent="0.2">
      <c r="A44">
        <v>17</v>
      </c>
      <c r="B44">
        <v>1</v>
      </c>
      <c r="E44" t="s">
        <v>3</v>
      </c>
      <c r="F44" t="s">
        <v>118</v>
      </c>
      <c r="G44" t="s">
        <v>119</v>
      </c>
      <c r="H44" t="s">
        <v>74</v>
      </c>
      <c r="I44">
        <v>-1</v>
      </c>
      <c r="J44">
        <v>0</v>
      </c>
      <c r="K44">
        <v>-100</v>
      </c>
      <c r="O44">
        <f t="shared" si="14"/>
        <v>-109.09</v>
      </c>
      <c r="P44">
        <f t="shared" si="15"/>
        <v>-109.09</v>
      </c>
      <c r="Q44">
        <f t="shared" si="16"/>
        <v>0</v>
      </c>
      <c r="R44">
        <f t="shared" si="17"/>
        <v>0</v>
      </c>
      <c r="S44">
        <f t="shared" si="18"/>
        <v>0</v>
      </c>
      <c r="T44">
        <f t="shared" si="19"/>
        <v>0</v>
      </c>
      <c r="U44">
        <f t="shared" si="20"/>
        <v>0</v>
      </c>
      <c r="V44">
        <f t="shared" si="21"/>
        <v>0</v>
      </c>
      <c r="W44">
        <f t="shared" si="22"/>
        <v>0</v>
      </c>
      <c r="X44">
        <f t="shared" si="23"/>
        <v>0</v>
      </c>
      <c r="Y44">
        <f t="shared" si="24"/>
        <v>0</v>
      </c>
      <c r="AA44">
        <v>-1</v>
      </c>
      <c r="AB44">
        <f t="shared" si="25"/>
        <v>19.62</v>
      </c>
      <c r="AC44">
        <f t="shared" si="26"/>
        <v>19.62</v>
      </c>
      <c r="AD44">
        <f t="shared" si="54"/>
        <v>0</v>
      </c>
      <c r="AE44">
        <f t="shared" si="55"/>
        <v>0</v>
      </c>
      <c r="AF44">
        <f t="shared" si="55"/>
        <v>0</v>
      </c>
      <c r="AG44">
        <f t="shared" si="30"/>
        <v>0</v>
      </c>
      <c r="AH44">
        <f t="shared" si="56"/>
        <v>0</v>
      </c>
      <c r="AI44">
        <f t="shared" si="56"/>
        <v>0</v>
      </c>
      <c r="AJ44">
        <f t="shared" si="33"/>
        <v>0</v>
      </c>
      <c r="AK44">
        <v>19.62</v>
      </c>
      <c r="AL44">
        <v>19.62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115</v>
      </c>
      <c r="AU44">
        <v>71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5.56</v>
      </c>
      <c r="BD44" t="s">
        <v>3</v>
      </c>
      <c r="BE44" t="s">
        <v>3</v>
      </c>
      <c r="BF44" t="s">
        <v>3</v>
      </c>
      <c r="BG44" t="s">
        <v>3</v>
      </c>
      <c r="BH44">
        <v>3</v>
      </c>
      <c r="BI44">
        <v>1</v>
      </c>
      <c r="BJ44" t="s">
        <v>120</v>
      </c>
      <c r="BM44">
        <v>16001</v>
      </c>
      <c r="BN44">
        <v>0</v>
      </c>
      <c r="BO44" t="s">
        <v>118</v>
      </c>
      <c r="BP44">
        <v>1</v>
      </c>
      <c r="BQ44">
        <v>2</v>
      </c>
      <c r="BR44">
        <v>1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128</v>
      </c>
      <c r="CA44">
        <v>83</v>
      </c>
      <c r="CB44" t="s">
        <v>3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34"/>
        <v>-109.09</v>
      </c>
      <c r="CQ44">
        <f t="shared" si="35"/>
        <v>109.0872</v>
      </c>
      <c r="CR44">
        <f t="shared" si="36"/>
        <v>0</v>
      </c>
      <c r="CS44">
        <f t="shared" si="37"/>
        <v>0</v>
      </c>
      <c r="CT44">
        <f t="shared" si="38"/>
        <v>0</v>
      </c>
      <c r="CU44">
        <f t="shared" si="39"/>
        <v>0</v>
      </c>
      <c r="CV44">
        <f t="shared" si="40"/>
        <v>0</v>
      </c>
      <c r="CW44">
        <f t="shared" si="41"/>
        <v>0</v>
      </c>
      <c r="CX44">
        <f t="shared" si="42"/>
        <v>0</v>
      </c>
      <c r="CY44">
        <f t="shared" si="43"/>
        <v>0</v>
      </c>
      <c r="CZ44">
        <f t="shared" si="44"/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1003</v>
      </c>
      <c r="DV44" t="s">
        <v>74</v>
      </c>
      <c r="DW44" t="s">
        <v>74</v>
      </c>
      <c r="DX44">
        <v>1</v>
      </c>
      <c r="DZ44" t="s">
        <v>3</v>
      </c>
      <c r="EA44" t="s">
        <v>3</v>
      </c>
      <c r="EB44" t="s">
        <v>3</v>
      </c>
      <c r="EC44" t="s">
        <v>3</v>
      </c>
      <c r="EE44">
        <v>49284121</v>
      </c>
      <c r="EF44">
        <v>2</v>
      </c>
      <c r="EG44" t="s">
        <v>100</v>
      </c>
      <c r="EH44">
        <v>0</v>
      </c>
      <c r="EI44" t="s">
        <v>3</v>
      </c>
      <c r="EJ44">
        <v>1</v>
      </c>
      <c r="EK44">
        <v>16001</v>
      </c>
      <c r="EL44" t="s">
        <v>112</v>
      </c>
      <c r="EM44" t="s">
        <v>113</v>
      </c>
      <c r="EO44" t="s">
        <v>3</v>
      </c>
      <c r="EQ44">
        <v>33792</v>
      </c>
      <c r="ER44">
        <v>19.62</v>
      </c>
      <c r="ES44">
        <v>19.62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FQ44">
        <v>0</v>
      </c>
      <c r="FR44">
        <f t="shared" si="45"/>
        <v>0</v>
      </c>
      <c r="FS44">
        <v>0</v>
      </c>
      <c r="FT44" t="s">
        <v>103</v>
      </c>
      <c r="FU44" t="s">
        <v>104</v>
      </c>
      <c r="FX44">
        <v>115.2</v>
      </c>
      <c r="FY44">
        <v>70.55</v>
      </c>
      <c r="GA44" t="s">
        <v>3</v>
      </c>
      <c r="GD44">
        <v>1</v>
      </c>
      <c r="GF44">
        <v>763497467</v>
      </c>
      <c r="GG44">
        <v>2</v>
      </c>
      <c r="GH44">
        <v>1</v>
      </c>
      <c r="GI44">
        <v>2</v>
      </c>
      <c r="GJ44">
        <v>0</v>
      </c>
      <c r="GK44">
        <v>0</v>
      </c>
      <c r="GL44">
        <f t="shared" si="46"/>
        <v>0</v>
      </c>
      <c r="GM44">
        <f t="shared" si="47"/>
        <v>-109.09</v>
      </c>
      <c r="GN44">
        <f t="shared" si="48"/>
        <v>-109.09</v>
      </c>
      <c r="GO44">
        <f t="shared" si="49"/>
        <v>0</v>
      </c>
      <c r="GP44">
        <f t="shared" si="50"/>
        <v>0</v>
      </c>
      <c r="GR44">
        <v>0</v>
      </c>
      <c r="GS44">
        <v>3</v>
      </c>
      <c r="GT44">
        <v>0</v>
      </c>
      <c r="GU44" t="s">
        <v>3</v>
      </c>
      <c r="GV44">
        <f t="shared" si="51"/>
        <v>0</v>
      </c>
      <c r="GW44">
        <v>1</v>
      </c>
      <c r="GX44">
        <f t="shared" si="52"/>
        <v>0</v>
      </c>
      <c r="HA44">
        <v>0</v>
      </c>
      <c r="HB44">
        <v>0</v>
      </c>
      <c r="HC44">
        <f t="shared" si="53"/>
        <v>0</v>
      </c>
      <c r="HE44" t="s">
        <v>3</v>
      </c>
      <c r="HF44" t="s">
        <v>3</v>
      </c>
      <c r="HM44" t="s">
        <v>3</v>
      </c>
      <c r="IK44">
        <v>0</v>
      </c>
    </row>
    <row r="45" spans="1:245" x14ac:dyDescent="0.2">
      <c r="A45">
        <v>17</v>
      </c>
      <c r="B45">
        <v>1</v>
      </c>
      <c r="C45">
        <f>ROW(SmtRes!A90)</f>
        <v>90</v>
      </c>
      <c r="D45">
        <f>ROW(EtalonRes!A95)</f>
        <v>95</v>
      </c>
      <c r="E45" t="s">
        <v>121</v>
      </c>
      <c r="F45" t="s">
        <v>122</v>
      </c>
      <c r="G45" t="s">
        <v>123</v>
      </c>
      <c r="H45" t="s">
        <v>87</v>
      </c>
      <c r="I45">
        <f>ROUND(ROUND((100)/100,2),9)</f>
        <v>1</v>
      </c>
      <c r="J45">
        <v>0</v>
      </c>
      <c r="K45">
        <f>ROUND(ROUND((100)/100,2),9)</f>
        <v>1</v>
      </c>
      <c r="O45">
        <f t="shared" si="14"/>
        <v>5675.91</v>
      </c>
      <c r="P45">
        <f t="shared" si="15"/>
        <v>238.17</v>
      </c>
      <c r="Q45">
        <f t="shared" si="16"/>
        <v>275.81</v>
      </c>
      <c r="R45">
        <f t="shared" si="17"/>
        <v>4.66</v>
      </c>
      <c r="S45">
        <f t="shared" si="18"/>
        <v>5161.93</v>
      </c>
      <c r="T45">
        <f t="shared" si="19"/>
        <v>0</v>
      </c>
      <c r="U45">
        <f t="shared" si="20"/>
        <v>16.29</v>
      </c>
      <c r="V45">
        <f t="shared" si="21"/>
        <v>0.01</v>
      </c>
      <c r="W45">
        <f t="shared" si="22"/>
        <v>0</v>
      </c>
      <c r="X45">
        <f t="shared" si="23"/>
        <v>4908.26</v>
      </c>
      <c r="Y45">
        <f t="shared" si="24"/>
        <v>3358.28</v>
      </c>
      <c r="AA45">
        <v>50121127</v>
      </c>
      <c r="AB45">
        <f t="shared" si="25"/>
        <v>237.45</v>
      </c>
      <c r="AC45">
        <f t="shared" si="26"/>
        <v>51.33</v>
      </c>
      <c r="AD45">
        <f t="shared" si="54"/>
        <v>31.2</v>
      </c>
      <c r="AE45">
        <f t="shared" si="55"/>
        <v>0.14000000000000001</v>
      </c>
      <c r="AF45">
        <f t="shared" si="55"/>
        <v>154.91999999999999</v>
      </c>
      <c r="AG45">
        <f t="shared" si="30"/>
        <v>0</v>
      </c>
      <c r="AH45">
        <f t="shared" si="56"/>
        <v>16.29</v>
      </c>
      <c r="AI45">
        <f t="shared" si="56"/>
        <v>0.01</v>
      </c>
      <c r="AJ45">
        <f t="shared" si="33"/>
        <v>0</v>
      </c>
      <c r="AK45">
        <v>237.45</v>
      </c>
      <c r="AL45">
        <v>51.33</v>
      </c>
      <c r="AM45">
        <v>31.2</v>
      </c>
      <c r="AN45">
        <v>0.14000000000000001</v>
      </c>
      <c r="AO45">
        <v>154.91999999999999</v>
      </c>
      <c r="AP45">
        <v>0</v>
      </c>
      <c r="AQ45">
        <v>16.29</v>
      </c>
      <c r="AR45">
        <v>0.01</v>
      </c>
      <c r="AS45">
        <v>0</v>
      </c>
      <c r="AT45">
        <v>95</v>
      </c>
      <c r="AU45">
        <v>65</v>
      </c>
      <c r="AV45">
        <v>1</v>
      </c>
      <c r="AW45">
        <v>1</v>
      </c>
      <c r="AZ45">
        <v>1</v>
      </c>
      <c r="BA45">
        <v>33.32</v>
      </c>
      <c r="BB45">
        <v>8.84</v>
      </c>
      <c r="BC45">
        <v>4.6399999999999997</v>
      </c>
      <c r="BD45" t="s">
        <v>3</v>
      </c>
      <c r="BE45" t="s">
        <v>3</v>
      </c>
      <c r="BF45" t="s">
        <v>3</v>
      </c>
      <c r="BG45" t="s">
        <v>3</v>
      </c>
      <c r="BH45">
        <v>0</v>
      </c>
      <c r="BI45">
        <v>2</v>
      </c>
      <c r="BJ45" t="s">
        <v>124</v>
      </c>
      <c r="BM45">
        <v>108001</v>
      </c>
      <c r="BN45">
        <v>0</v>
      </c>
      <c r="BO45" t="s">
        <v>122</v>
      </c>
      <c r="BP45">
        <v>1</v>
      </c>
      <c r="BQ45">
        <v>3</v>
      </c>
      <c r="BR45">
        <v>0</v>
      </c>
      <c r="BS45">
        <v>33.32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95</v>
      </c>
      <c r="CA45">
        <v>65</v>
      </c>
      <c r="CB45" t="s">
        <v>3</v>
      </c>
      <c r="CE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34"/>
        <v>5675.91</v>
      </c>
      <c r="CQ45">
        <f t="shared" si="35"/>
        <v>238.17119999999997</v>
      </c>
      <c r="CR45">
        <f t="shared" si="36"/>
        <v>275.80799999999999</v>
      </c>
      <c r="CS45">
        <f t="shared" si="37"/>
        <v>4.6648000000000005</v>
      </c>
      <c r="CT45">
        <f t="shared" si="38"/>
        <v>5161.9343999999992</v>
      </c>
      <c r="CU45">
        <f t="shared" si="39"/>
        <v>0</v>
      </c>
      <c r="CV45">
        <f t="shared" si="40"/>
        <v>16.29</v>
      </c>
      <c r="CW45">
        <f t="shared" si="41"/>
        <v>0.01</v>
      </c>
      <c r="CX45">
        <f t="shared" si="42"/>
        <v>0</v>
      </c>
      <c r="CY45">
        <f t="shared" si="43"/>
        <v>4908.2605000000003</v>
      </c>
      <c r="CZ45">
        <f t="shared" si="44"/>
        <v>3358.2835000000005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1003</v>
      </c>
      <c r="DV45" t="s">
        <v>87</v>
      </c>
      <c r="DW45" t="s">
        <v>87</v>
      </c>
      <c r="DX45">
        <v>100</v>
      </c>
      <c r="DZ45" t="s">
        <v>3</v>
      </c>
      <c r="EA45" t="s">
        <v>3</v>
      </c>
      <c r="EB45" t="s">
        <v>3</v>
      </c>
      <c r="EC45" t="s">
        <v>3</v>
      </c>
      <c r="EE45">
        <v>49283977</v>
      </c>
      <c r="EF45">
        <v>3</v>
      </c>
      <c r="EG45" t="s">
        <v>17</v>
      </c>
      <c r="EH45">
        <v>0</v>
      </c>
      <c r="EI45" t="s">
        <v>3</v>
      </c>
      <c r="EJ45">
        <v>2</v>
      </c>
      <c r="EK45">
        <v>108001</v>
      </c>
      <c r="EL45" t="s">
        <v>43</v>
      </c>
      <c r="EM45" t="s">
        <v>44</v>
      </c>
      <c r="EO45" t="s">
        <v>3</v>
      </c>
      <c r="EQ45">
        <v>0</v>
      </c>
      <c r="ER45">
        <v>237.45</v>
      </c>
      <c r="ES45">
        <v>51.33</v>
      </c>
      <c r="ET45">
        <v>31.2</v>
      </c>
      <c r="EU45">
        <v>0.14000000000000001</v>
      </c>
      <c r="EV45">
        <v>154.91999999999999</v>
      </c>
      <c r="EW45">
        <v>16.29</v>
      </c>
      <c r="EX45">
        <v>0.01</v>
      </c>
      <c r="EY45">
        <v>0</v>
      </c>
      <c r="FQ45">
        <v>0</v>
      </c>
      <c r="FR45">
        <f t="shared" si="45"/>
        <v>0</v>
      </c>
      <c r="FS45">
        <v>0</v>
      </c>
      <c r="FX45">
        <v>95</v>
      </c>
      <c r="FY45">
        <v>65</v>
      </c>
      <c r="GA45" t="s">
        <v>3</v>
      </c>
      <c r="GD45">
        <v>1</v>
      </c>
      <c r="GF45">
        <v>1113905812</v>
      </c>
      <c r="GG45">
        <v>2</v>
      </c>
      <c r="GH45">
        <v>1</v>
      </c>
      <c r="GI45">
        <v>2</v>
      </c>
      <c r="GJ45">
        <v>0</v>
      </c>
      <c r="GK45">
        <v>0</v>
      </c>
      <c r="GL45">
        <f t="shared" si="46"/>
        <v>0</v>
      </c>
      <c r="GM45">
        <f t="shared" si="47"/>
        <v>13942.45</v>
      </c>
      <c r="GN45">
        <f t="shared" si="48"/>
        <v>0</v>
      </c>
      <c r="GO45">
        <f t="shared" si="49"/>
        <v>13942.45</v>
      </c>
      <c r="GP45">
        <f t="shared" si="50"/>
        <v>0</v>
      </c>
      <c r="GR45">
        <v>0</v>
      </c>
      <c r="GS45">
        <v>0</v>
      </c>
      <c r="GT45">
        <v>0</v>
      </c>
      <c r="GU45" t="s">
        <v>3</v>
      </c>
      <c r="GV45">
        <f t="shared" si="51"/>
        <v>0</v>
      </c>
      <c r="GW45">
        <v>1</v>
      </c>
      <c r="GX45">
        <f t="shared" si="52"/>
        <v>0</v>
      </c>
      <c r="HA45">
        <v>0</v>
      </c>
      <c r="HB45">
        <v>0</v>
      </c>
      <c r="HC45">
        <f t="shared" si="53"/>
        <v>0</v>
      </c>
      <c r="HE45" t="s">
        <v>3</v>
      </c>
      <c r="HF45" t="s">
        <v>3</v>
      </c>
      <c r="HM45" t="s">
        <v>3</v>
      </c>
      <c r="IK45">
        <v>0</v>
      </c>
    </row>
    <row r="46" spans="1:245" x14ac:dyDescent="0.2">
      <c r="A46">
        <v>17</v>
      </c>
      <c r="B46">
        <v>1</v>
      </c>
      <c r="E46" t="s">
        <v>3</v>
      </c>
      <c r="F46" t="s">
        <v>125</v>
      </c>
      <c r="G46" t="s">
        <v>126</v>
      </c>
      <c r="H46" t="s">
        <v>87</v>
      </c>
      <c r="I46">
        <f>ROUND(ROUND(100/100,2),9)</f>
        <v>1</v>
      </c>
      <c r="J46">
        <v>0</v>
      </c>
      <c r="K46">
        <f>ROUND(ROUND(100/100,2),9)</f>
        <v>1</v>
      </c>
      <c r="O46">
        <f t="shared" si="14"/>
        <v>4418.3999999999996</v>
      </c>
      <c r="P46">
        <f t="shared" si="15"/>
        <v>4418.3999999999996</v>
      </c>
      <c r="Q46">
        <f t="shared" si="16"/>
        <v>0</v>
      </c>
      <c r="R46">
        <f t="shared" si="17"/>
        <v>0</v>
      </c>
      <c r="S46">
        <f t="shared" si="18"/>
        <v>0</v>
      </c>
      <c r="T46">
        <f t="shared" si="19"/>
        <v>0</v>
      </c>
      <c r="U46">
        <f t="shared" si="20"/>
        <v>0</v>
      </c>
      <c r="V46">
        <f t="shared" si="21"/>
        <v>0</v>
      </c>
      <c r="W46">
        <f t="shared" si="22"/>
        <v>0.84</v>
      </c>
      <c r="X46">
        <f t="shared" si="23"/>
        <v>0</v>
      </c>
      <c r="Y46">
        <f t="shared" si="24"/>
        <v>0</v>
      </c>
      <c r="AA46">
        <v>-1</v>
      </c>
      <c r="AB46">
        <f t="shared" si="25"/>
        <v>336</v>
      </c>
      <c r="AC46">
        <f t="shared" si="26"/>
        <v>336</v>
      </c>
      <c r="AD46">
        <f t="shared" si="54"/>
        <v>0</v>
      </c>
      <c r="AE46">
        <f t="shared" si="55"/>
        <v>0</v>
      </c>
      <c r="AF46">
        <f t="shared" si="55"/>
        <v>0</v>
      </c>
      <c r="AG46">
        <f t="shared" si="30"/>
        <v>0</v>
      </c>
      <c r="AH46">
        <f t="shared" si="56"/>
        <v>0</v>
      </c>
      <c r="AI46">
        <f t="shared" si="56"/>
        <v>0</v>
      </c>
      <c r="AJ46">
        <f t="shared" si="33"/>
        <v>0.84</v>
      </c>
      <c r="AK46">
        <v>336</v>
      </c>
      <c r="AL46">
        <v>336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0.84</v>
      </c>
      <c r="AT46">
        <v>0</v>
      </c>
      <c r="AU46">
        <v>0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13.15</v>
      </c>
      <c r="BD46" t="s">
        <v>3</v>
      </c>
      <c r="BE46" t="s">
        <v>3</v>
      </c>
      <c r="BF46" t="s">
        <v>3</v>
      </c>
      <c r="BG46" t="s">
        <v>3</v>
      </c>
      <c r="BH46">
        <v>3</v>
      </c>
      <c r="BI46">
        <v>2</v>
      </c>
      <c r="BJ46" t="s">
        <v>127</v>
      </c>
      <c r="BM46">
        <v>500002</v>
      </c>
      <c r="BN46">
        <v>0</v>
      </c>
      <c r="BO46" t="s">
        <v>125</v>
      </c>
      <c r="BP46">
        <v>1</v>
      </c>
      <c r="BQ46">
        <v>12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0</v>
      </c>
      <c r="CA46">
        <v>0</v>
      </c>
      <c r="CB46" t="s">
        <v>3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>
        <f t="shared" si="34"/>
        <v>4418.3999999999996</v>
      </c>
      <c r="CQ46">
        <f t="shared" si="35"/>
        <v>4418.4000000000005</v>
      </c>
      <c r="CR46">
        <f t="shared" si="36"/>
        <v>0</v>
      </c>
      <c r="CS46">
        <f t="shared" si="37"/>
        <v>0</v>
      </c>
      <c r="CT46">
        <f t="shared" si="38"/>
        <v>0</v>
      </c>
      <c r="CU46">
        <f t="shared" si="39"/>
        <v>0</v>
      </c>
      <c r="CV46">
        <f t="shared" si="40"/>
        <v>0</v>
      </c>
      <c r="CW46">
        <f t="shared" si="41"/>
        <v>0</v>
      </c>
      <c r="CX46">
        <f t="shared" si="42"/>
        <v>0.84</v>
      </c>
      <c r="CY46">
        <f t="shared" si="43"/>
        <v>0</v>
      </c>
      <c r="CZ46">
        <f t="shared" si="44"/>
        <v>0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1003</v>
      </c>
      <c r="DV46" t="s">
        <v>87</v>
      </c>
      <c r="DW46" t="s">
        <v>87</v>
      </c>
      <c r="DX46">
        <v>100</v>
      </c>
      <c r="DZ46" t="s">
        <v>3</v>
      </c>
      <c r="EA46" t="s">
        <v>3</v>
      </c>
      <c r="EB46" t="s">
        <v>3</v>
      </c>
      <c r="EC46" t="s">
        <v>3</v>
      </c>
      <c r="EE46">
        <v>49284028</v>
      </c>
      <c r="EF46">
        <v>12</v>
      </c>
      <c r="EG46" t="s">
        <v>69</v>
      </c>
      <c r="EH46">
        <v>0</v>
      </c>
      <c r="EI46" t="s">
        <v>3</v>
      </c>
      <c r="EJ46">
        <v>2</v>
      </c>
      <c r="EK46">
        <v>500002</v>
      </c>
      <c r="EL46" t="s">
        <v>70</v>
      </c>
      <c r="EM46" t="s">
        <v>71</v>
      </c>
      <c r="EO46" t="s">
        <v>3</v>
      </c>
      <c r="EQ46">
        <v>1024</v>
      </c>
      <c r="ER46">
        <v>336</v>
      </c>
      <c r="ES46">
        <v>336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FQ46">
        <v>0</v>
      </c>
      <c r="FR46">
        <f t="shared" si="45"/>
        <v>0</v>
      </c>
      <c r="FS46">
        <v>0</v>
      </c>
      <c r="FX46">
        <v>0</v>
      </c>
      <c r="FY46">
        <v>0</v>
      </c>
      <c r="GA46" t="s">
        <v>3</v>
      </c>
      <c r="GD46">
        <v>1</v>
      </c>
      <c r="GF46">
        <v>369197714</v>
      </c>
      <c r="GG46">
        <v>2</v>
      </c>
      <c r="GH46">
        <v>1</v>
      </c>
      <c r="GI46">
        <v>2</v>
      </c>
      <c r="GJ46">
        <v>0</v>
      </c>
      <c r="GK46">
        <v>0</v>
      </c>
      <c r="GL46">
        <f t="shared" si="46"/>
        <v>0</v>
      </c>
      <c r="GM46">
        <f t="shared" si="47"/>
        <v>4418.3999999999996</v>
      </c>
      <c r="GN46">
        <f t="shared" si="48"/>
        <v>0</v>
      </c>
      <c r="GO46">
        <f t="shared" si="49"/>
        <v>4418.3999999999996</v>
      </c>
      <c r="GP46">
        <f t="shared" si="50"/>
        <v>0</v>
      </c>
      <c r="GR46">
        <v>0</v>
      </c>
      <c r="GS46">
        <v>3</v>
      </c>
      <c r="GT46">
        <v>0</v>
      </c>
      <c r="GU46" t="s">
        <v>3</v>
      </c>
      <c r="GV46">
        <f t="shared" si="51"/>
        <v>0</v>
      </c>
      <c r="GW46">
        <v>1</v>
      </c>
      <c r="GX46">
        <f t="shared" si="52"/>
        <v>0</v>
      </c>
      <c r="HA46">
        <v>0</v>
      </c>
      <c r="HB46">
        <v>0</v>
      </c>
      <c r="HC46">
        <f t="shared" si="53"/>
        <v>0</v>
      </c>
      <c r="HE46" t="s">
        <v>3</v>
      </c>
      <c r="HF46" t="s">
        <v>3</v>
      </c>
      <c r="HM46" t="s">
        <v>3</v>
      </c>
      <c r="IK46">
        <v>0</v>
      </c>
    </row>
    <row r="47" spans="1:245" x14ac:dyDescent="0.2">
      <c r="A47">
        <v>17</v>
      </c>
      <c r="B47">
        <v>1</v>
      </c>
      <c r="C47">
        <f>ROW(SmtRes!A96)</f>
        <v>96</v>
      </c>
      <c r="D47">
        <f>ROW(EtalonRes!A101)</f>
        <v>101</v>
      </c>
      <c r="E47" t="s">
        <v>128</v>
      </c>
      <c r="F47" t="s">
        <v>129</v>
      </c>
      <c r="G47" t="s">
        <v>130</v>
      </c>
      <c r="H47" t="s">
        <v>87</v>
      </c>
      <c r="I47">
        <f>ROUND(ROUND((60+40)/100,2),9)</f>
        <v>1</v>
      </c>
      <c r="J47">
        <v>0</v>
      </c>
      <c r="K47">
        <f>ROUND(ROUND((60+40)/100,2),9)</f>
        <v>1</v>
      </c>
      <c r="O47">
        <f t="shared" si="14"/>
        <v>23549.200000000001</v>
      </c>
      <c r="P47">
        <f t="shared" si="15"/>
        <v>144.9</v>
      </c>
      <c r="Q47">
        <f t="shared" si="16"/>
        <v>16160.2</v>
      </c>
      <c r="R47">
        <f t="shared" si="17"/>
        <v>3764.16</v>
      </c>
      <c r="S47">
        <f t="shared" si="18"/>
        <v>7244.1</v>
      </c>
      <c r="T47">
        <f t="shared" si="19"/>
        <v>0</v>
      </c>
      <c r="U47">
        <f t="shared" si="20"/>
        <v>22.6</v>
      </c>
      <c r="V47">
        <f t="shared" si="21"/>
        <v>8.73</v>
      </c>
      <c r="W47">
        <f t="shared" si="22"/>
        <v>0</v>
      </c>
      <c r="X47">
        <f t="shared" si="23"/>
        <v>8806.61</v>
      </c>
      <c r="Y47">
        <f t="shared" si="24"/>
        <v>6604.96</v>
      </c>
      <c r="AA47">
        <v>50121127</v>
      </c>
      <c r="AB47">
        <f t="shared" si="25"/>
        <v>1984.05</v>
      </c>
      <c r="AC47">
        <f t="shared" si="26"/>
        <v>4.3499999999999996</v>
      </c>
      <c r="AD47">
        <f t="shared" si="54"/>
        <v>1762.29</v>
      </c>
      <c r="AE47">
        <f t="shared" si="55"/>
        <v>112.97</v>
      </c>
      <c r="AF47">
        <f t="shared" si="55"/>
        <v>217.41</v>
      </c>
      <c r="AG47">
        <f t="shared" si="30"/>
        <v>0</v>
      </c>
      <c r="AH47">
        <f t="shared" si="56"/>
        <v>22.6</v>
      </c>
      <c r="AI47">
        <f t="shared" si="56"/>
        <v>8.73</v>
      </c>
      <c r="AJ47">
        <f t="shared" si="33"/>
        <v>0</v>
      </c>
      <c r="AK47">
        <v>1984.05</v>
      </c>
      <c r="AL47">
        <v>4.3499999999999996</v>
      </c>
      <c r="AM47">
        <v>1762.29</v>
      </c>
      <c r="AN47">
        <v>112.97</v>
      </c>
      <c r="AO47">
        <v>217.41</v>
      </c>
      <c r="AP47">
        <v>0</v>
      </c>
      <c r="AQ47">
        <v>22.6</v>
      </c>
      <c r="AR47">
        <v>8.73</v>
      </c>
      <c r="AS47">
        <v>0</v>
      </c>
      <c r="AT47">
        <v>80</v>
      </c>
      <c r="AU47">
        <v>60</v>
      </c>
      <c r="AV47">
        <v>1</v>
      </c>
      <c r="AW47">
        <v>1</v>
      </c>
      <c r="AZ47">
        <v>1</v>
      </c>
      <c r="BA47">
        <v>33.32</v>
      </c>
      <c r="BB47">
        <v>9.17</v>
      </c>
      <c r="BC47">
        <v>33.31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2</v>
      </c>
      <c r="BJ47" t="s">
        <v>131</v>
      </c>
      <c r="BM47">
        <v>112001</v>
      </c>
      <c r="BN47">
        <v>0</v>
      </c>
      <c r="BO47" t="s">
        <v>129</v>
      </c>
      <c r="BP47">
        <v>1</v>
      </c>
      <c r="BQ47">
        <v>3</v>
      </c>
      <c r="BR47">
        <v>0</v>
      </c>
      <c r="BS47">
        <v>33.32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80</v>
      </c>
      <c r="CA47">
        <v>60</v>
      </c>
      <c r="CB47" t="s">
        <v>3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34"/>
        <v>23549.200000000001</v>
      </c>
      <c r="CQ47">
        <f t="shared" si="35"/>
        <v>144.89849999999998</v>
      </c>
      <c r="CR47">
        <f t="shared" si="36"/>
        <v>16160.1993</v>
      </c>
      <c r="CS47">
        <f t="shared" si="37"/>
        <v>3764.1604000000002</v>
      </c>
      <c r="CT47">
        <f t="shared" si="38"/>
        <v>7244.1012000000001</v>
      </c>
      <c r="CU47">
        <f t="shared" si="39"/>
        <v>0</v>
      </c>
      <c r="CV47">
        <f t="shared" si="40"/>
        <v>22.6</v>
      </c>
      <c r="CW47">
        <f t="shared" si="41"/>
        <v>8.73</v>
      </c>
      <c r="CX47">
        <f t="shared" si="42"/>
        <v>0</v>
      </c>
      <c r="CY47">
        <f t="shared" si="43"/>
        <v>8806.6080000000002</v>
      </c>
      <c r="CZ47">
        <f t="shared" si="44"/>
        <v>6604.9560000000001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1003</v>
      </c>
      <c r="DV47" t="s">
        <v>87</v>
      </c>
      <c r="DW47" t="s">
        <v>87</v>
      </c>
      <c r="DX47">
        <v>100</v>
      </c>
      <c r="DZ47" t="s">
        <v>3</v>
      </c>
      <c r="EA47" t="s">
        <v>3</v>
      </c>
      <c r="EB47" t="s">
        <v>3</v>
      </c>
      <c r="EC47" t="s">
        <v>3</v>
      </c>
      <c r="EE47">
        <v>49283986</v>
      </c>
      <c r="EF47">
        <v>3</v>
      </c>
      <c r="EG47" t="s">
        <v>17</v>
      </c>
      <c r="EH47">
        <v>0</v>
      </c>
      <c r="EI47" t="s">
        <v>3</v>
      </c>
      <c r="EJ47">
        <v>2</v>
      </c>
      <c r="EK47">
        <v>112001</v>
      </c>
      <c r="EL47" t="s">
        <v>52</v>
      </c>
      <c r="EM47" t="s">
        <v>53</v>
      </c>
      <c r="EO47" t="s">
        <v>3</v>
      </c>
      <c r="EQ47">
        <v>0</v>
      </c>
      <c r="ER47">
        <v>1984.05</v>
      </c>
      <c r="ES47">
        <v>4.3499999999999996</v>
      </c>
      <c r="ET47">
        <v>1762.29</v>
      </c>
      <c r="EU47">
        <v>112.97</v>
      </c>
      <c r="EV47">
        <v>217.41</v>
      </c>
      <c r="EW47">
        <v>22.6</v>
      </c>
      <c r="EX47">
        <v>8.73</v>
      </c>
      <c r="EY47">
        <v>0</v>
      </c>
      <c r="FQ47">
        <v>0</v>
      </c>
      <c r="FR47">
        <f t="shared" si="45"/>
        <v>0</v>
      </c>
      <c r="FS47">
        <v>0</v>
      </c>
      <c r="FX47">
        <v>80</v>
      </c>
      <c r="FY47">
        <v>60</v>
      </c>
      <c r="GA47" t="s">
        <v>3</v>
      </c>
      <c r="GD47">
        <v>1</v>
      </c>
      <c r="GF47">
        <v>-515067753</v>
      </c>
      <c r="GG47">
        <v>2</v>
      </c>
      <c r="GH47">
        <v>1</v>
      </c>
      <c r="GI47">
        <v>2</v>
      </c>
      <c r="GJ47">
        <v>0</v>
      </c>
      <c r="GK47">
        <v>0</v>
      </c>
      <c r="GL47">
        <f t="shared" si="46"/>
        <v>0</v>
      </c>
      <c r="GM47">
        <f t="shared" si="47"/>
        <v>38960.769999999997</v>
      </c>
      <c r="GN47">
        <f t="shared" si="48"/>
        <v>0</v>
      </c>
      <c r="GO47">
        <f t="shared" si="49"/>
        <v>38960.769999999997</v>
      </c>
      <c r="GP47">
        <f t="shared" si="50"/>
        <v>0</v>
      </c>
      <c r="GR47">
        <v>0</v>
      </c>
      <c r="GS47">
        <v>0</v>
      </c>
      <c r="GT47">
        <v>0</v>
      </c>
      <c r="GU47" t="s">
        <v>3</v>
      </c>
      <c r="GV47">
        <f t="shared" si="51"/>
        <v>0</v>
      </c>
      <c r="GW47">
        <v>1</v>
      </c>
      <c r="GX47">
        <f t="shared" si="52"/>
        <v>0</v>
      </c>
      <c r="HA47">
        <v>0</v>
      </c>
      <c r="HB47">
        <v>0</v>
      </c>
      <c r="HC47">
        <f t="shared" si="53"/>
        <v>0</v>
      </c>
      <c r="HE47" t="s">
        <v>3</v>
      </c>
      <c r="HF47" t="s">
        <v>3</v>
      </c>
      <c r="HM47" t="s">
        <v>3</v>
      </c>
      <c r="IK47">
        <v>0</v>
      </c>
    </row>
    <row r="48" spans="1:245" x14ac:dyDescent="0.2">
      <c r="A48">
        <v>17</v>
      </c>
      <c r="B48">
        <v>1</v>
      </c>
      <c r="E48" t="s">
        <v>3</v>
      </c>
      <c r="F48" t="s">
        <v>132</v>
      </c>
      <c r="G48" t="s">
        <v>133</v>
      </c>
      <c r="H48" t="s">
        <v>134</v>
      </c>
      <c r="I48">
        <v>3.0000000000000001E-3</v>
      </c>
      <c r="J48">
        <v>0</v>
      </c>
      <c r="K48">
        <v>3.0000000000000001E-3</v>
      </c>
      <c r="O48">
        <f t="shared" si="14"/>
        <v>975.57</v>
      </c>
      <c r="P48">
        <f t="shared" si="15"/>
        <v>975.57</v>
      </c>
      <c r="Q48">
        <f t="shared" si="16"/>
        <v>0</v>
      </c>
      <c r="R48">
        <f t="shared" si="17"/>
        <v>0</v>
      </c>
      <c r="S48">
        <f t="shared" si="18"/>
        <v>0</v>
      </c>
      <c r="T48">
        <f t="shared" si="19"/>
        <v>0</v>
      </c>
      <c r="U48">
        <f t="shared" si="20"/>
        <v>0</v>
      </c>
      <c r="V48">
        <f t="shared" si="21"/>
        <v>0</v>
      </c>
      <c r="W48">
        <f t="shared" si="22"/>
        <v>0.13</v>
      </c>
      <c r="X48">
        <f t="shared" si="23"/>
        <v>0</v>
      </c>
      <c r="Y48">
        <f t="shared" si="24"/>
        <v>0</v>
      </c>
      <c r="AA48">
        <v>-1</v>
      </c>
      <c r="AB48">
        <f t="shared" si="25"/>
        <v>68605.19</v>
      </c>
      <c r="AC48">
        <f t="shared" si="26"/>
        <v>68605.19</v>
      </c>
      <c r="AD48">
        <f t="shared" si="54"/>
        <v>0</v>
      </c>
      <c r="AE48">
        <f t="shared" si="55"/>
        <v>0</v>
      </c>
      <c r="AF48">
        <f t="shared" si="55"/>
        <v>0</v>
      </c>
      <c r="AG48">
        <f t="shared" si="30"/>
        <v>0</v>
      </c>
      <c r="AH48">
        <f t="shared" si="56"/>
        <v>0</v>
      </c>
      <c r="AI48">
        <f t="shared" si="56"/>
        <v>0</v>
      </c>
      <c r="AJ48">
        <f t="shared" si="33"/>
        <v>44.02</v>
      </c>
      <c r="AK48">
        <v>68605.19</v>
      </c>
      <c r="AL48">
        <v>68605.19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44.02</v>
      </c>
      <c r="AT48">
        <v>80</v>
      </c>
      <c r="AU48">
        <v>60</v>
      </c>
      <c r="AV48">
        <v>1</v>
      </c>
      <c r="AW48">
        <v>1</v>
      </c>
      <c r="AZ48">
        <v>1</v>
      </c>
      <c r="BA48">
        <v>1</v>
      </c>
      <c r="BB48">
        <v>1</v>
      </c>
      <c r="BC48">
        <v>4.74</v>
      </c>
      <c r="BD48" t="s">
        <v>3</v>
      </c>
      <c r="BE48" t="s">
        <v>3</v>
      </c>
      <c r="BF48" t="s">
        <v>3</v>
      </c>
      <c r="BG48" t="s">
        <v>3</v>
      </c>
      <c r="BH48">
        <v>3</v>
      </c>
      <c r="BI48">
        <v>2</v>
      </c>
      <c r="BJ48" t="s">
        <v>135</v>
      </c>
      <c r="BM48">
        <v>112001</v>
      </c>
      <c r="BN48">
        <v>0</v>
      </c>
      <c r="BO48" t="s">
        <v>132</v>
      </c>
      <c r="BP48">
        <v>1</v>
      </c>
      <c r="BQ48">
        <v>3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80</v>
      </c>
      <c r="CA48">
        <v>60</v>
      </c>
      <c r="CB48" t="s">
        <v>3</v>
      </c>
      <c r="CE48">
        <v>0</v>
      </c>
      <c r="CF48">
        <v>0</v>
      </c>
      <c r="CG48">
        <v>0</v>
      </c>
      <c r="CM48">
        <v>0</v>
      </c>
      <c r="CN48" t="s">
        <v>3</v>
      </c>
      <c r="CO48">
        <v>0</v>
      </c>
      <c r="CP48">
        <f t="shared" si="34"/>
        <v>975.57</v>
      </c>
      <c r="CQ48">
        <f t="shared" si="35"/>
        <v>325188.60060000001</v>
      </c>
      <c r="CR48">
        <f t="shared" si="36"/>
        <v>0</v>
      </c>
      <c r="CS48">
        <f t="shared" si="37"/>
        <v>0</v>
      </c>
      <c r="CT48">
        <f t="shared" si="38"/>
        <v>0</v>
      </c>
      <c r="CU48">
        <f t="shared" si="39"/>
        <v>0</v>
      </c>
      <c r="CV48">
        <f t="shared" si="40"/>
        <v>0</v>
      </c>
      <c r="CW48">
        <f t="shared" si="41"/>
        <v>0</v>
      </c>
      <c r="CX48">
        <f t="shared" si="42"/>
        <v>44.02</v>
      </c>
      <c r="CY48">
        <f t="shared" si="43"/>
        <v>0</v>
      </c>
      <c r="CZ48">
        <f t="shared" si="44"/>
        <v>0</v>
      </c>
      <c r="DC48" t="s">
        <v>3</v>
      </c>
      <c r="DD48" t="s">
        <v>3</v>
      </c>
      <c r="DE48" t="s">
        <v>3</v>
      </c>
      <c r="DF48" t="s">
        <v>3</v>
      </c>
      <c r="DG48" t="s">
        <v>3</v>
      </c>
      <c r="DH48" t="s">
        <v>3</v>
      </c>
      <c r="DI48" t="s">
        <v>3</v>
      </c>
      <c r="DJ48" t="s">
        <v>3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1009</v>
      </c>
      <c r="DV48" t="s">
        <v>134</v>
      </c>
      <c r="DW48" t="s">
        <v>134</v>
      </c>
      <c r="DX48">
        <v>1000</v>
      </c>
      <c r="DZ48" t="s">
        <v>3</v>
      </c>
      <c r="EA48" t="s">
        <v>3</v>
      </c>
      <c r="EB48" t="s">
        <v>3</v>
      </c>
      <c r="EC48" t="s">
        <v>3</v>
      </c>
      <c r="EE48">
        <v>49283986</v>
      </c>
      <c r="EF48">
        <v>3</v>
      </c>
      <c r="EG48" t="s">
        <v>17</v>
      </c>
      <c r="EH48">
        <v>0</v>
      </c>
      <c r="EI48" t="s">
        <v>3</v>
      </c>
      <c r="EJ48">
        <v>2</v>
      </c>
      <c r="EK48">
        <v>112001</v>
      </c>
      <c r="EL48" t="s">
        <v>52</v>
      </c>
      <c r="EM48" t="s">
        <v>53</v>
      </c>
      <c r="EO48" t="s">
        <v>3</v>
      </c>
      <c r="EQ48">
        <v>1024</v>
      </c>
      <c r="ER48">
        <v>68605.19</v>
      </c>
      <c r="ES48">
        <v>68605.19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FQ48">
        <v>0</v>
      </c>
      <c r="FR48">
        <f t="shared" si="45"/>
        <v>0</v>
      </c>
      <c r="FS48">
        <v>0</v>
      </c>
      <c r="FX48">
        <v>80</v>
      </c>
      <c r="FY48">
        <v>60</v>
      </c>
      <c r="GA48" t="s">
        <v>3</v>
      </c>
      <c r="GD48">
        <v>1</v>
      </c>
      <c r="GF48">
        <v>-1985723016</v>
      </c>
      <c r="GG48">
        <v>2</v>
      </c>
      <c r="GH48">
        <v>1</v>
      </c>
      <c r="GI48">
        <v>2</v>
      </c>
      <c r="GJ48">
        <v>0</v>
      </c>
      <c r="GK48">
        <v>0</v>
      </c>
      <c r="GL48">
        <f t="shared" si="46"/>
        <v>0</v>
      </c>
      <c r="GM48">
        <f t="shared" si="47"/>
        <v>975.57</v>
      </c>
      <c r="GN48">
        <f t="shared" si="48"/>
        <v>0</v>
      </c>
      <c r="GO48">
        <f t="shared" si="49"/>
        <v>975.57</v>
      </c>
      <c r="GP48">
        <f t="shared" si="50"/>
        <v>0</v>
      </c>
      <c r="GR48">
        <v>0</v>
      </c>
      <c r="GS48">
        <v>0</v>
      </c>
      <c r="GT48">
        <v>0</v>
      </c>
      <c r="GU48" t="s">
        <v>3</v>
      </c>
      <c r="GV48">
        <f t="shared" si="51"/>
        <v>0</v>
      </c>
      <c r="GW48">
        <v>1</v>
      </c>
      <c r="GX48">
        <f t="shared" si="52"/>
        <v>0</v>
      </c>
      <c r="HA48">
        <v>0</v>
      </c>
      <c r="HB48">
        <v>0</v>
      </c>
      <c r="HC48">
        <f t="shared" si="53"/>
        <v>0</v>
      </c>
      <c r="HE48" t="s">
        <v>3</v>
      </c>
      <c r="HF48" t="s">
        <v>3</v>
      </c>
      <c r="HM48" t="s">
        <v>3</v>
      </c>
      <c r="IK48">
        <v>0</v>
      </c>
    </row>
    <row r="50" spans="1:206" x14ac:dyDescent="0.2">
      <c r="A50" s="2">
        <v>51</v>
      </c>
      <c r="B50" s="2">
        <f>B20</f>
        <v>1</v>
      </c>
      <c r="C50" s="2">
        <f>A20</f>
        <v>3</v>
      </c>
      <c r="D50" s="2">
        <f>ROW(A20)</f>
        <v>20</v>
      </c>
      <c r="E50" s="2"/>
      <c r="F50" s="2" t="str">
        <f>IF(F20&lt;&gt;"",F20,"")</f>
        <v>Новая локальная смета</v>
      </c>
      <c r="G50" s="2" t="str">
        <f>IF(G20&lt;&gt;"",G20,"")</f>
        <v>Новая локальная смета</v>
      </c>
      <c r="H50" s="2">
        <v>0</v>
      </c>
      <c r="I50" s="2"/>
      <c r="J50" s="2"/>
      <c r="K50" s="2"/>
      <c r="L50" s="2"/>
      <c r="M50" s="2"/>
      <c r="N50" s="2"/>
      <c r="O50" s="2">
        <f t="shared" ref="O50:T50" si="57">ROUND(AB50,2)</f>
        <v>76475.42</v>
      </c>
      <c r="P50" s="2">
        <f t="shared" si="57"/>
        <v>2067.85</v>
      </c>
      <c r="Q50" s="2">
        <f t="shared" si="57"/>
        <v>19862.75</v>
      </c>
      <c r="R50" s="2">
        <f t="shared" si="57"/>
        <v>4668.33</v>
      </c>
      <c r="S50" s="2">
        <f t="shared" si="57"/>
        <v>54544.82</v>
      </c>
      <c r="T50" s="2">
        <f t="shared" si="57"/>
        <v>0</v>
      </c>
      <c r="U50" s="2">
        <f>AH50</f>
        <v>171.61395499999998</v>
      </c>
      <c r="V50" s="2">
        <f>AI50</f>
        <v>11.037475000000001</v>
      </c>
      <c r="W50" s="2">
        <f>ROUND(AJ50,2)</f>
        <v>0</v>
      </c>
      <c r="X50" s="2">
        <f>ROUND(AK50,2)</f>
        <v>48492.26</v>
      </c>
      <c r="Y50" s="2">
        <f>ROUND(AL50,2)</f>
        <v>35895.54</v>
      </c>
      <c r="Z50" s="2"/>
      <c r="AA50" s="2"/>
      <c r="AB50" s="2">
        <f>ROUND(SUMIF(AA24:AA48,"=50121127",O24:O48),2)</f>
        <v>76475.42</v>
      </c>
      <c r="AC50" s="2">
        <f>ROUND(SUMIF(AA24:AA48,"=50121127",P24:P48),2)</f>
        <v>2067.85</v>
      </c>
      <c r="AD50" s="2">
        <f>ROUND(SUMIF(AA24:AA48,"=50121127",Q24:Q48),2)</f>
        <v>19862.75</v>
      </c>
      <c r="AE50" s="2">
        <f>ROUND(SUMIF(AA24:AA48,"=50121127",R24:R48),2)</f>
        <v>4668.33</v>
      </c>
      <c r="AF50" s="2">
        <f>ROUND(SUMIF(AA24:AA48,"=50121127",S24:S48),2)</f>
        <v>54544.82</v>
      </c>
      <c r="AG50" s="2">
        <f>ROUND(SUMIF(AA24:AA48,"=50121127",T24:T48),2)</f>
        <v>0</v>
      </c>
      <c r="AH50" s="2">
        <f>SUMIF(AA24:AA48,"=50121127",U24:U48)</f>
        <v>171.61395499999998</v>
      </c>
      <c r="AI50" s="2">
        <f>SUMIF(AA24:AA48,"=50121127",V24:V48)</f>
        <v>11.037475000000001</v>
      </c>
      <c r="AJ50" s="2">
        <f>ROUND(SUMIF(AA24:AA48,"=50121127",W24:W48),2)</f>
        <v>0</v>
      </c>
      <c r="AK50" s="2">
        <f>ROUND(SUMIF(AA24:AA48,"=50121127",X24:X48),2)</f>
        <v>48492.26</v>
      </c>
      <c r="AL50" s="2">
        <f>ROUND(SUMIF(AA24:AA48,"=50121127",Y24:Y48),2)</f>
        <v>35895.54</v>
      </c>
      <c r="AM50" s="2"/>
      <c r="AN50" s="2"/>
      <c r="AO50" s="2">
        <f t="shared" ref="AO50:BD50" si="58">ROUND(BX50,2)</f>
        <v>0</v>
      </c>
      <c r="AP50" s="2">
        <f t="shared" si="58"/>
        <v>0</v>
      </c>
      <c r="AQ50" s="2">
        <f t="shared" si="58"/>
        <v>0</v>
      </c>
      <c r="AR50" s="2">
        <f t="shared" si="58"/>
        <v>160863.22</v>
      </c>
      <c r="AS50" s="2">
        <f t="shared" si="58"/>
        <v>696.4</v>
      </c>
      <c r="AT50" s="2">
        <f t="shared" si="58"/>
        <v>160166.82</v>
      </c>
      <c r="AU50" s="2">
        <f t="shared" si="58"/>
        <v>0</v>
      </c>
      <c r="AV50" s="2">
        <f t="shared" si="58"/>
        <v>2067.85</v>
      </c>
      <c r="AW50" s="2">
        <f t="shared" si="58"/>
        <v>2067.85</v>
      </c>
      <c r="AX50" s="2">
        <f t="shared" si="58"/>
        <v>0</v>
      </c>
      <c r="AY50" s="2">
        <f t="shared" si="58"/>
        <v>2067.85</v>
      </c>
      <c r="AZ50" s="2">
        <f t="shared" si="58"/>
        <v>0</v>
      </c>
      <c r="BA50" s="2">
        <f t="shared" si="58"/>
        <v>0</v>
      </c>
      <c r="BB50" s="2">
        <f t="shared" si="58"/>
        <v>0</v>
      </c>
      <c r="BC50" s="2">
        <f t="shared" si="58"/>
        <v>0</v>
      </c>
      <c r="BD50" s="2">
        <f t="shared" si="58"/>
        <v>0</v>
      </c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>
        <f>ROUND(SUMIF(AA24:AA48,"=50121127",FQ24:FQ48),2)</f>
        <v>0</v>
      </c>
      <c r="BY50" s="2">
        <f>ROUND(SUMIF(AA24:AA48,"=50121127",FR24:FR48),2)</f>
        <v>0</v>
      </c>
      <c r="BZ50" s="2">
        <f>ROUND(SUMIF(AA24:AA48,"=50121127",GL24:GL48),2)</f>
        <v>0</v>
      </c>
      <c r="CA50" s="2">
        <f>ROUND(SUMIF(AA24:AA48,"=50121127",GM24:GM48),2)</f>
        <v>160863.22</v>
      </c>
      <c r="CB50" s="2">
        <f>ROUND(SUMIF(AA24:AA48,"=50121127",GN24:GN48),2)</f>
        <v>696.4</v>
      </c>
      <c r="CC50" s="2">
        <f>ROUND(SUMIF(AA24:AA48,"=50121127",GO24:GO48),2)</f>
        <v>160166.82</v>
      </c>
      <c r="CD50" s="2">
        <f>ROUND(SUMIF(AA24:AA48,"=50121127",GP24:GP48),2)</f>
        <v>0</v>
      </c>
      <c r="CE50" s="2">
        <f>AC50-BX50</f>
        <v>2067.85</v>
      </c>
      <c r="CF50" s="2">
        <f>AC50-BY50</f>
        <v>2067.85</v>
      </c>
      <c r="CG50" s="2">
        <f>BX50-BZ50</f>
        <v>0</v>
      </c>
      <c r="CH50" s="2">
        <f>AC50-BX50-BY50+BZ50</f>
        <v>2067.85</v>
      </c>
      <c r="CI50" s="2">
        <f>BY50-BZ50</f>
        <v>0</v>
      </c>
      <c r="CJ50" s="2">
        <f>ROUND(SUMIF(AA24:AA48,"=50121127",GX24:GX48),2)</f>
        <v>0</v>
      </c>
      <c r="CK50" s="2">
        <f>ROUND(SUMIF(AA24:AA48,"=50121127",GY24:GY48),2)</f>
        <v>0</v>
      </c>
      <c r="CL50" s="2">
        <f>ROUND(SUMIF(AA24:AA48,"=50121127",GZ24:GZ48),2)</f>
        <v>0</v>
      </c>
      <c r="CM50" s="2">
        <f>ROUND(SUMIF(AA24:AA48,"=50121127",HD24:HD48),2)</f>
        <v>0</v>
      </c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>
        <v>0</v>
      </c>
    </row>
    <row r="52" spans="1:206" x14ac:dyDescent="0.2">
      <c r="A52" s="4">
        <v>50</v>
      </c>
      <c r="B52" s="4">
        <v>0</v>
      </c>
      <c r="C52" s="4">
        <v>0</v>
      </c>
      <c r="D52" s="4">
        <v>1</v>
      </c>
      <c r="E52" s="4">
        <v>201</v>
      </c>
      <c r="F52" s="4">
        <f>ROUND(Source!O50,O52)</f>
        <v>76475.42</v>
      </c>
      <c r="G52" s="4" t="s">
        <v>136</v>
      </c>
      <c r="H52" s="4" t="s">
        <v>137</v>
      </c>
      <c r="I52" s="4"/>
      <c r="J52" s="4"/>
      <c r="K52" s="4">
        <v>201</v>
      </c>
      <c r="L52" s="4">
        <v>1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06" x14ac:dyDescent="0.2">
      <c r="A53" s="4">
        <v>50</v>
      </c>
      <c r="B53" s="4">
        <v>0</v>
      </c>
      <c r="C53" s="4">
        <v>0</v>
      </c>
      <c r="D53" s="4">
        <v>1</v>
      </c>
      <c r="E53" s="4">
        <v>202</v>
      </c>
      <c r="F53" s="4">
        <f>ROUND(Source!P50,O53)</f>
        <v>2067.85</v>
      </c>
      <c r="G53" s="4" t="s">
        <v>138</v>
      </c>
      <c r="H53" s="4" t="s">
        <v>139</v>
      </c>
      <c r="I53" s="4"/>
      <c r="J53" s="4"/>
      <c r="K53" s="4">
        <v>202</v>
      </c>
      <c r="L53" s="4">
        <v>2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06" x14ac:dyDescent="0.2">
      <c r="A54" s="4">
        <v>50</v>
      </c>
      <c r="B54" s="4">
        <v>0</v>
      </c>
      <c r="C54" s="4">
        <v>0</v>
      </c>
      <c r="D54" s="4">
        <v>1</v>
      </c>
      <c r="E54" s="4">
        <v>222</v>
      </c>
      <c r="F54" s="4">
        <f>ROUND(Source!AO50,O54)</f>
        <v>0</v>
      </c>
      <c r="G54" s="4" t="s">
        <v>140</v>
      </c>
      <c r="H54" s="4" t="s">
        <v>141</v>
      </c>
      <c r="I54" s="4"/>
      <c r="J54" s="4"/>
      <c r="K54" s="4">
        <v>222</v>
      </c>
      <c r="L54" s="4">
        <v>3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06" x14ac:dyDescent="0.2">
      <c r="A55" s="4">
        <v>50</v>
      </c>
      <c r="B55" s="4">
        <v>0</v>
      </c>
      <c r="C55" s="4">
        <v>0</v>
      </c>
      <c r="D55" s="4">
        <v>1</v>
      </c>
      <c r="E55" s="4">
        <v>225</v>
      </c>
      <c r="F55" s="4">
        <f>ROUND(Source!AV50,O55)</f>
        <v>2067.85</v>
      </c>
      <c r="G55" s="4" t="s">
        <v>142</v>
      </c>
      <c r="H55" s="4" t="s">
        <v>143</v>
      </c>
      <c r="I55" s="4"/>
      <c r="J55" s="4"/>
      <c r="K55" s="4">
        <v>225</v>
      </c>
      <c r="L55" s="4">
        <v>4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06" x14ac:dyDescent="0.2">
      <c r="A56" s="4">
        <v>50</v>
      </c>
      <c r="B56" s="4">
        <v>0</v>
      </c>
      <c r="C56" s="4">
        <v>0</v>
      </c>
      <c r="D56" s="4">
        <v>1</v>
      </c>
      <c r="E56" s="4">
        <v>226</v>
      </c>
      <c r="F56" s="4">
        <f>ROUND(Source!AW50,O56)</f>
        <v>2067.85</v>
      </c>
      <c r="G56" s="4" t="s">
        <v>144</v>
      </c>
      <c r="H56" s="4" t="s">
        <v>145</v>
      </c>
      <c r="I56" s="4"/>
      <c r="J56" s="4"/>
      <c r="K56" s="4">
        <v>226</v>
      </c>
      <c r="L56" s="4">
        <v>5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06" x14ac:dyDescent="0.2">
      <c r="A57" s="4">
        <v>50</v>
      </c>
      <c r="B57" s="4">
        <v>0</v>
      </c>
      <c r="C57" s="4">
        <v>0</v>
      </c>
      <c r="D57" s="4">
        <v>1</v>
      </c>
      <c r="E57" s="4">
        <v>227</v>
      </c>
      <c r="F57" s="4">
        <f>ROUND(Source!AX50,O57)</f>
        <v>0</v>
      </c>
      <c r="G57" s="4" t="s">
        <v>146</v>
      </c>
      <c r="H57" s="4" t="s">
        <v>147</v>
      </c>
      <c r="I57" s="4"/>
      <c r="J57" s="4"/>
      <c r="K57" s="4">
        <v>227</v>
      </c>
      <c r="L57" s="4">
        <v>6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06" x14ac:dyDescent="0.2">
      <c r="A58" s="4">
        <v>50</v>
      </c>
      <c r="B58" s="4">
        <v>0</v>
      </c>
      <c r="C58" s="4">
        <v>0</v>
      </c>
      <c r="D58" s="4">
        <v>1</v>
      </c>
      <c r="E58" s="4">
        <v>228</v>
      </c>
      <c r="F58" s="4">
        <f>ROUND(Source!AY50,O58)</f>
        <v>2067.85</v>
      </c>
      <c r="G58" s="4" t="s">
        <v>148</v>
      </c>
      <c r="H58" s="4" t="s">
        <v>149</v>
      </c>
      <c r="I58" s="4"/>
      <c r="J58" s="4"/>
      <c r="K58" s="4">
        <v>228</v>
      </c>
      <c r="L58" s="4">
        <v>7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06" x14ac:dyDescent="0.2">
      <c r="A59" s="4">
        <v>50</v>
      </c>
      <c r="B59" s="4">
        <v>0</v>
      </c>
      <c r="C59" s="4">
        <v>0</v>
      </c>
      <c r="D59" s="4">
        <v>1</v>
      </c>
      <c r="E59" s="4">
        <v>216</v>
      </c>
      <c r="F59" s="4">
        <f>ROUND(Source!AP50,O59)</f>
        <v>0</v>
      </c>
      <c r="G59" s="4" t="s">
        <v>150</v>
      </c>
      <c r="H59" s="4" t="s">
        <v>151</v>
      </c>
      <c r="I59" s="4"/>
      <c r="J59" s="4"/>
      <c r="K59" s="4">
        <v>216</v>
      </c>
      <c r="L59" s="4">
        <v>8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06" x14ac:dyDescent="0.2">
      <c r="A60" s="4">
        <v>50</v>
      </c>
      <c r="B60" s="4">
        <v>0</v>
      </c>
      <c r="C60" s="4">
        <v>0</v>
      </c>
      <c r="D60" s="4">
        <v>1</v>
      </c>
      <c r="E60" s="4">
        <v>223</v>
      </c>
      <c r="F60" s="4">
        <f>ROUND(Source!AQ50,O60)</f>
        <v>0</v>
      </c>
      <c r="G60" s="4" t="s">
        <v>152</v>
      </c>
      <c r="H60" s="4" t="s">
        <v>153</v>
      </c>
      <c r="I60" s="4"/>
      <c r="J60" s="4"/>
      <c r="K60" s="4">
        <v>223</v>
      </c>
      <c r="L60" s="4">
        <v>9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06" x14ac:dyDescent="0.2">
      <c r="A61" s="4">
        <v>50</v>
      </c>
      <c r="B61" s="4">
        <v>0</v>
      </c>
      <c r="C61" s="4">
        <v>0</v>
      </c>
      <c r="D61" s="4">
        <v>1</v>
      </c>
      <c r="E61" s="4">
        <v>229</v>
      </c>
      <c r="F61" s="4">
        <f>ROUND(Source!AZ50,O61)</f>
        <v>0</v>
      </c>
      <c r="G61" s="4" t="s">
        <v>154</v>
      </c>
      <c r="H61" s="4" t="s">
        <v>155</v>
      </c>
      <c r="I61" s="4"/>
      <c r="J61" s="4"/>
      <c r="K61" s="4">
        <v>229</v>
      </c>
      <c r="L61" s="4">
        <v>10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06" x14ac:dyDescent="0.2">
      <c r="A62" s="4">
        <v>50</v>
      </c>
      <c r="B62" s="4">
        <v>0</v>
      </c>
      <c r="C62" s="4">
        <v>0</v>
      </c>
      <c r="D62" s="4">
        <v>1</v>
      </c>
      <c r="E62" s="4">
        <v>203</v>
      </c>
      <c r="F62" s="4">
        <f>ROUND(Source!Q50,O62)</f>
        <v>19862.75</v>
      </c>
      <c r="G62" s="4" t="s">
        <v>156</v>
      </c>
      <c r="H62" s="4" t="s">
        <v>157</v>
      </c>
      <c r="I62" s="4"/>
      <c r="J62" s="4"/>
      <c r="K62" s="4">
        <v>203</v>
      </c>
      <c r="L62" s="4">
        <v>11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06" x14ac:dyDescent="0.2">
      <c r="A63" s="4">
        <v>50</v>
      </c>
      <c r="B63" s="4">
        <v>0</v>
      </c>
      <c r="C63" s="4">
        <v>0</v>
      </c>
      <c r="D63" s="4">
        <v>1</v>
      </c>
      <c r="E63" s="4">
        <v>231</v>
      </c>
      <c r="F63" s="4">
        <f>ROUND(Source!BB50,O63)</f>
        <v>0</v>
      </c>
      <c r="G63" s="4" t="s">
        <v>158</v>
      </c>
      <c r="H63" s="4" t="s">
        <v>159</v>
      </c>
      <c r="I63" s="4"/>
      <c r="J63" s="4"/>
      <c r="K63" s="4">
        <v>231</v>
      </c>
      <c r="L63" s="4">
        <v>12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06" x14ac:dyDescent="0.2">
      <c r="A64" s="4">
        <v>50</v>
      </c>
      <c r="B64" s="4">
        <v>0</v>
      </c>
      <c r="C64" s="4">
        <v>0</v>
      </c>
      <c r="D64" s="4">
        <v>1</v>
      </c>
      <c r="E64" s="4">
        <v>204</v>
      </c>
      <c r="F64" s="4">
        <f>ROUND(Source!R50,O64)</f>
        <v>4668.33</v>
      </c>
      <c r="G64" s="4" t="s">
        <v>160</v>
      </c>
      <c r="H64" s="4" t="s">
        <v>161</v>
      </c>
      <c r="I64" s="4"/>
      <c r="J64" s="4"/>
      <c r="K64" s="4">
        <v>204</v>
      </c>
      <c r="L64" s="4">
        <v>13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 x14ac:dyDescent="0.2">
      <c r="A65" s="4">
        <v>50</v>
      </c>
      <c r="B65" s="4">
        <v>0</v>
      </c>
      <c r="C65" s="4">
        <v>0</v>
      </c>
      <c r="D65" s="4">
        <v>1</v>
      </c>
      <c r="E65" s="4">
        <v>205</v>
      </c>
      <c r="F65" s="4">
        <f>ROUND(Source!S50,O65)</f>
        <v>54544.82</v>
      </c>
      <c r="G65" s="4" t="s">
        <v>162</v>
      </c>
      <c r="H65" s="4" t="s">
        <v>163</v>
      </c>
      <c r="I65" s="4"/>
      <c r="J65" s="4"/>
      <c r="K65" s="4">
        <v>205</v>
      </c>
      <c r="L65" s="4">
        <v>14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06" x14ac:dyDescent="0.2">
      <c r="A66" s="4">
        <v>50</v>
      </c>
      <c r="B66" s="4">
        <v>0</v>
      </c>
      <c r="C66" s="4">
        <v>0</v>
      </c>
      <c r="D66" s="4">
        <v>1</v>
      </c>
      <c r="E66" s="4">
        <v>232</v>
      </c>
      <c r="F66" s="4">
        <f>ROUND(Source!BC50,O66)</f>
        <v>0</v>
      </c>
      <c r="G66" s="4" t="s">
        <v>164</v>
      </c>
      <c r="H66" s="4" t="s">
        <v>165</v>
      </c>
      <c r="I66" s="4"/>
      <c r="J66" s="4"/>
      <c r="K66" s="4">
        <v>232</v>
      </c>
      <c r="L66" s="4">
        <v>15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06" x14ac:dyDescent="0.2">
      <c r="A67" s="4">
        <v>50</v>
      </c>
      <c r="B67" s="4">
        <v>0</v>
      </c>
      <c r="C67" s="4">
        <v>0</v>
      </c>
      <c r="D67" s="4">
        <v>1</v>
      </c>
      <c r="E67" s="4">
        <v>214</v>
      </c>
      <c r="F67" s="4">
        <f>ROUND(Source!AS50,O67)</f>
        <v>696.4</v>
      </c>
      <c r="G67" s="4" t="s">
        <v>166</v>
      </c>
      <c r="H67" s="4" t="s">
        <v>167</v>
      </c>
      <c r="I67" s="4"/>
      <c r="J67" s="4"/>
      <c r="K67" s="4">
        <v>214</v>
      </c>
      <c r="L67" s="4">
        <v>16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06" x14ac:dyDescent="0.2">
      <c r="A68" s="4">
        <v>50</v>
      </c>
      <c r="B68" s="4">
        <v>0</v>
      </c>
      <c r="C68" s="4">
        <v>0</v>
      </c>
      <c r="D68" s="4">
        <v>1</v>
      </c>
      <c r="E68" s="4">
        <v>215</v>
      </c>
      <c r="F68" s="4">
        <f>ROUND(Source!AT50,O68)</f>
        <v>160166.82</v>
      </c>
      <c r="G68" s="4" t="s">
        <v>168</v>
      </c>
      <c r="H68" s="4" t="s">
        <v>169</v>
      </c>
      <c r="I68" s="4"/>
      <c r="J68" s="4"/>
      <c r="K68" s="4">
        <v>215</v>
      </c>
      <c r="L68" s="4">
        <v>17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06" x14ac:dyDescent="0.2">
      <c r="A69" s="4">
        <v>50</v>
      </c>
      <c r="B69" s="4">
        <v>0</v>
      </c>
      <c r="C69" s="4">
        <v>0</v>
      </c>
      <c r="D69" s="4">
        <v>1</v>
      </c>
      <c r="E69" s="4">
        <v>217</v>
      </c>
      <c r="F69" s="4">
        <f>ROUND(Source!AU50,O69)</f>
        <v>0</v>
      </c>
      <c r="G69" s="4" t="s">
        <v>170</v>
      </c>
      <c r="H69" s="4" t="s">
        <v>171</v>
      </c>
      <c r="I69" s="4"/>
      <c r="J69" s="4"/>
      <c r="K69" s="4">
        <v>217</v>
      </c>
      <c r="L69" s="4">
        <v>18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06" x14ac:dyDescent="0.2">
      <c r="A70" s="4">
        <v>50</v>
      </c>
      <c r="B70" s="4">
        <v>0</v>
      </c>
      <c r="C70" s="4">
        <v>0</v>
      </c>
      <c r="D70" s="4">
        <v>1</v>
      </c>
      <c r="E70" s="4">
        <v>230</v>
      </c>
      <c r="F70" s="4">
        <f>ROUND(Source!BA50,O70)</f>
        <v>0</v>
      </c>
      <c r="G70" s="4" t="s">
        <v>172</v>
      </c>
      <c r="H70" s="4" t="s">
        <v>173</v>
      </c>
      <c r="I70" s="4"/>
      <c r="J70" s="4"/>
      <c r="K70" s="4">
        <v>230</v>
      </c>
      <c r="L70" s="4">
        <v>19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06" x14ac:dyDescent="0.2">
      <c r="A71" s="4">
        <v>50</v>
      </c>
      <c r="B71" s="4">
        <v>0</v>
      </c>
      <c r="C71" s="4">
        <v>0</v>
      </c>
      <c r="D71" s="4">
        <v>1</v>
      </c>
      <c r="E71" s="4">
        <v>206</v>
      </c>
      <c r="F71" s="4">
        <f>ROUND(Source!T50,O71)</f>
        <v>0</v>
      </c>
      <c r="G71" s="4" t="s">
        <v>174</v>
      </c>
      <c r="H71" s="4" t="s">
        <v>175</v>
      </c>
      <c r="I71" s="4"/>
      <c r="J71" s="4"/>
      <c r="K71" s="4">
        <v>206</v>
      </c>
      <c r="L71" s="4">
        <v>20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06" x14ac:dyDescent="0.2">
      <c r="A72" s="4">
        <v>50</v>
      </c>
      <c r="B72" s="4">
        <v>0</v>
      </c>
      <c r="C72" s="4">
        <v>0</v>
      </c>
      <c r="D72" s="4">
        <v>1</v>
      </c>
      <c r="E72" s="4">
        <v>207</v>
      </c>
      <c r="F72" s="4">
        <f>Source!U50</f>
        <v>171.61395499999998</v>
      </c>
      <c r="G72" s="4" t="s">
        <v>176</v>
      </c>
      <c r="H72" s="4" t="s">
        <v>177</v>
      </c>
      <c r="I72" s="4"/>
      <c r="J72" s="4"/>
      <c r="K72" s="4">
        <v>207</v>
      </c>
      <c r="L72" s="4">
        <v>21</v>
      </c>
      <c r="M72" s="4">
        <v>3</v>
      </c>
      <c r="N72" s="4" t="s">
        <v>3</v>
      </c>
      <c r="O72" s="4">
        <v>-1</v>
      </c>
      <c r="P72" s="4"/>
      <c r="Q72" s="4"/>
      <c r="R72" s="4"/>
      <c r="S72" s="4"/>
      <c r="T72" s="4"/>
      <c r="U72" s="4"/>
      <c r="V72" s="4"/>
      <c r="W72" s="4"/>
    </row>
    <row r="73" spans="1:206" x14ac:dyDescent="0.2">
      <c r="A73" s="4">
        <v>50</v>
      </c>
      <c r="B73" s="4">
        <v>0</v>
      </c>
      <c r="C73" s="4">
        <v>0</v>
      </c>
      <c r="D73" s="4">
        <v>1</v>
      </c>
      <c r="E73" s="4">
        <v>208</v>
      </c>
      <c r="F73" s="4">
        <f>Source!V50</f>
        <v>11.037475000000001</v>
      </c>
      <c r="G73" s="4" t="s">
        <v>178</v>
      </c>
      <c r="H73" s="4" t="s">
        <v>179</v>
      </c>
      <c r="I73" s="4"/>
      <c r="J73" s="4"/>
      <c r="K73" s="4">
        <v>208</v>
      </c>
      <c r="L73" s="4">
        <v>22</v>
      </c>
      <c r="M73" s="4">
        <v>3</v>
      </c>
      <c r="N73" s="4" t="s">
        <v>3</v>
      </c>
      <c r="O73" s="4">
        <v>-1</v>
      </c>
      <c r="P73" s="4"/>
      <c r="Q73" s="4"/>
      <c r="R73" s="4"/>
      <c r="S73" s="4"/>
      <c r="T73" s="4"/>
      <c r="U73" s="4"/>
      <c r="V73" s="4"/>
      <c r="W73" s="4"/>
    </row>
    <row r="74" spans="1:206" x14ac:dyDescent="0.2">
      <c r="A74" s="4">
        <v>50</v>
      </c>
      <c r="B74" s="4">
        <v>0</v>
      </c>
      <c r="C74" s="4">
        <v>0</v>
      </c>
      <c r="D74" s="4">
        <v>1</v>
      </c>
      <c r="E74" s="4">
        <v>209</v>
      </c>
      <c r="F74" s="4">
        <f>ROUND(Source!W50,O74)</f>
        <v>0</v>
      </c>
      <c r="G74" s="4" t="s">
        <v>180</v>
      </c>
      <c r="H74" s="4" t="s">
        <v>181</v>
      </c>
      <c r="I74" s="4"/>
      <c r="J74" s="4"/>
      <c r="K74" s="4">
        <v>209</v>
      </c>
      <c r="L74" s="4">
        <v>23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06" x14ac:dyDescent="0.2">
      <c r="A75" s="4">
        <v>50</v>
      </c>
      <c r="B75" s="4">
        <v>0</v>
      </c>
      <c r="C75" s="4">
        <v>0</v>
      </c>
      <c r="D75" s="4">
        <v>1</v>
      </c>
      <c r="E75" s="4">
        <v>233</v>
      </c>
      <c r="F75" s="4">
        <f>ROUND(Source!BD50,O75)</f>
        <v>0</v>
      </c>
      <c r="G75" s="4" t="s">
        <v>182</v>
      </c>
      <c r="H75" s="4" t="s">
        <v>183</v>
      </c>
      <c r="I75" s="4"/>
      <c r="J75" s="4"/>
      <c r="K75" s="4">
        <v>233</v>
      </c>
      <c r="L75" s="4">
        <v>24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 x14ac:dyDescent="0.2">
      <c r="A76" s="4">
        <v>50</v>
      </c>
      <c r="B76" s="4">
        <v>0</v>
      </c>
      <c r="C76" s="4">
        <v>0</v>
      </c>
      <c r="D76" s="4">
        <v>1</v>
      </c>
      <c r="E76" s="4">
        <v>210</v>
      </c>
      <c r="F76" s="4">
        <f>ROUND(Source!X50,O76)</f>
        <v>48492.26</v>
      </c>
      <c r="G76" s="4" t="s">
        <v>184</v>
      </c>
      <c r="H76" s="4" t="s">
        <v>185</v>
      </c>
      <c r="I76" s="4"/>
      <c r="J76" s="4"/>
      <c r="K76" s="4">
        <v>210</v>
      </c>
      <c r="L76" s="4">
        <v>25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 x14ac:dyDescent="0.2">
      <c r="A77" s="4">
        <v>50</v>
      </c>
      <c r="B77" s="4">
        <v>0</v>
      </c>
      <c r="C77" s="4">
        <v>0</v>
      </c>
      <c r="D77" s="4">
        <v>1</v>
      </c>
      <c r="E77" s="4">
        <v>211</v>
      </c>
      <c r="F77" s="4">
        <f>ROUND(Source!Y50,O77)</f>
        <v>35895.54</v>
      </c>
      <c r="G77" s="4" t="s">
        <v>186</v>
      </c>
      <c r="H77" s="4" t="s">
        <v>187</v>
      </c>
      <c r="I77" s="4"/>
      <c r="J77" s="4"/>
      <c r="K77" s="4">
        <v>211</v>
      </c>
      <c r="L77" s="4">
        <v>26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 x14ac:dyDescent="0.2">
      <c r="A78" s="4">
        <v>50</v>
      </c>
      <c r="B78" s="4">
        <v>0</v>
      </c>
      <c r="C78" s="4">
        <v>0</v>
      </c>
      <c r="D78" s="4">
        <v>1</v>
      </c>
      <c r="E78" s="4">
        <v>224</v>
      </c>
      <c r="F78" s="4">
        <f>ROUND(Source!AR50,O78)</f>
        <v>160863.22</v>
      </c>
      <c r="G78" s="4" t="s">
        <v>188</v>
      </c>
      <c r="H78" s="4" t="s">
        <v>189</v>
      </c>
      <c r="I78" s="4"/>
      <c r="J78" s="4"/>
      <c r="K78" s="4">
        <v>224</v>
      </c>
      <c r="L78" s="4">
        <v>27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80" spans="1:206" x14ac:dyDescent="0.2">
      <c r="A80" s="2">
        <v>51</v>
      </c>
      <c r="B80" s="2">
        <f>B12</f>
        <v>139</v>
      </c>
      <c r="C80" s="2">
        <f>A12</f>
        <v>1</v>
      </c>
      <c r="D80" s="2">
        <f>ROW(A12)</f>
        <v>12</v>
      </c>
      <c r="E80" s="2"/>
      <c r="F80" s="2" t="str">
        <f>IF(F12&lt;&gt;"",F12,"")</f>
        <v>Новый объект</v>
      </c>
      <c r="G80" s="2" t="str">
        <f>IF(G12&lt;&gt;"",G12,"")</f>
        <v>МОСП ул.Щепкина д.61/2_(Монтаж)</v>
      </c>
      <c r="H80" s="2">
        <v>0</v>
      </c>
      <c r="I80" s="2"/>
      <c r="J80" s="2"/>
      <c r="K80" s="2"/>
      <c r="L80" s="2"/>
      <c r="M80" s="2"/>
      <c r="N80" s="2"/>
      <c r="O80" s="2">
        <f t="shared" ref="O80:T80" si="59">ROUND(O50,2)</f>
        <v>76475.42</v>
      </c>
      <c r="P80" s="2">
        <f t="shared" si="59"/>
        <v>2067.85</v>
      </c>
      <c r="Q80" s="2">
        <f t="shared" si="59"/>
        <v>19862.75</v>
      </c>
      <c r="R80" s="2">
        <f t="shared" si="59"/>
        <v>4668.33</v>
      </c>
      <c r="S80" s="2">
        <f t="shared" si="59"/>
        <v>54544.82</v>
      </c>
      <c r="T80" s="2">
        <f t="shared" si="59"/>
        <v>0</v>
      </c>
      <c r="U80" s="2">
        <f>U50</f>
        <v>171.61395499999998</v>
      </c>
      <c r="V80" s="2">
        <f>V50</f>
        <v>11.037475000000001</v>
      </c>
      <c r="W80" s="2">
        <f>ROUND(W50,2)</f>
        <v>0</v>
      </c>
      <c r="X80" s="2">
        <f>ROUND(X50,2)</f>
        <v>48492.26</v>
      </c>
      <c r="Y80" s="2">
        <f>ROUND(Y50,2)</f>
        <v>35895.54</v>
      </c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>
        <f t="shared" ref="AO80:BD80" si="60">ROUND(AO50,2)</f>
        <v>0</v>
      </c>
      <c r="AP80" s="2">
        <f t="shared" si="60"/>
        <v>0</v>
      </c>
      <c r="AQ80" s="2">
        <f t="shared" si="60"/>
        <v>0</v>
      </c>
      <c r="AR80" s="2">
        <f t="shared" si="60"/>
        <v>160863.22</v>
      </c>
      <c r="AS80" s="2">
        <f t="shared" si="60"/>
        <v>696.4</v>
      </c>
      <c r="AT80" s="2">
        <f t="shared" si="60"/>
        <v>160166.82</v>
      </c>
      <c r="AU80" s="2">
        <f t="shared" si="60"/>
        <v>0</v>
      </c>
      <c r="AV80" s="2">
        <f t="shared" si="60"/>
        <v>2067.85</v>
      </c>
      <c r="AW80" s="2">
        <f t="shared" si="60"/>
        <v>2067.85</v>
      </c>
      <c r="AX80" s="2">
        <f t="shared" si="60"/>
        <v>0</v>
      </c>
      <c r="AY80" s="2">
        <f t="shared" si="60"/>
        <v>2067.85</v>
      </c>
      <c r="AZ80" s="2">
        <f t="shared" si="60"/>
        <v>0</v>
      </c>
      <c r="BA80" s="2">
        <f t="shared" si="60"/>
        <v>0</v>
      </c>
      <c r="BB80" s="2">
        <f t="shared" si="60"/>
        <v>0</v>
      </c>
      <c r="BC80" s="2">
        <f t="shared" si="60"/>
        <v>0</v>
      </c>
      <c r="BD80" s="2">
        <f t="shared" si="60"/>
        <v>0</v>
      </c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>
        <v>0</v>
      </c>
    </row>
    <row r="82" spans="1:23" x14ac:dyDescent="0.2">
      <c r="A82" s="4">
        <v>50</v>
      </c>
      <c r="B82" s="4">
        <v>0</v>
      </c>
      <c r="C82" s="4">
        <v>0</v>
      </c>
      <c r="D82" s="4">
        <v>1</v>
      </c>
      <c r="E82" s="4">
        <v>201</v>
      </c>
      <c r="F82" s="4">
        <f>ROUND(Source!O80,O82)</f>
        <v>76475.42</v>
      </c>
      <c r="G82" s="4" t="s">
        <v>136</v>
      </c>
      <c r="H82" s="4" t="s">
        <v>137</v>
      </c>
      <c r="I82" s="4"/>
      <c r="J82" s="4"/>
      <c r="K82" s="4">
        <v>201</v>
      </c>
      <c r="L82" s="4">
        <v>1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 x14ac:dyDescent="0.2">
      <c r="A83" s="4">
        <v>50</v>
      </c>
      <c r="B83" s="4">
        <v>0</v>
      </c>
      <c r="C83" s="4">
        <v>0</v>
      </c>
      <c r="D83" s="4">
        <v>1</v>
      </c>
      <c r="E83" s="4">
        <v>202</v>
      </c>
      <c r="F83" s="4">
        <f>ROUND(Source!P80,O83)</f>
        <v>2067.85</v>
      </c>
      <c r="G83" s="4" t="s">
        <v>138</v>
      </c>
      <c r="H83" s="4" t="s">
        <v>139</v>
      </c>
      <c r="I83" s="4"/>
      <c r="J83" s="4"/>
      <c r="K83" s="4">
        <v>202</v>
      </c>
      <c r="L83" s="4">
        <v>2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 x14ac:dyDescent="0.2">
      <c r="A84" s="4">
        <v>50</v>
      </c>
      <c r="B84" s="4">
        <v>0</v>
      </c>
      <c r="C84" s="4">
        <v>0</v>
      </c>
      <c r="D84" s="4">
        <v>1</v>
      </c>
      <c r="E84" s="4">
        <v>222</v>
      </c>
      <c r="F84" s="4">
        <f>ROUND(Source!AO80,O84)</f>
        <v>0</v>
      </c>
      <c r="G84" s="4" t="s">
        <v>140</v>
      </c>
      <c r="H84" s="4" t="s">
        <v>141</v>
      </c>
      <c r="I84" s="4"/>
      <c r="J84" s="4"/>
      <c r="K84" s="4">
        <v>222</v>
      </c>
      <c r="L84" s="4">
        <v>3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 x14ac:dyDescent="0.2">
      <c r="A85" s="4">
        <v>50</v>
      </c>
      <c r="B85" s="4">
        <v>0</v>
      </c>
      <c r="C85" s="4">
        <v>0</v>
      </c>
      <c r="D85" s="4">
        <v>1</v>
      </c>
      <c r="E85" s="4">
        <v>225</v>
      </c>
      <c r="F85" s="4">
        <f>ROUND(Source!AV80,O85)</f>
        <v>2067.85</v>
      </c>
      <c r="G85" s="4" t="s">
        <v>142</v>
      </c>
      <c r="H85" s="4" t="s">
        <v>143</v>
      </c>
      <c r="I85" s="4"/>
      <c r="J85" s="4"/>
      <c r="K85" s="4">
        <v>225</v>
      </c>
      <c r="L85" s="4">
        <v>4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 x14ac:dyDescent="0.2">
      <c r="A86" s="4">
        <v>50</v>
      </c>
      <c r="B86" s="4">
        <v>0</v>
      </c>
      <c r="C86" s="4">
        <v>0</v>
      </c>
      <c r="D86" s="4">
        <v>1</v>
      </c>
      <c r="E86" s="4">
        <v>226</v>
      </c>
      <c r="F86" s="4">
        <f>ROUND(Source!AW80,O86)</f>
        <v>2067.85</v>
      </c>
      <c r="G86" s="4" t="s">
        <v>144</v>
      </c>
      <c r="H86" s="4" t="s">
        <v>145</v>
      </c>
      <c r="I86" s="4"/>
      <c r="J86" s="4"/>
      <c r="K86" s="4">
        <v>226</v>
      </c>
      <c r="L86" s="4">
        <v>5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 x14ac:dyDescent="0.2">
      <c r="A87" s="4">
        <v>50</v>
      </c>
      <c r="B87" s="4">
        <v>0</v>
      </c>
      <c r="C87" s="4">
        <v>0</v>
      </c>
      <c r="D87" s="4">
        <v>1</v>
      </c>
      <c r="E87" s="4">
        <v>227</v>
      </c>
      <c r="F87" s="4">
        <f>ROUND(Source!AX80,O87)</f>
        <v>0</v>
      </c>
      <c r="G87" s="4" t="s">
        <v>146</v>
      </c>
      <c r="H87" s="4" t="s">
        <v>147</v>
      </c>
      <c r="I87" s="4"/>
      <c r="J87" s="4"/>
      <c r="K87" s="4">
        <v>227</v>
      </c>
      <c r="L87" s="4">
        <v>6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 x14ac:dyDescent="0.2">
      <c r="A88" s="4">
        <v>50</v>
      </c>
      <c r="B88" s="4">
        <v>0</v>
      </c>
      <c r="C88" s="4">
        <v>0</v>
      </c>
      <c r="D88" s="4">
        <v>1</v>
      </c>
      <c r="E88" s="4">
        <v>228</v>
      </c>
      <c r="F88" s="4">
        <f>ROUND(Source!AY80,O88)</f>
        <v>2067.85</v>
      </c>
      <c r="G88" s="4" t="s">
        <v>148</v>
      </c>
      <c r="H88" s="4" t="s">
        <v>149</v>
      </c>
      <c r="I88" s="4"/>
      <c r="J88" s="4"/>
      <c r="K88" s="4">
        <v>228</v>
      </c>
      <c r="L88" s="4">
        <v>7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 x14ac:dyDescent="0.2">
      <c r="A89" s="4">
        <v>50</v>
      </c>
      <c r="B89" s="4">
        <v>0</v>
      </c>
      <c r="C89" s="4">
        <v>0</v>
      </c>
      <c r="D89" s="4">
        <v>1</v>
      </c>
      <c r="E89" s="4">
        <v>216</v>
      </c>
      <c r="F89" s="4">
        <f>ROUND(Source!AP80,O89)</f>
        <v>0</v>
      </c>
      <c r="G89" s="4" t="s">
        <v>150</v>
      </c>
      <c r="H89" s="4" t="s">
        <v>151</v>
      </c>
      <c r="I89" s="4"/>
      <c r="J89" s="4"/>
      <c r="K89" s="4">
        <v>216</v>
      </c>
      <c r="L89" s="4">
        <v>8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 x14ac:dyDescent="0.2">
      <c r="A90" s="4">
        <v>50</v>
      </c>
      <c r="B90" s="4">
        <v>0</v>
      </c>
      <c r="C90" s="4">
        <v>0</v>
      </c>
      <c r="D90" s="4">
        <v>1</v>
      </c>
      <c r="E90" s="4">
        <v>223</v>
      </c>
      <c r="F90" s="4">
        <f>ROUND(Source!AQ80,O90)</f>
        <v>0</v>
      </c>
      <c r="G90" s="4" t="s">
        <v>152</v>
      </c>
      <c r="H90" s="4" t="s">
        <v>153</v>
      </c>
      <c r="I90" s="4"/>
      <c r="J90" s="4"/>
      <c r="K90" s="4">
        <v>223</v>
      </c>
      <c r="L90" s="4">
        <v>9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 x14ac:dyDescent="0.2">
      <c r="A91" s="4">
        <v>50</v>
      </c>
      <c r="B91" s="4">
        <v>0</v>
      </c>
      <c r="C91" s="4">
        <v>0</v>
      </c>
      <c r="D91" s="4">
        <v>1</v>
      </c>
      <c r="E91" s="4">
        <v>229</v>
      </c>
      <c r="F91" s="4">
        <f>ROUND(Source!AZ80,O91)</f>
        <v>0</v>
      </c>
      <c r="G91" s="4" t="s">
        <v>154</v>
      </c>
      <c r="H91" s="4" t="s">
        <v>155</v>
      </c>
      <c r="I91" s="4"/>
      <c r="J91" s="4"/>
      <c r="K91" s="4">
        <v>229</v>
      </c>
      <c r="L91" s="4">
        <v>10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 x14ac:dyDescent="0.2">
      <c r="A92" s="4">
        <v>50</v>
      </c>
      <c r="B92" s="4">
        <v>0</v>
      </c>
      <c r="C92" s="4">
        <v>0</v>
      </c>
      <c r="D92" s="4">
        <v>1</v>
      </c>
      <c r="E92" s="4">
        <v>203</v>
      </c>
      <c r="F92" s="4">
        <f>ROUND(Source!Q80,O92)</f>
        <v>19862.75</v>
      </c>
      <c r="G92" s="4" t="s">
        <v>156</v>
      </c>
      <c r="H92" s="4" t="s">
        <v>157</v>
      </c>
      <c r="I92" s="4"/>
      <c r="J92" s="4"/>
      <c r="K92" s="4">
        <v>203</v>
      </c>
      <c r="L92" s="4">
        <v>11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 x14ac:dyDescent="0.2">
      <c r="A93" s="4">
        <v>50</v>
      </c>
      <c r="B93" s="4">
        <v>0</v>
      </c>
      <c r="C93" s="4">
        <v>0</v>
      </c>
      <c r="D93" s="4">
        <v>1</v>
      </c>
      <c r="E93" s="4">
        <v>231</v>
      </c>
      <c r="F93" s="4">
        <f>ROUND(Source!BB80,O93)</f>
        <v>0</v>
      </c>
      <c r="G93" s="4" t="s">
        <v>158</v>
      </c>
      <c r="H93" s="4" t="s">
        <v>159</v>
      </c>
      <c r="I93" s="4"/>
      <c r="J93" s="4"/>
      <c r="K93" s="4">
        <v>231</v>
      </c>
      <c r="L93" s="4">
        <v>12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 x14ac:dyDescent="0.2">
      <c r="A94" s="4">
        <v>50</v>
      </c>
      <c r="B94" s="4">
        <v>0</v>
      </c>
      <c r="C94" s="4">
        <v>0</v>
      </c>
      <c r="D94" s="4">
        <v>1</v>
      </c>
      <c r="E94" s="4">
        <v>204</v>
      </c>
      <c r="F94" s="4">
        <f>ROUND(Source!R80,O94)</f>
        <v>4668.33</v>
      </c>
      <c r="G94" s="4" t="s">
        <v>160</v>
      </c>
      <c r="H94" s="4" t="s">
        <v>161</v>
      </c>
      <c r="I94" s="4"/>
      <c r="J94" s="4"/>
      <c r="K94" s="4">
        <v>204</v>
      </c>
      <c r="L94" s="4">
        <v>13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 x14ac:dyDescent="0.2">
      <c r="A95" s="4">
        <v>50</v>
      </c>
      <c r="B95" s="4">
        <v>0</v>
      </c>
      <c r="C95" s="4">
        <v>0</v>
      </c>
      <c r="D95" s="4">
        <v>1</v>
      </c>
      <c r="E95" s="4">
        <v>205</v>
      </c>
      <c r="F95" s="4">
        <f>ROUND(Source!S80,O95)</f>
        <v>54544.82</v>
      </c>
      <c r="G95" s="4" t="s">
        <v>162</v>
      </c>
      <c r="H95" s="4" t="s">
        <v>163</v>
      </c>
      <c r="I95" s="4"/>
      <c r="J95" s="4"/>
      <c r="K95" s="4">
        <v>205</v>
      </c>
      <c r="L95" s="4">
        <v>14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 x14ac:dyDescent="0.2">
      <c r="A96" s="4">
        <v>50</v>
      </c>
      <c r="B96" s="4">
        <v>0</v>
      </c>
      <c r="C96" s="4">
        <v>0</v>
      </c>
      <c r="D96" s="4">
        <v>1</v>
      </c>
      <c r="E96" s="4">
        <v>232</v>
      </c>
      <c r="F96" s="4">
        <f>ROUND(Source!BC80,O96)</f>
        <v>0</v>
      </c>
      <c r="G96" s="4" t="s">
        <v>164</v>
      </c>
      <c r="H96" s="4" t="s">
        <v>165</v>
      </c>
      <c r="I96" s="4"/>
      <c r="J96" s="4"/>
      <c r="K96" s="4">
        <v>232</v>
      </c>
      <c r="L96" s="4">
        <v>15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 x14ac:dyDescent="0.2">
      <c r="A97" s="4">
        <v>50</v>
      </c>
      <c r="B97" s="4">
        <v>0</v>
      </c>
      <c r="C97" s="4">
        <v>0</v>
      </c>
      <c r="D97" s="4">
        <v>1</v>
      </c>
      <c r="E97" s="4">
        <v>214</v>
      </c>
      <c r="F97" s="4">
        <f>ROUND(Source!AS80,O97)</f>
        <v>696.4</v>
      </c>
      <c r="G97" s="4" t="s">
        <v>166</v>
      </c>
      <c r="H97" s="4" t="s">
        <v>167</v>
      </c>
      <c r="I97" s="4"/>
      <c r="J97" s="4"/>
      <c r="K97" s="4">
        <v>214</v>
      </c>
      <c r="L97" s="4">
        <v>16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 x14ac:dyDescent="0.2">
      <c r="A98" s="4">
        <v>50</v>
      </c>
      <c r="B98" s="4">
        <v>0</v>
      </c>
      <c r="C98" s="4">
        <v>0</v>
      </c>
      <c r="D98" s="4">
        <v>1</v>
      </c>
      <c r="E98" s="4">
        <v>215</v>
      </c>
      <c r="F98" s="4">
        <f>ROUND(Source!AT80,O98)</f>
        <v>160166.82</v>
      </c>
      <c r="G98" s="4" t="s">
        <v>168</v>
      </c>
      <c r="H98" s="4" t="s">
        <v>169</v>
      </c>
      <c r="I98" s="4"/>
      <c r="J98" s="4"/>
      <c r="K98" s="4">
        <v>215</v>
      </c>
      <c r="L98" s="4">
        <v>17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 x14ac:dyDescent="0.2">
      <c r="A99" s="4">
        <v>50</v>
      </c>
      <c r="B99" s="4">
        <v>0</v>
      </c>
      <c r="C99" s="4">
        <v>0</v>
      </c>
      <c r="D99" s="4">
        <v>1</v>
      </c>
      <c r="E99" s="4">
        <v>217</v>
      </c>
      <c r="F99" s="4">
        <f>ROUND(Source!AU80,O99)</f>
        <v>0</v>
      </c>
      <c r="G99" s="4" t="s">
        <v>170</v>
      </c>
      <c r="H99" s="4" t="s">
        <v>171</v>
      </c>
      <c r="I99" s="4"/>
      <c r="J99" s="4"/>
      <c r="K99" s="4">
        <v>217</v>
      </c>
      <c r="L99" s="4">
        <v>18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 x14ac:dyDescent="0.2">
      <c r="A100" s="4">
        <v>50</v>
      </c>
      <c r="B100" s="4">
        <v>0</v>
      </c>
      <c r="C100" s="4">
        <v>0</v>
      </c>
      <c r="D100" s="4">
        <v>1</v>
      </c>
      <c r="E100" s="4">
        <v>230</v>
      </c>
      <c r="F100" s="4">
        <f>ROUND(Source!BA80,O100)</f>
        <v>0</v>
      </c>
      <c r="G100" s="4" t="s">
        <v>172</v>
      </c>
      <c r="H100" s="4" t="s">
        <v>173</v>
      </c>
      <c r="I100" s="4"/>
      <c r="J100" s="4"/>
      <c r="K100" s="4">
        <v>230</v>
      </c>
      <c r="L100" s="4">
        <v>19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 x14ac:dyDescent="0.2">
      <c r="A101" s="4">
        <v>50</v>
      </c>
      <c r="B101" s="4">
        <v>0</v>
      </c>
      <c r="C101" s="4">
        <v>0</v>
      </c>
      <c r="D101" s="4">
        <v>1</v>
      </c>
      <c r="E101" s="4">
        <v>206</v>
      </c>
      <c r="F101" s="4">
        <f>ROUND(Source!T80,O101)</f>
        <v>0</v>
      </c>
      <c r="G101" s="4" t="s">
        <v>174</v>
      </c>
      <c r="H101" s="4" t="s">
        <v>175</v>
      </c>
      <c r="I101" s="4"/>
      <c r="J101" s="4"/>
      <c r="K101" s="4">
        <v>206</v>
      </c>
      <c r="L101" s="4">
        <v>20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 x14ac:dyDescent="0.2">
      <c r="A102" s="4">
        <v>50</v>
      </c>
      <c r="B102" s="4">
        <v>0</v>
      </c>
      <c r="C102" s="4">
        <v>0</v>
      </c>
      <c r="D102" s="4">
        <v>1</v>
      </c>
      <c r="E102" s="4">
        <v>207</v>
      </c>
      <c r="F102" s="4">
        <f>Source!U80</f>
        <v>171.61395499999998</v>
      </c>
      <c r="G102" s="4" t="s">
        <v>176</v>
      </c>
      <c r="H102" s="4" t="s">
        <v>177</v>
      </c>
      <c r="I102" s="4"/>
      <c r="J102" s="4"/>
      <c r="K102" s="4">
        <v>207</v>
      </c>
      <c r="L102" s="4">
        <v>21</v>
      </c>
      <c r="M102" s="4">
        <v>3</v>
      </c>
      <c r="N102" s="4" t="s">
        <v>3</v>
      </c>
      <c r="O102" s="4">
        <v>-1</v>
      </c>
      <c r="P102" s="4"/>
      <c r="Q102" s="4"/>
      <c r="R102" s="4"/>
      <c r="S102" s="4"/>
      <c r="T102" s="4"/>
      <c r="U102" s="4"/>
      <c r="V102" s="4"/>
      <c r="W102" s="4"/>
    </row>
    <row r="103" spans="1:23" x14ac:dyDescent="0.2">
      <c r="A103" s="4">
        <v>50</v>
      </c>
      <c r="B103" s="4">
        <v>0</v>
      </c>
      <c r="C103" s="4">
        <v>0</v>
      </c>
      <c r="D103" s="4">
        <v>1</v>
      </c>
      <c r="E103" s="4">
        <v>208</v>
      </c>
      <c r="F103" s="4">
        <f>Source!V80</f>
        <v>11.037475000000001</v>
      </c>
      <c r="G103" s="4" t="s">
        <v>178</v>
      </c>
      <c r="H103" s="4" t="s">
        <v>179</v>
      </c>
      <c r="I103" s="4"/>
      <c r="J103" s="4"/>
      <c r="K103" s="4">
        <v>208</v>
      </c>
      <c r="L103" s="4">
        <v>22</v>
      </c>
      <c r="M103" s="4">
        <v>3</v>
      </c>
      <c r="N103" s="4" t="s">
        <v>3</v>
      </c>
      <c r="O103" s="4">
        <v>-1</v>
      </c>
      <c r="P103" s="4"/>
      <c r="Q103" s="4"/>
      <c r="R103" s="4"/>
      <c r="S103" s="4"/>
      <c r="T103" s="4"/>
      <c r="U103" s="4"/>
      <c r="V103" s="4"/>
      <c r="W103" s="4"/>
    </row>
    <row r="104" spans="1:23" x14ac:dyDescent="0.2">
      <c r="A104" s="4">
        <v>50</v>
      </c>
      <c r="B104" s="4">
        <v>0</v>
      </c>
      <c r="C104" s="4">
        <v>0</v>
      </c>
      <c r="D104" s="4">
        <v>1</v>
      </c>
      <c r="E104" s="4">
        <v>209</v>
      </c>
      <c r="F104" s="4">
        <f>ROUND(Source!W80,O104)</f>
        <v>0</v>
      </c>
      <c r="G104" s="4" t="s">
        <v>180</v>
      </c>
      <c r="H104" s="4" t="s">
        <v>181</v>
      </c>
      <c r="I104" s="4"/>
      <c r="J104" s="4"/>
      <c r="K104" s="4">
        <v>209</v>
      </c>
      <c r="L104" s="4">
        <v>23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3" x14ac:dyDescent="0.2">
      <c r="A105" s="4">
        <v>50</v>
      </c>
      <c r="B105" s="4">
        <v>0</v>
      </c>
      <c r="C105" s="4">
        <v>0</v>
      </c>
      <c r="D105" s="4">
        <v>1</v>
      </c>
      <c r="E105" s="4">
        <v>233</v>
      </c>
      <c r="F105" s="4">
        <f>ROUND(Source!BD80,O105)</f>
        <v>0</v>
      </c>
      <c r="G105" s="4" t="s">
        <v>182</v>
      </c>
      <c r="H105" s="4" t="s">
        <v>183</v>
      </c>
      <c r="I105" s="4"/>
      <c r="J105" s="4"/>
      <c r="K105" s="4">
        <v>233</v>
      </c>
      <c r="L105" s="4">
        <v>24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3" x14ac:dyDescent="0.2">
      <c r="A106" s="4">
        <v>50</v>
      </c>
      <c r="B106" s="4">
        <v>0</v>
      </c>
      <c r="C106" s="4">
        <v>0</v>
      </c>
      <c r="D106" s="4">
        <v>1</v>
      </c>
      <c r="E106" s="4">
        <v>210</v>
      </c>
      <c r="F106" s="4">
        <f>ROUND(Source!X80,O106)</f>
        <v>48492.26</v>
      </c>
      <c r="G106" s="4" t="s">
        <v>184</v>
      </c>
      <c r="H106" s="4" t="s">
        <v>185</v>
      </c>
      <c r="I106" s="4"/>
      <c r="J106" s="4"/>
      <c r="K106" s="4">
        <v>210</v>
      </c>
      <c r="L106" s="4">
        <v>25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3" x14ac:dyDescent="0.2">
      <c r="A107" s="4">
        <v>50</v>
      </c>
      <c r="B107" s="4">
        <v>0</v>
      </c>
      <c r="C107" s="4">
        <v>0</v>
      </c>
      <c r="D107" s="4">
        <v>1</v>
      </c>
      <c r="E107" s="4">
        <v>211</v>
      </c>
      <c r="F107" s="4">
        <f>ROUND(Source!Y80,O107)</f>
        <v>35895.54</v>
      </c>
      <c r="G107" s="4" t="s">
        <v>186</v>
      </c>
      <c r="H107" s="4" t="s">
        <v>187</v>
      </c>
      <c r="I107" s="4"/>
      <c r="J107" s="4"/>
      <c r="K107" s="4">
        <v>211</v>
      </c>
      <c r="L107" s="4">
        <v>26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3" x14ac:dyDescent="0.2">
      <c r="A108" s="4">
        <v>50</v>
      </c>
      <c r="B108" s="4">
        <v>0</v>
      </c>
      <c r="C108" s="4">
        <v>0</v>
      </c>
      <c r="D108" s="4">
        <v>1</v>
      </c>
      <c r="E108" s="4">
        <v>224</v>
      </c>
      <c r="F108" s="4">
        <f>ROUND(Source!AR80,O108)</f>
        <v>160863.22</v>
      </c>
      <c r="G108" s="4" t="s">
        <v>188</v>
      </c>
      <c r="H108" s="4" t="s">
        <v>189</v>
      </c>
      <c r="I108" s="4"/>
      <c r="J108" s="4"/>
      <c r="K108" s="4">
        <v>224</v>
      </c>
      <c r="L108" s="4">
        <v>27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11" spans="1:23" x14ac:dyDescent="0.2">
      <c r="A111">
        <v>70</v>
      </c>
      <c r="B111">
        <v>1</v>
      </c>
      <c r="D111">
        <v>1</v>
      </c>
      <c r="E111" t="s">
        <v>190</v>
      </c>
      <c r="F111" t="s">
        <v>191</v>
      </c>
      <c r="G111">
        <v>0</v>
      </c>
      <c r="H111">
        <v>0</v>
      </c>
      <c r="I111" t="s">
        <v>3</v>
      </c>
      <c r="J111">
        <v>1</v>
      </c>
      <c r="K111">
        <v>0</v>
      </c>
      <c r="L111" t="s">
        <v>3</v>
      </c>
      <c r="M111" t="s">
        <v>3</v>
      </c>
      <c r="N111">
        <v>0</v>
      </c>
      <c r="P111" t="s">
        <v>192</v>
      </c>
    </row>
    <row r="112" spans="1:23" x14ac:dyDescent="0.2">
      <c r="A112">
        <v>70</v>
      </c>
      <c r="B112">
        <v>1</v>
      </c>
      <c r="D112">
        <v>2</v>
      </c>
      <c r="E112" t="s">
        <v>193</v>
      </c>
      <c r="F112" t="s">
        <v>194</v>
      </c>
      <c r="G112">
        <v>1</v>
      </c>
      <c r="H112">
        <v>0</v>
      </c>
      <c r="I112" t="s">
        <v>3</v>
      </c>
      <c r="J112">
        <v>1</v>
      </c>
      <c r="K112">
        <v>0</v>
      </c>
      <c r="L112" t="s">
        <v>3</v>
      </c>
      <c r="M112" t="s">
        <v>3</v>
      </c>
      <c r="N112">
        <v>0</v>
      </c>
      <c r="P112" t="s">
        <v>195</v>
      </c>
    </row>
    <row r="113" spans="1:16" x14ac:dyDescent="0.2">
      <c r="A113">
        <v>70</v>
      </c>
      <c r="B113">
        <v>1</v>
      </c>
      <c r="D113">
        <v>3</v>
      </c>
      <c r="E113" t="s">
        <v>196</v>
      </c>
      <c r="F113" t="s">
        <v>197</v>
      </c>
      <c r="G113">
        <v>0</v>
      </c>
      <c r="H113">
        <v>0</v>
      </c>
      <c r="I113" t="s">
        <v>3</v>
      </c>
      <c r="J113">
        <v>1</v>
      </c>
      <c r="K113">
        <v>0</v>
      </c>
      <c r="L113" t="s">
        <v>3</v>
      </c>
      <c r="M113" t="s">
        <v>3</v>
      </c>
      <c r="N113">
        <v>0</v>
      </c>
      <c r="P113" t="s">
        <v>198</v>
      </c>
    </row>
    <row r="114" spans="1:16" x14ac:dyDescent="0.2">
      <c r="A114">
        <v>70</v>
      </c>
      <c r="B114">
        <v>1</v>
      </c>
      <c r="D114">
        <v>4</v>
      </c>
      <c r="E114" t="s">
        <v>199</v>
      </c>
      <c r="F114" t="s">
        <v>200</v>
      </c>
      <c r="G114">
        <v>0</v>
      </c>
      <c r="H114">
        <v>0</v>
      </c>
      <c r="I114" t="s">
        <v>201</v>
      </c>
      <c r="J114">
        <v>0</v>
      </c>
      <c r="K114">
        <v>0</v>
      </c>
      <c r="L114" t="s">
        <v>3</v>
      </c>
      <c r="M114" t="s">
        <v>3</v>
      </c>
      <c r="N114">
        <v>0</v>
      </c>
      <c r="P114" t="s">
        <v>202</v>
      </c>
    </row>
    <row r="115" spans="1:16" x14ac:dyDescent="0.2">
      <c r="A115">
        <v>70</v>
      </c>
      <c r="B115">
        <v>1</v>
      </c>
      <c r="D115">
        <v>5</v>
      </c>
      <c r="E115" t="s">
        <v>203</v>
      </c>
      <c r="F115" t="s">
        <v>204</v>
      </c>
      <c r="G115">
        <v>0</v>
      </c>
      <c r="H115">
        <v>0</v>
      </c>
      <c r="I115" t="s">
        <v>205</v>
      </c>
      <c r="J115">
        <v>0</v>
      </c>
      <c r="K115">
        <v>0</v>
      </c>
      <c r="L115" t="s">
        <v>3</v>
      </c>
      <c r="M115" t="s">
        <v>3</v>
      </c>
      <c r="N115">
        <v>0</v>
      </c>
      <c r="P115" t="s">
        <v>206</v>
      </c>
    </row>
    <row r="116" spans="1:16" x14ac:dyDescent="0.2">
      <c r="A116">
        <v>70</v>
      </c>
      <c r="B116">
        <v>1</v>
      </c>
      <c r="D116">
        <v>6</v>
      </c>
      <c r="E116" t="s">
        <v>207</v>
      </c>
      <c r="F116" t="s">
        <v>208</v>
      </c>
      <c r="G116">
        <v>0</v>
      </c>
      <c r="H116">
        <v>0</v>
      </c>
      <c r="I116" t="s">
        <v>209</v>
      </c>
      <c r="J116">
        <v>0</v>
      </c>
      <c r="K116">
        <v>0</v>
      </c>
      <c r="L116" t="s">
        <v>3</v>
      </c>
      <c r="M116" t="s">
        <v>3</v>
      </c>
      <c r="N116">
        <v>0</v>
      </c>
      <c r="P116" t="s">
        <v>210</v>
      </c>
    </row>
    <row r="117" spans="1:16" x14ac:dyDescent="0.2">
      <c r="A117">
        <v>70</v>
      </c>
      <c r="B117">
        <v>1</v>
      </c>
      <c r="D117">
        <v>7</v>
      </c>
      <c r="E117" t="s">
        <v>211</v>
      </c>
      <c r="F117" t="s">
        <v>212</v>
      </c>
      <c r="G117">
        <v>1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  <c r="P117" t="s">
        <v>213</v>
      </c>
    </row>
    <row r="118" spans="1:16" x14ac:dyDescent="0.2">
      <c r="A118">
        <v>70</v>
      </c>
      <c r="B118">
        <v>1</v>
      </c>
      <c r="D118">
        <v>8</v>
      </c>
      <c r="E118" t="s">
        <v>214</v>
      </c>
      <c r="F118" t="s">
        <v>215</v>
      </c>
      <c r="G118">
        <v>0</v>
      </c>
      <c r="H118">
        <v>0</v>
      </c>
      <c r="I118" t="s">
        <v>216</v>
      </c>
      <c r="J118">
        <v>0</v>
      </c>
      <c r="K118">
        <v>0</v>
      </c>
      <c r="L118" t="s">
        <v>3</v>
      </c>
      <c r="M118" t="s">
        <v>3</v>
      </c>
      <c r="N118">
        <v>0</v>
      </c>
      <c r="P118" t="s">
        <v>217</v>
      </c>
    </row>
    <row r="119" spans="1:16" x14ac:dyDescent="0.2">
      <c r="A119">
        <v>70</v>
      </c>
      <c r="B119">
        <v>1</v>
      </c>
      <c r="D119">
        <v>9</v>
      </c>
      <c r="E119" t="s">
        <v>218</v>
      </c>
      <c r="F119" t="s">
        <v>219</v>
      </c>
      <c r="G119">
        <v>0</v>
      </c>
      <c r="H119">
        <v>0</v>
      </c>
      <c r="I119" t="s">
        <v>220</v>
      </c>
      <c r="J119">
        <v>0</v>
      </c>
      <c r="K119">
        <v>0</v>
      </c>
      <c r="L119" t="s">
        <v>3</v>
      </c>
      <c r="M119" t="s">
        <v>3</v>
      </c>
      <c r="N119">
        <v>0</v>
      </c>
      <c r="P119" t="s">
        <v>221</v>
      </c>
    </row>
    <row r="120" spans="1:16" x14ac:dyDescent="0.2">
      <c r="A120">
        <v>70</v>
      </c>
      <c r="B120">
        <v>1</v>
      </c>
      <c r="D120">
        <v>10</v>
      </c>
      <c r="E120" t="s">
        <v>222</v>
      </c>
      <c r="F120" t="s">
        <v>223</v>
      </c>
      <c r="G120">
        <v>0</v>
      </c>
      <c r="H120">
        <v>0</v>
      </c>
      <c r="I120" t="s">
        <v>224</v>
      </c>
      <c r="J120">
        <v>0</v>
      </c>
      <c r="K120">
        <v>0</v>
      </c>
      <c r="L120" t="s">
        <v>3</v>
      </c>
      <c r="M120" t="s">
        <v>3</v>
      </c>
      <c r="N120">
        <v>0</v>
      </c>
      <c r="P120" t="s">
        <v>225</v>
      </c>
    </row>
    <row r="121" spans="1:16" x14ac:dyDescent="0.2">
      <c r="A121">
        <v>70</v>
      </c>
      <c r="B121">
        <v>1</v>
      </c>
      <c r="D121">
        <v>11</v>
      </c>
      <c r="E121" t="s">
        <v>226</v>
      </c>
      <c r="F121" t="s">
        <v>227</v>
      </c>
      <c r="G121">
        <v>0</v>
      </c>
      <c r="H121">
        <v>0</v>
      </c>
      <c r="I121" t="s">
        <v>228</v>
      </c>
      <c r="J121">
        <v>0</v>
      </c>
      <c r="K121">
        <v>0</v>
      </c>
      <c r="L121" t="s">
        <v>3</v>
      </c>
      <c r="M121" t="s">
        <v>3</v>
      </c>
      <c r="N121">
        <v>0</v>
      </c>
      <c r="P121" t="s">
        <v>229</v>
      </c>
    </row>
    <row r="122" spans="1:16" x14ac:dyDescent="0.2">
      <c r="A122">
        <v>70</v>
      </c>
      <c r="B122">
        <v>1</v>
      </c>
      <c r="D122">
        <v>12</v>
      </c>
      <c r="E122" t="s">
        <v>230</v>
      </c>
      <c r="F122" t="s">
        <v>231</v>
      </c>
      <c r="G122">
        <v>0</v>
      </c>
      <c r="H122">
        <v>0</v>
      </c>
      <c r="I122" t="s">
        <v>3</v>
      </c>
      <c r="J122">
        <v>0</v>
      </c>
      <c r="K122">
        <v>0</v>
      </c>
      <c r="L122" t="s">
        <v>3</v>
      </c>
      <c r="M122" t="s">
        <v>3</v>
      </c>
      <c r="N122">
        <v>0</v>
      </c>
      <c r="P122" t="s">
        <v>3</v>
      </c>
    </row>
    <row r="123" spans="1:16" x14ac:dyDescent="0.2">
      <c r="A123">
        <v>70</v>
      </c>
      <c r="B123">
        <v>1</v>
      </c>
      <c r="D123">
        <v>1</v>
      </c>
      <c r="E123" t="s">
        <v>232</v>
      </c>
      <c r="F123" t="s">
        <v>233</v>
      </c>
      <c r="G123">
        <v>0.9</v>
      </c>
      <c r="H123">
        <v>1</v>
      </c>
      <c r="I123" t="s">
        <v>234</v>
      </c>
      <c r="J123">
        <v>0</v>
      </c>
      <c r="K123">
        <v>0</v>
      </c>
      <c r="L123" t="s">
        <v>3</v>
      </c>
      <c r="M123" t="s">
        <v>3</v>
      </c>
      <c r="N123">
        <v>0</v>
      </c>
      <c r="P123" t="s">
        <v>3</v>
      </c>
    </row>
    <row r="124" spans="1:16" x14ac:dyDescent="0.2">
      <c r="A124">
        <v>70</v>
      </c>
      <c r="B124">
        <v>1</v>
      </c>
      <c r="D124">
        <v>2</v>
      </c>
      <c r="E124" t="s">
        <v>235</v>
      </c>
      <c r="F124" t="s">
        <v>236</v>
      </c>
      <c r="G124">
        <v>0.85</v>
      </c>
      <c r="H124">
        <v>1</v>
      </c>
      <c r="I124" t="s">
        <v>237</v>
      </c>
      <c r="J124">
        <v>0</v>
      </c>
      <c r="K124">
        <v>0</v>
      </c>
      <c r="L124" t="s">
        <v>3</v>
      </c>
      <c r="M124" t="s">
        <v>3</v>
      </c>
      <c r="N124">
        <v>0</v>
      </c>
      <c r="P124" t="s">
        <v>3</v>
      </c>
    </row>
    <row r="125" spans="1:16" x14ac:dyDescent="0.2">
      <c r="A125">
        <v>70</v>
      </c>
      <c r="B125">
        <v>1</v>
      </c>
      <c r="D125">
        <v>3</v>
      </c>
      <c r="E125" t="s">
        <v>238</v>
      </c>
      <c r="F125" t="s">
        <v>239</v>
      </c>
      <c r="G125">
        <v>1</v>
      </c>
      <c r="H125">
        <v>0.85</v>
      </c>
      <c r="I125" t="s">
        <v>240</v>
      </c>
      <c r="J125">
        <v>0</v>
      </c>
      <c r="K125">
        <v>0</v>
      </c>
      <c r="L125" t="s">
        <v>3</v>
      </c>
      <c r="M125" t="s">
        <v>3</v>
      </c>
      <c r="N125">
        <v>0</v>
      </c>
      <c r="P125" t="s">
        <v>3</v>
      </c>
    </row>
    <row r="126" spans="1:16" x14ac:dyDescent="0.2">
      <c r="A126">
        <v>70</v>
      </c>
      <c r="B126">
        <v>1</v>
      </c>
      <c r="D126">
        <v>4</v>
      </c>
      <c r="E126" t="s">
        <v>241</v>
      </c>
      <c r="F126" t="s">
        <v>242</v>
      </c>
      <c r="G126">
        <v>1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  <c r="P126" t="s">
        <v>3</v>
      </c>
    </row>
    <row r="127" spans="1:16" x14ac:dyDescent="0.2">
      <c r="A127">
        <v>70</v>
      </c>
      <c r="B127">
        <v>1</v>
      </c>
      <c r="D127">
        <v>5</v>
      </c>
      <c r="E127" t="s">
        <v>243</v>
      </c>
      <c r="F127" t="s">
        <v>244</v>
      </c>
      <c r="G127">
        <v>1</v>
      </c>
      <c r="H127">
        <v>0.8</v>
      </c>
      <c r="I127" t="s">
        <v>245</v>
      </c>
      <c r="J127">
        <v>0</v>
      </c>
      <c r="K127">
        <v>0</v>
      </c>
      <c r="L127" t="s">
        <v>3</v>
      </c>
      <c r="M127" t="s">
        <v>3</v>
      </c>
      <c r="N127">
        <v>0</v>
      </c>
      <c r="P127" t="s">
        <v>3</v>
      </c>
    </row>
    <row r="128" spans="1:16" x14ac:dyDescent="0.2">
      <c r="A128">
        <v>70</v>
      </c>
      <c r="B128">
        <v>1</v>
      </c>
      <c r="D128">
        <v>6</v>
      </c>
      <c r="E128" t="s">
        <v>246</v>
      </c>
      <c r="F128" t="s">
        <v>247</v>
      </c>
      <c r="G128">
        <v>0.85</v>
      </c>
      <c r="H128">
        <v>0</v>
      </c>
      <c r="I128" t="s">
        <v>3</v>
      </c>
      <c r="J128">
        <v>0</v>
      </c>
      <c r="K128">
        <v>0</v>
      </c>
      <c r="L128" t="s">
        <v>3</v>
      </c>
      <c r="M128" t="s">
        <v>3</v>
      </c>
      <c r="N128">
        <v>0</v>
      </c>
      <c r="P128" t="s">
        <v>3</v>
      </c>
    </row>
    <row r="129" spans="1:40" x14ac:dyDescent="0.2">
      <c r="A129">
        <v>70</v>
      </c>
      <c r="B129">
        <v>1</v>
      </c>
      <c r="D129">
        <v>7</v>
      </c>
      <c r="E129" t="s">
        <v>248</v>
      </c>
      <c r="F129" t="s">
        <v>249</v>
      </c>
      <c r="G129">
        <v>0.8</v>
      </c>
      <c r="H129">
        <v>0</v>
      </c>
      <c r="I129" t="s">
        <v>3</v>
      </c>
      <c r="J129">
        <v>0</v>
      </c>
      <c r="K129">
        <v>0</v>
      </c>
      <c r="L129" t="s">
        <v>3</v>
      </c>
      <c r="M129" t="s">
        <v>3</v>
      </c>
      <c r="N129">
        <v>0</v>
      </c>
      <c r="P129" t="s">
        <v>3</v>
      </c>
    </row>
    <row r="130" spans="1:40" x14ac:dyDescent="0.2">
      <c r="A130">
        <v>70</v>
      </c>
      <c r="B130">
        <v>1</v>
      </c>
      <c r="D130">
        <v>8</v>
      </c>
      <c r="E130" t="s">
        <v>250</v>
      </c>
      <c r="F130" t="s">
        <v>251</v>
      </c>
      <c r="G130">
        <v>0.7</v>
      </c>
      <c r="H130">
        <v>0</v>
      </c>
      <c r="I130" t="s">
        <v>3</v>
      </c>
      <c r="J130">
        <v>0</v>
      </c>
      <c r="K130">
        <v>0</v>
      </c>
      <c r="L130" t="s">
        <v>3</v>
      </c>
      <c r="M130" t="s">
        <v>3</v>
      </c>
      <c r="N130">
        <v>0</v>
      </c>
      <c r="P130" t="s">
        <v>3</v>
      </c>
    </row>
    <row r="131" spans="1:40" x14ac:dyDescent="0.2">
      <c r="A131">
        <v>70</v>
      </c>
      <c r="B131">
        <v>1</v>
      </c>
      <c r="D131">
        <v>9</v>
      </c>
      <c r="E131" t="s">
        <v>252</v>
      </c>
      <c r="F131" t="s">
        <v>253</v>
      </c>
      <c r="G131">
        <v>0.9</v>
      </c>
      <c r="H131">
        <v>0</v>
      </c>
      <c r="I131" t="s">
        <v>3</v>
      </c>
      <c r="J131">
        <v>0</v>
      </c>
      <c r="K131">
        <v>0</v>
      </c>
      <c r="L131" t="s">
        <v>3</v>
      </c>
      <c r="M131" t="s">
        <v>3</v>
      </c>
      <c r="N131">
        <v>0</v>
      </c>
      <c r="P131" t="s">
        <v>3</v>
      </c>
    </row>
    <row r="132" spans="1:40" x14ac:dyDescent="0.2">
      <c r="A132">
        <v>70</v>
      </c>
      <c r="B132">
        <v>1</v>
      </c>
      <c r="D132">
        <v>10</v>
      </c>
      <c r="E132" t="s">
        <v>254</v>
      </c>
      <c r="F132" t="s">
        <v>255</v>
      </c>
      <c r="G132">
        <v>0.6</v>
      </c>
      <c r="H132">
        <v>0</v>
      </c>
      <c r="I132" t="s">
        <v>3</v>
      </c>
      <c r="J132">
        <v>0</v>
      </c>
      <c r="K132">
        <v>0</v>
      </c>
      <c r="L132" t="s">
        <v>3</v>
      </c>
      <c r="M132" t="s">
        <v>3</v>
      </c>
      <c r="N132">
        <v>0</v>
      </c>
      <c r="P132" t="s">
        <v>3</v>
      </c>
    </row>
    <row r="133" spans="1:40" x14ac:dyDescent="0.2">
      <c r="A133">
        <v>70</v>
      </c>
      <c r="B133">
        <v>1</v>
      </c>
      <c r="D133">
        <v>11</v>
      </c>
      <c r="E133" t="s">
        <v>256</v>
      </c>
      <c r="F133" t="s">
        <v>257</v>
      </c>
      <c r="G133">
        <v>1.2</v>
      </c>
      <c r="H133">
        <v>0</v>
      </c>
      <c r="I133" t="s">
        <v>3</v>
      </c>
      <c r="J133">
        <v>0</v>
      </c>
      <c r="K133">
        <v>0</v>
      </c>
      <c r="L133" t="s">
        <v>3</v>
      </c>
      <c r="M133" t="s">
        <v>3</v>
      </c>
      <c r="N133">
        <v>0</v>
      </c>
      <c r="P133" t="s">
        <v>3</v>
      </c>
    </row>
    <row r="134" spans="1:40" x14ac:dyDescent="0.2">
      <c r="A134">
        <v>70</v>
      </c>
      <c r="B134">
        <v>1</v>
      </c>
      <c r="D134">
        <v>12</v>
      </c>
      <c r="E134" t="s">
        <v>258</v>
      </c>
      <c r="F134" t="s">
        <v>259</v>
      </c>
      <c r="G134">
        <v>0</v>
      </c>
      <c r="H134">
        <v>0</v>
      </c>
      <c r="I134" t="s">
        <v>3</v>
      </c>
      <c r="J134">
        <v>0</v>
      </c>
      <c r="K134">
        <v>0</v>
      </c>
      <c r="L134" t="s">
        <v>3</v>
      </c>
      <c r="M134" t="s">
        <v>3</v>
      </c>
      <c r="N134">
        <v>0</v>
      </c>
      <c r="P134" t="s">
        <v>3</v>
      </c>
    </row>
    <row r="135" spans="1:40" x14ac:dyDescent="0.2">
      <c r="A135">
        <v>70</v>
      </c>
      <c r="B135">
        <v>1</v>
      </c>
      <c r="D135">
        <v>13</v>
      </c>
      <c r="E135" t="s">
        <v>260</v>
      </c>
      <c r="F135" t="s">
        <v>261</v>
      </c>
      <c r="G135">
        <v>1</v>
      </c>
      <c r="H135">
        <v>0</v>
      </c>
      <c r="I135" t="s">
        <v>3</v>
      </c>
      <c r="J135">
        <v>0</v>
      </c>
      <c r="K135">
        <v>0</v>
      </c>
      <c r="L135" t="s">
        <v>3</v>
      </c>
      <c r="M135" t="s">
        <v>3</v>
      </c>
      <c r="N135">
        <v>0</v>
      </c>
      <c r="P135" t="s">
        <v>3</v>
      </c>
    </row>
    <row r="137" spans="1:40" x14ac:dyDescent="0.2">
      <c r="A137">
        <v>-1</v>
      </c>
    </row>
    <row r="139" spans="1:40" x14ac:dyDescent="0.2">
      <c r="A139" s="3">
        <v>75</v>
      </c>
      <c r="B139" s="3" t="s">
        <v>262</v>
      </c>
      <c r="C139" s="3">
        <v>2021</v>
      </c>
      <c r="D139" s="3">
        <v>0</v>
      </c>
      <c r="E139" s="3">
        <v>4</v>
      </c>
      <c r="F139" s="3"/>
      <c r="G139" s="3">
        <v>0</v>
      </c>
      <c r="H139" s="3">
        <v>1</v>
      </c>
      <c r="I139" s="3">
        <v>0</v>
      </c>
      <c r="J139" s="3">
        <v>1</v>
      </c>
      <c r="K139" s="3">
        <v>0</v>
      </c>
      <c r="L139" s="3">
        <v>0</v>
      </c>
      <c r="M139" s="3">
        <v>0</v>
      </c>
      <c r="N139" s="3">
        <v>50121127</v>
      </c>
      <c r="O139" s="3">
        <v>1</v>
      </c>
    </row>
    <row r="140" spans="1:40" x14ac:dyDescent="0.2">
      <c r="A140" s="5">
        <v>1</v>
      </c>
      <c r="B140" s="5" t="s">
        <v>263</v>
      </c>
      <c r="C140" s="5" t="s">
        <v>264</v>
      </c>
      <c r="D140" s="5">
        <v>2021</v>
      </c>
      <c r="E140" s="5">
        <v>4</v>
      </c>
      <c r="F140" s="5">
        <v>1</v>
      </c>
      <c r="G140" s="5">
        <v>1</v>
      </c>
      <c r="H140" s="5">
        <v>0</v>
      </c>
      <c r="I140" s="5">
        <v>2</v>
      </c>
      <c r="J140" s="5">
        <v>1</v>
      </c>
      <c r="K140" s="5">
        <v>1</v>
      </c>
      <c r="L140" s="5">
        <v>1</v>
      </c>
      <c r="M140" s="5">
        <v>1</v>
      </c>
      <c r="N140" s="5">
        <v>1</v>
      </c>
      <c r="O140" s="5">
        <v>1</v>
      </c>
      <c r="P140" s="5">
        <v>1</v>
      </c>
      <c r="Q140" s="5">
        <v>1</v>
      </c>
      <c r="R140" s="5" t="s">
        <v>3</v>
      </c>
      <c r="S140" s="5" t="s">
        <v>3</v>
      </c>
      <c r="T140" s="5" t="s">
        <v>3</v>
      </c>
      <c r="U140" s="5" t="s">
        <v>3</v>
      </c>
      <c r="V140" s="5" t="s">
        <v>3</v>
      </c>
      <c r="W140" s="5" t="s">
        <v>3</v>
      </c>
      <c r="X140" s="5" t="s">
        <v>3</v>
      </c>
      <c r="Y140" s="5" t="s">
        <v>3</v>
      </c>
      <c r="Z140" s="5" t="s">
        <v>3</v>
      </c>
      <c r="AA140" s="5" t="s">
        <v>3</v>
      </c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>
        <v>50121128</v>
      </c>
    </row>
    <row r="141" spans="1:40" x14ac:dyDescent="0.2">
      <c r="A141" s="5">
        <v>2</v>
      </c>
      <c r="B141" s="5" t="s">
        <v>265</v>
      </c>
      <c r="C141" s="5" t="s">
        <v>266</v>
      </c>
      <c r="D141" s="5">
        <v>0</v>
      </c>
      <c r="E141" s="5">
        <v>0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>
        <v>50121129</v>
      </c>
    </row>
    <row r="142" spans="1:40" x14ac:dyDescent="0.2">
      <c r="A142" s="5">
        <v>2</v>
      </c>
      <c r="B142" s="5" t="s">
        <v>265</v>
      </c>
      <c r="C142" s="5" t="s">
        <v>267</v>
      </c>
      <c r="D142" s="5">
        <v>0</v>
      </c>
      <c r="E142" s="5">
        <v>0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>
        <v>50121130</v>
      </c>
    </row>
    <row r="146" spans="1:5" x14ac:dyDescent="0.2">
      <c r="A146">
        <v>65</v>
      </c>
      <c r="C146">
        <v>1</v>
      </c>
      <c r="D146">
        <v>0</v>
      </c>
      <c r="E146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4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268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66086</v>
      </c>
      <c r="M1">
        <v>10</v>
      </c>
      <c r="N1">
        <v>11</v>
      </c>
      <c r="O1">
        <v>3</v>
      </c>
      <c r="P1">
        <v>0</v>
      </c>
      <c r="Q1">
        <v>3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16982024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50121127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11</v>
      </c>
      <c r="D16" s="6" t="s">
        <v>11</v>
      </c>
      <c r="E16" s="7">
        <f>(Source!F67)/1000</f>
        <v>0.69640000000000002</v>
      </c>
      <c r="F16" s="7">
        <f>(Source!F68)/1000</f>
        <v>160.16682</v>
      </c>
      <c r="G16" s="7">
        <f>(Source!F59)/1000</f>
        <v>0</v>
      </c>
      <c r="H16" s="7">
        <f>(Source!F69)/1000+(Source!F70)/1000</f>
        <v>0</v>
      </c>
      <c r="I16" s="7">
        <f>E16+F16+G16+H16</f>
        <v>160.86322000000001</v>
      </c>
      <c r="J16" s="7">
        <f>(Source!F65)/1000</f>
        <v>54.544820000000001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76475.42</v>
      </c>
      <c r="AU16" s="7">
        <v>2067.85</v>
      </c>
      <c r="AV16" s="7">
        <v>0</v>
      </c>
      <c r="AW16" s="7">
        <v>0</v>
      </c>
      <c r="AX16" s="7">
        <v>0</v>
      </c>
      <c r="AY16" s="7">
        <v>19862.75</v>
      </c>
      <c r="AZ16" s="7">
        <v>4668.33</v>
      </c>
      <c r="BA16" s="7">
        <v>54544.82</v>
      </c>
      <c r="BB16" s="7">
        <v>696.4</v>
      </c>
      <c r="BC16" s="7">
        <v>160166.82</v>
      </c>
      <c r="BD16" s="7">
        <v>0</v>
      </c>
      <c r="BE16" s="7">
        <v>0</v>
      </c>
      <c r="BF16" s="7">
        <v>171.61395499999998</v>
      </c>
      <c r="BG16" s="7">
        <v>11.037475000000001</v>
      </c>
      <c r="BH16" s="7">
        <v>0</v>
      </c>
      <c r="BI16" s="7">
        <v>48492.26</v>
      </c>
      <c r="BJ16" s="7">
        <v>35895.54</v>
      </c>
      <c r="BK16" s="7">
        <v>160863.22</v>
      </c>
    </row>
    <row r="18" spans="1:19" x14ac:dyDescent="0.2">
      <c r="A18">
        <v>51</v>
      </c>
      <c r="E18" s="8">
        <f>SUMIF(A16:A17,3,E16:E17)</f>
        <v>0.69640000000000002</v>
      </c>
      <c r="F18" s="8">
        <f>SUMIF(A16:A17,3,F16:F17)</f>
        <v>160.16682</v>
      </c>
      <c r="G18" s="8">
        <f>SUMIF(A16:A17,3,G16:G17)</f>
        <v>0</v>
      </c>
      <c r="H18" s="8">
        <f>SUMIF(A16:A17,3,H16:H17)</f>
        <v>0</v>
      </c>
      <c r="I18" s="8">
        <f>SUMIF(A16:A17,3,I16:I17)</f>
        <v>160.86322000000001</v>
      </c>
      <c r="J18" s="8">
        <f>SUMIF(A16:A17,3,J16:J17)</f>
        <v>54.544820000000001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76475.42</v>
      </c>
      <c r="G20" s="4" t="s">
        <v>136</v>
      </c>
      <c r="H20" s="4" t="s">
        <v>137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2067.85</v>
      </c>
      <c r="G21" s="4" t="s">
        <v>138</v>
      </c>
      <c r="H21" s="4" t="s">
        <v>139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140</v>
      </c>
      <c r="H22" s="4" t="s">
        <v>141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2067.85</v>
      </c>
      <c r="G23" s="4" t="s">
        <v>142</v>
      </c>
      <c r="H23" s="4" t="s">
        <v>143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2067.85</v>
      </c>
      <c r="G24" s="4" t="s">
        <v>144</v>
      </c>
      <c r="H24" s="4" t="s">
        <v>145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146</v>
      </c>
      <c r="H25" s="4" t="s">
        <v>147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2067.85</v>
      </c>
      <c r="G26" s="4" t="s">
        <v>148</v>
      </c>
      <c r="H26" s="4" t="s">
        <v>149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150</v>
      </c>
      <c r="H27" s="4" t="s">
        <v>151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152</v>
      </c>
      <c r="H28" s="4" t="s">
        <v>153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154</v>
      </c>
      <c r="H29" s="4" t="s">
        <v>155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19862.75</v>
      </c>
      <c r="G30" s="4" t="s">
        <v>156</v>
      </c>
      <c r="H30" s="4" t="s">
        <v>157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158</v>
      </c>
      <c r="H31" s="4" t="s">
        <v>159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4668.33</v>
      </c>
      <c r="G32" s="4" t="s">
        <v>160</v>
      </c>
      <c r="H32" s="4" t="s">
        <v>161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54544.82</v>
      </c>
      <c r="G33" s="4" t="s">
        <v>162</v>
      </c>
      <c r="H33" s="4" t="s">
        <v>163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164</v>
      </c>
      <c r="H34" s="4" t="s">
        <v>165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696.4</v>
      </c>
      <c r="G35" s="4" t="s">
        <v>166</v>
      </c>
      <c r="H35" s="4" t="s">
        <v>167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160166.82</v>
      </c>
      <c r="G36" s="4" t="s">
        <v>168</v>
      </c>
      <c r="H36" s="4" t="s">
        <v>169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170</v>
      </c>
      <c r="H37" s="4" t="s">
        <v>171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172</v>
      </c>
      <c r="H38" s="4" t="s">
        <v>173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174</v>
      </c>
      <c r="H39" s="4" t="s">
        <v>175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171.61395499999998</v>
      </c>
      <c r="G40" s="4" t="s">
        <v>176</v>
      </c>
      <c r="H40" s="4" t="s">
        <v>177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11.037475000000001</v>
      </c>
      <c r="G41" s="4" t="s">
        <v>178</v>
      </c>
      <c r="H41" s="4" t="s">
        <v>179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180</v>
      </c>
      <c r="H42" s="4" t="s">
        <v>181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182</v>
      </c>
      <c r="H43" s="4" t="s">
        <v>183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48492.26</v>
      </c>
      <c r="G44" s="4" t="s">
        <v>184</v>
      </c>
      <c r="H44" s="4" t="s">
        <v>185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35895.54</v>
      </c>
      <c r="G45" s="4" t="s">
        <v>186</v>
      </c>
      <c r="H45" s="4" t="s">
        <v>187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160863.22</v>
      </c>
      <c r="G46" s="4" t="s">
        <v>188</v>
      </c>
      <c r="H46" s="4" t="s">
        <v>189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8" spans="1:16" x14ac:dyDescent="0.2">
      <c r="A48">
        <v>-1</v>
      </c>
    </row>
    <row r="51" spans="1:40" x14ac:dyDescent="0.2">
      <c r="A51" s="3">
        <v>75</v>
      </c>
      <c r="B51" s="3" t="s">
        <v>262</v>
      </c>
      <c r="C51" s="3">
        <v>2021</v>
      </c>
      <c r="D51" s="3">
        <v>0</v>
      </c>
      <c r="E51" s="3">
        <v>4</v>
      </c>
      <c r="F51" s="3"/>
      <c r="G51" s="3">
        <v>0</v>
      </c>
      <c r="H51" s="3">
        <v>1</v>
      </c>
      <c r="I51" s="3">
        <v>0</v>
      </c>
      <c r="J51" s="3">
        <v>1</v>
      </c>
      <c r="K51" s="3">
        <v>0</v>
      </c>
      <c r="L51" s="3">
        <v>0</v>
      </c>
      <c r="M51" s="3">
        <v>0</v>
      </c>
      <c r="N51" s="3">
        <v>50121127</v>
      </c>
      <c r="O51" s="3">
        <v>1</v>
      </c>
    </row>
    <row r="52" spans="1:40" x14ac:dyDescent="0.2">
      <c r="A52" s="5">
        <v>1</v>
      </c>
      <c r="B52" s="5" t="s">
        <v>263</v>
      </c>
      <c r="C52" s="5" t="s">
        <v>264</v>
      </c>
      <c r="D52" s="5">
        <v>2021</v>
      </c>
      <c r="E52" s="5">
        <v>4</v>
      </c>
      <c r="F52" s="5">
        <v>1</v>
      </c>
      <c r="G52" s="5">
        <v>1</v>
      </c>
      <c r="H52" s="5">
        <v>0</v>
      </c>
      <c r="I52" s="5">
        <v>2</v>
      </c>
      <c r="J52" s="5">
        <v>1</v>
      </c>
      <c r="K52" s="5">
        <v>1</v>
      </c>
      <c r="L52" s="5">
        <v>1</v>
      </c>
      <c r="M52" s="5">
        <v>1</v>
      </c>
      <c r="N52" s="5">
        <v>1</v>
      </c>
      <c r="O52" s="5">
        <v>1</v>
      </c>
      <c r="P52" s="5">
        <v>1</v>
      </c>
      <c r="Q52" s="5">
        <v>1</v>
      </c>
      <c r="R52" s="5" t="s">
        <v>3</v>
      </c>
      <c r="S52" s="5" t="s">
        <v>3</v>
      </c>
      <c r="T52" s="5" t="s">
        <v>3</v>
      </c>
      <c r="U52" s="5" t="s">
        <v>3</v>
      </c>
      <c r="V52" s="5" t="s">
        <v>3</v>
      </c>
      <c r="W52" s="5" t="s">
        <v>3</v>
      </c>
      <c r="X52" s="5" t="s">
        <v>3</v>
      </c>
      <c r="Y52" s="5" t="s">
        <v>3</v>
      </c>
      <c r="Z52" s="5" t="s">
        <v>3</v>
      </c>
      <c r="AA52" s="5" t="s">
        <v>3</v>
      </c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>
        <v>50121128</v>
      </c>
    </row>
    <row r="53" spans="1:40" x14ac:dyDescent="0.2">
      <c r="A53" s="5">
        <v>2</v>
      </c>
      <c r="B53" s="5" t="s">
        <v>265</v>
      </c>
      <c r="C53" s="5" t="s">
        <v>266</v>
      </c>
      <c r="D53" s="5">
        <v>0</v>
      </c>
      <c r="E53" s="5">
        <v>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>
        <v>50121129</v>
      </c>
    </row>
    <row r="54" spans="1:40" x14ac:dyDescent="0.2">
      <c r="A54" s="5">
        <v>2</v>
      </c>
      <c r="B54" s="5" t="s">
        <v>265</v>
      </c>
      <c r="C54" s="5" t="s">
        <v>267</v>
      </c>
      <c r="D54" s="5">
        <v>0</v>
      </c>
      <c r="E54" s="5">
        <v>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50121130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9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ROW(Source!A24)</f>
        <v>24</v>
      </c>
      <c r="B1">
        <v>50121127</v>
      </c>
      <c r="C1">
        <v>50121193</v>
      </c>
      <c r="D1">
        <v>29365789</v>
      </c>
      <c r="E1">
        <v>1</v>
      </c>
      <c r="F1">
        <v>1</v>
      </c>
      <c r="G1">
        <v>1</v>
      </c>
      <c r="H1">
        <v>1</v>
      </c>
      <c r="I1" t="s">
        <v>269</v>
      </c>
      <c r="J1" t="s">
        <v>3</v>
      </c>
      <c r="K1" t="s">
        <v>270</v>
      </c>
      <c r="L1">
        <v>1369</v>
      </c>
      <c r="N1">
        <v>1013</v>
      </c>
      <c r="O1" t="s">
        <v>271</v>
      </c>
      <c r="P1" t="s">
        <v>271</v>
      </c>
      <c r="Q1">
        <v>1</v>
      </c>
      <c r="W1">
        <v>0</v>
      </c>
      <c r="X1">
        <v>-857382621</v>
      </c>
      <c r="Y1">
        <v>4.12</v>
      </c>
      <c r="AA1">
        <v>0</v>
      </c>
      <c r="AB1">
        <v>0</v>
      </c>
      <c r="AC1">
        <v>0</v>
      </c>
      <c r="AD1">
        <v>284.25</v>
      </c>
      <c r="AE1">
        <v>0</v>
      </c>
      <c r="AF1">
        <v>0</v>
      </c>
      <c r="AG1">
        <v>0</v>
      </c>
      <c r="AH1">
        <v>284.25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4.12</v>
      </c>
      <c r="AU1" t="s">
        <v>3</v>
      </c>
      <c r="AV1">
        <v>1</v>
      </c>
      <c r="AW1">
        <v>2</v>
      </c>
      <c r="AX1">
        <v>50121196</v>
      </c>
      <c r="AY1">
        <v>2</v>
      </c>
      <c r="AZ1">
        <v>131072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24.72</v>
      </c>
      <c r="CY1">
        <f>AD1</f>
        <v>284.25</v>
      </c>
      <c r="CZ1">
        <f>AH1</f>
        <v>284.25</v>
      </c>
      <c r="DA1">
        <f>AL1</f>
        <v>1</v>
      </c>
      <c r="DB1">
        <f t="shared" ref="DB1:DB32" si="0">ROUND(ROUND(AT1*CZ1,2),6)</f>
        <v>1171.1099999999999</v>
      </c>
      <c r="DC1">
        <f t="shared" ref="DC1:DC32" si="1">ROUND(ROUND(AT1*AG1,2),6)</f>
        <v>0</v>
      </c>
    </row>
    <row r="2" spans="1:107" x14ac:dyDescent="0.2">
      <c r="A2">
        <f>ROW(Source!A24)</f>
        <v>24</v>
      </c>
      <c r="B2">
        <v>50121127</v>
      </c>
      <c r="C2">
        <v>50121193</v>
      </c>
      <c r="D2">
        <v>29171808</v>
      </c>
      <c r="E2">
        <v>1</v>
      </c>
      <c r="F2">
        <v>1</v>
      </c>
      <c r="G2">
        <v>1</v>
      </c>
      <c r="H2">
        <v>3</v>
      </c>
      <c r="I2" t="s">
        <v>272</v>
      </c>
      <c r="J2" t="s">
        <v>273</v>
      </c>
      <c r="K2" t="s">
        <v>274</v>
      </c>
      <c r="L2">
        <v>1374</v>
      </c>
      <c r="N2">
        <v>1013</v>
      </c>
      <c r="O2" t="s">
        <v>275</v>
      </c>
      <c r="P2" t="s">
        <v>275</v>
      </c>
      <c r="Q2">
        <v>1</v>
      </c>
      <c r="W2">
        <v>0</v>
      </c>
      <c r="X2">
        <v>-915781824</v>
      </c>
      <c r="Y2">
        <v>0.7</v>
      </c>
      <c r="AA2">
        <v>1</v>
      </c>
      <c r="AB2">
        <v>0</v>
      </c>
      <c r="AC2">
        <v>0</v>
      </c>
      <c r="AD2">
        <v>0</v>
      </c>
      <c r="AE2">
        <v>1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0.7</v>
      </c>
      <c r="AU2" t="s">
        <v>3</v>
      </c>
      <c r="AV2">
        <v>0</v>
      </c>
      <c r="AW2">
        <v>2</v>
      </c>
      <c r="AX2">
        <v>50121198</v>
      </c>
      <c r="AY2">
        <v>1</v>
      </c>
      <c r="AZ2">
        <v>0</v>
      </c>
      <c r="BA2">
        <v>3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4.1999999999999993</v>
      </c>
      <c r="CY2">
        <f>AA2</f>
        <v>1</v>
      </c>
      <c r="CZ2">
        <f>AE2</f>
        <v>1</v>
      </c>
      <c r="DA2">
        <f>AI2</f>
        <v>1</v>
      </c>
      <c r="DB2">
        <f t="shared" si="0"/>
        <v>0.7</v>
      </c>
      <c r="DC2">
        <f t="shared" si="1"/>
        <v>0</v>
      </c>
    </row>
    <row r="3" spans="1:107" x14ac:dyDescent="0.2">
      <c r="A3">
        <f>ROW(Source!A26)</f>
        <v>26</v>
      </c>
      <c r="B3">
        <v>50121127</v>
      </c>
      <c r="C3">
        <v>50121200</v>
      </c>
      <c r="D3">
        <v>29364679</v>
      </c>
      <c r="E3">
        <v>1</v>
      </c>
      <c r="F3">
        <v>1</v>
      </c>
      <c r="G3">
        <v>1</v>
      </c>
      <c r="H3">
        <v>1</v>
      </c>
      <c r="I3" t="s">
        <v>276</v>
      </c>
      <c r="J3" t="s">
        <v>3</v>
      </c>
      <c r="K3" t="s">
        <v>277</v>
      </c>
      <c r="L3">
        <v>1369</v>
      </c>
      <c r="N3">
        <v>1013</v>
      </c>
      <c r="O3" t="s">
        <v>271</v>
      </c>
      <c r="P3" t="s">
        <v>271</v>
      </c>
      <c r="Q3">
        <v>1</v>
      </c>
      <c r="W3">
        <v>0</v>
      </c>
      <c r="X3">
        <v>931378261</v>
      </c>
      <c r="Y3">
        <v>1.03</v>
      </c>
      <c r="AA3">
        <v>0</v>
      </c>
      <c r="AB3">
        <v>0</v>
      </c>
      <c r="AC3">
        <v>0</v>
      </c>
      <c r="AD3">
        <v>330.57</v>
      </c>
      <c r="AE3">
        <v>0</v>
      </c>
      <c r="AF3">
        <v>0</v>
      </c>
      <c r="AG3">
        <v>0</v>
      </c>
      <c r="AH3">
        <v>330.57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1.03</v>
      </c>
      <c r="AU3" t="s">
        <v>3</v>
      </c>
      <c r="AV3">
        <v>1</v>
      </c>
      <c r="AW3">
        <v>2</v>
      </c>
      <c r="AX3">
        <v>50121204</v>
      </c>
      <c r="AY3">
        <v>2</v>
      </c>
      <c r="AZ3">
        <v>131072</v>
      </c>
      <c r="BA3">
        <v>4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Y3*Source!I26</f>
        <v>1.03</v>
      </c>
      <c r="CY3">
        <f>AD3</f>
        <v>330.57</v>
      </c>
      <c r="CZ3">
        <f>AH3</f>
        <v>330.57</v>
      </c>
      <c r="DA3">
        <f>AL3</f>
        <v>1</v>
      </c>
      <c r="DB3">
        <f t="shared" si="0"/>
        <v>340.49</v>
      </c>
      <c r="DC3">
        <f t="shared" si="1"/>
        <v>0</v>
      </c>
    </row>
    <row r="4" spans="1:107" x14ac:dyDescent="0.2">
      <c r="A4">
        <f>ROW(Source!A26)</f>
        <v>26</v>
      </c>
      <c r="B4">
        <v>50121127</v>
      </c>
      <c r="C4">
        <v>50121200</v>
      </c>
      <c r="D4">
        <v>29171661</v>
      </c>
      <c r="E4">
        <v>1</v>
      </c>
      <c r="F4">
        <v>1</v>
      </c>
      <c r="G4">
        <v>1</v>
      </c>
      <c r="H4">
        <v>3</v>
      </c>
      <c r="I4" t="s">
        <v>278</v>
      </c>
      <c r="J4" t="s">
        <v>279</v>
      </c>
      <c r="K4" t="s">
        <v>280</v>
      </c>
      <c r="L4">
        <v>1346</v>
      </c>
      <c r="N4">
        <v>1009</v>
      </c>
      <c r="O4" t="s">
        <v>281</v>
      </c>
      <c r="P4" t="s">
        <v>281</v>
      </c>
      <c r="Q4">
        <v>1</v>
      </c>
      <c r="W4">
        <v>0</v>
      </c>
      <c r="X4">
        <v>-1811314193</v>
      </c>
      <c r="Y4">
        <v>4.2000000000000003E-2</v>
      </c>
      <c r="AA4">
        <v>116.95</v>
      </c>
      <c r="AB4">
        <v>0</v>
      </c>
      <c r="AC4">
        <v>0</v>
      </c>
      <c r="AD4">
        <v>0</v>
      </c>
      <c r="AE4">
        <v>26.52</v>
      </c>
      <c r="AF4">
        <v>0</v>
      </c>
      <c r="AG4">
        <v>0</v>
      </c>
      <c r="AH4">
        <v>0</v>
      </c>
      <c r="AI4">
        <v>4.41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4.2000000000000003E-2</v>
      </c>
      <c r="AU4" t="s">
        <v>3</v>
      </c>
      <c r="AV4">
        <v>0</v>
      </c>
      <c r="AW4">
        <v>2</v>
      </c>
      <c r="AX4">
        <v>50121205</v>
      </c>
      <c r="AY4">
        <v>1</v>
      </c>
      <c r="AZ4">
        <v>0</v>
      </c>
      <c r="BA4">
        <v>5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Y4*Source!I26</f>
        <v>4.2000000000000003E-2</v>
      </c>
      <c r="CY4">
        <f>AA4</f>
        <v>116.95</v>
      </c>
      <c r="CZ4">
        <f>AE4</f>
        <v>26.52</v>
      </c>
      <c r="DA4">
        <f>AI4</f>
        <v>4.41</v>
      </c>
      <c r="DB4">
        <f t="shared" si="0"/>
        <v>1.1100000000000001</v>
      </c>
      <c r="DC4">
        <f t="shared" si="1"/>
        <v>0</v>
      </c>
    </row>
    <row r="5" spans="1:107" x14ac:dyDescent="0.2">
      <c r="A5">
        <f>ROW(Source!A26)</f>
        <v>26</v>
      </c>
      <c r="B5">
        <v>50121127</v>
      </c>
      <c r="C5">
        <v>50121200</v>
      </c>
      <c r="D5">
        <v>29171808</v>
      </c>
      <c r="E5">
        <v>1</v>
      </c>
      <c r="F5">
        <v>1</v>
      </c>
      <c r="G5">
        <v>1</v>
      </c>
      <c r="H5">
        <v>3</v>
      </c>
      <c r="I5" t="s">
        <v>272</v>
      </c>
      <c r="J5" t="s">
        <v>273</v>
      </c>
      <c r="K5" t="s">
        <v>274</v>
      </c>
      <c r="L5">
        <v>1374</v>
      </c>
      <c r="N5">
        <v>1013</v>
      </c>
      <c r="O5" t="s">
        <v>275</v>
      </c>
      <c r="P5" t="s">
        <v>275</v>
      </c>
      <c r="Q5">
        <v>1</v>
      </c>
      <c r="W5">
        <v>0</v>
      </c>
      <c r="X5">
        <v>-915781824</v>
      </c>
      <c r="Y5">
        <v>0.2</v>
      </c>
      <c r="AA5">
        <v>1</v>
      </c>
      <c r="AB5">
        <v>0</v>
      </c>
      <c r="AC5">
        <v>0</v>
      </c>
      <c r="AD5">
        <v>0</v>
      </c>
      <c r="AE5">
        <v>1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0.2</v>
      </c>
      <c r="AU5" t="s">
        <v>3</v>
      </c>
      <c r="AV5">
        <v>0</v>
      </c>
      <c r="AW5">
        <v>2</v>
      </c>
      <c r="AX5">
        <v>50121206</v>
      </c>
      <c r="AY5">
        <v>1</v>
      </c>
      <c r="AZ5">
        <v>0</v>
      </c>
      <c r="BA5">
        <v>6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Y5*Source!I26</f>
        <v>0.2</v>
      </c>
      <c r="CY5">
        <f>AA5</f>
        <v>1</v>
      </c>
      <c r="CZ5">
        <f>AE5</f>
        <v>1</v>
      </c>
      <c r="DA5">
        <f>AI5</f>
        <v>1</v>
      </c>
      <c r="DB5">
        <f t="shared" si="0"/>
        <v>0.2</v>
      </c>
      <c r="DC5">
        <f t="shared" si="1"/>
        <v>0</v>
      </c>
    </row>
    <row r="6" spans="1:107" x14ac:dyDescent="0.2">
      <c r="A6">
        <f>ROW(Source!A29)</f>
        <v>29</v>
      </c>
      <c r="B6">
        <v>50121127</v>
      </c>
      <c r="C6">
        <v>50121209</v>
      </c>
      <c r="D6">
        <v>29364679</v>
      </c>
      <c r="E6">
        <v>1</v>
      </c>
      <c r="F6">
        <v>1</v>
      </c>
      <c r="G6">
        <v>1</v>
      </c>
      <c r="H6">
        <v>1</v>
      </c>
      <c r="I6" t="s">
        <v>276</v>
      </c>
      <c r="J6" t="s">
        <v>3</v>
      </c>
      <c r="K6" t="s">
        <v>277</v>
      </c>
      <c r="L6">
        <v>1369</v>
      </c>
      <c r="N6">
        <v>1013</v>
      </c>
      <c r="O6" t="s">
        <v>271</v>
      </c>
      <c r="P6" t="s">
        <v>271</v>
      </c>
      <c r="Q6">
        <v>1</v>
      </c>
      <c r="W6">
        <v>0</v>
      </c>
      <c r="X6">
        <v>931378261</v>
      </c>
      <c r="Y6">
        <v>2.37</v>
      </c>
      <c r="AA6">
        <v>0</v>
      </c>
      <c r="AB6">
        <v>0</v>
      </c>
      <c r="AC6">
        <v>0</v>
      </c>
      <c r="AD6">
        <v>330.57</v>
      </c>
      <c r="AE6">
        <v>0</v>
      </c>
      <c r="AF6">
        <v>0</v>
      </c>
      <c r="AG6">
        <v>0</v>
      </c>
      <c r="AH6">
        <v>330.57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2.37</v>
      </c>
      <c r="AU6" t="s">
        <v>3</v>
      </c>
      <c r="AV6">
        <v>1</v>
      </c>
      <c r="AW6">
        <v>2</v>
      </c>
      <c r="AX6">
        <v>50121221</v>
      </c>
      <c r="AY6">
        <v>2</v>
      </c>
      <c r="AZ6">
        <v>131072</v>
      </c>
      <c r="BA6">
        <v>7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Y6*Source!I29</f>
        <v>2.37</v>
      </c>
      <c r="CY6">
        <f>AD6</f>
        <v>330.57</v>
      </c>
      <c r="CZ6">
        <f>AH6</f>
        <v>330.57</v>
      </c>
      <c r="DA6">
        <f>AL6</f>
        <v>1</v>
      </c>
      <c r="DB6">
        <f t="shared" si="0"/>
        <v>783.45</v>
      </c>
      <c r="DC6">
        <f t="shared" si="1"/>
        <v>0</v>
      </c>
    </row>
    <row r="7" spans="1:107" x14ac:dyDescent="0.2">
      <c r="A7">
        <f>ROW(Source!A29)</f>
        <v>29</v>
      </c>
      <c r="B7">
        <v>50121127</v>
      </c>
      <c r="C7">
        <v>50121209</v>
      </c>
      <c r="D7">
        <v>121548</v>
      </c>
      <c r="E7">
        <v>1</v>
      </c>
      <c r="F7">
        <v>1</v>
      </c>
      <c r="G7">
        <v>1</v>
      </c>
      <c r="H7">
        <v>1</v>
      </c>
      <c r="I7" t="s">
        <v>28</v>
      </c>
      <c r="J7" t="s">
        <v>3</v>
      </c>
      <c r="K7" t="s">
        <v>282</v>
      </c>
      <c r="L7">
        <v>608254</v>
      </c>
      <c r="N7">
        <v>1013</v>
      </c>
      <c r="O7" t="s">
        <v>283</v>
      </c>
      <c r="P7" t="s">
        <v>283</v>
      </c>
      <c r="Q7">
        <v>1</v>
      </c>
      <c r="W7">
        <v>0</v>
      </c>
      <c r="X7">
        <v>-185737400</v>
      </c>
      <c r="Y7">
        <v>0.28999999999999998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0.28999999999999998</v>
      </c>
      <c r="AU7" t="s">
        <v>3</v>
      </c>
      <c r="AV7">
        <v>2</v>
      </c>
      <c r="AW7">
        <v>2</v>
      </c>
      <c r="AX7">
        <v>50121222</v>
      </c>
      <c r="AY7">
        <v>1</v>
      </c>
      <c r="AZ7">
        <v>0</v>
      </c>
      <c r="BA7">
        <v>8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Y7*Source!I29</f>
        <v>0.28999999999999998</v>
      </c>
      <c r="CY7">
        <f>AD7</f>
        <v>0</v>
      </c>
      <c r="CZ7">
        <f>AH7</f>
        <v>0</v>
      </c>
      <c r="DA7">
        <f>AL7</f>
        <v>1</v>
      </c>
      <c r="DB7">
        <f t="shared" si="0"/>
        <v>0</v>
      </c>
      <c r="DC7">
        <f t="shared" si="1"/>
        <v>0</v>
      </c>
    </row>
    <row r="8" spans="1:107" x14ac:dyDescent="0.2">
      <c r="A8">
        <f>ROW(Source!A29)</f>
        <v>29</v>
      </c>
      <c r="B8">
        <v>50121127</v>
      </c>
      <c r="C8">
        <v>50121209</v>
      </c>
      <c r="D8">
        <v>29172362</v>
      </c>
      <c r="E8">
        <v>1</v>
      </c>
      <c r="F8">
        <v>1</v>
      </c>
      <c r="G8">
        <v>1</v>
      </c>
      <c r="H8">
        <v>2</v>
      </c>
      <c r="I8" t="s">
        <v>284</v>
      </c>
      <c r="J8" t="s">
        <v>285</v>
      </c>
      <c r="K8" t="s">
        <v>286</v>
      </c>
      <c r="L8">
        <v>1368</v>
      </c>
      <c r="N8">
        <v>1011</v>
      </c>
      <c r="O8" t="s">
        <v>287</v>
      </c>
      <c r="P8" t="s">
        <v>287</v>
      </c>
      <c r="Q8">
        <v>1</v>
      </c>
      <c r="W8">
        <v>0</v>
      </c>
      <c r="X8">
        <v>783836208</v>
      </c>
      <c r="Y8">
        <v>7.0000000000000007E-2</v>
      </c>
      <c r="AA8">
        <v>0</v>
      </c>
      <c r="AB8">
        <v>1113.56</v>
      </c>
      <c r="AC8">
        <v>449.82</v>
      </c>
      <c r="AD8">
        <v>0</v>
      </c>
      <c r="AE8">
        <v>0</v>
      </c>
      <c r="AF8">
        <v>134.65</v>
      </c>
      <c r="AG8">
        <v>13.5</v>
      </c>
      <c r="AH8">
        <v>0</v>
      </c>
      <c r="AI8">
        <v>1</v>
      </c>
      <c r="AJ8">
        <v>8.27</v>
      </c>
      <c r="AK8">
        <v>33.32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7.0000000000000007E-2</v>
      </c>
      <c r="AU8" t="s">
        <v>3</v>
      </c>
      <c r="AV8">
        <v>0</v>
      </c>
      <c r="AW8">
        <v>2</v>
      </c>
      <c r="AX8">
        <v>50121223</v>
      </c>
      <c r="AY8">
        <v>1</v>
      </c>
      <c r="AZ8">
        <v>0</v>
      </c>
      <c r="BA8">
        <v>9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Y8*Source!I29</f>
        <v>7.0000000000000007E-2</v>
      </c>
      <c r="CY8">
        <f>AB8</f>
        <v>1113.56</v>
      </c>
      <c r="CZ8">
        <f>AF8</f>
        <v>134.65</v>
      </c>
      <c r="DA8">
        <f>AJ8</f>
        <v>8.27</v>
      </c>
      <c r="DB8">
        <f t="shared" si="0"/>
        <v>9.43</v>
      </c>
      <c r="DC8">
        <f t="shared" si="1"/>
        <v>0.95</v>
      </c>
    </row>
    <row r="9" spans="1:107" x14ac:dyDescent="0.2">
      <c r="A9">
        <f>ROW(Source!A29)</f>
        <v>29</v>
      </c>
      <c r="B9">
        <v>50121127</v>
      </c>
      <c r="C9">
        <v>50121209</v>
      </c>
      <c r="D9">
        <v>29172657</v>
      </c>
      <c r="E9">
        <v>1</v>
      </c>
      <c r="F9">
        <v>1</v>
      </c>
      <c r="G9">
        <v>1</v>
      </c>
      <c r="H9">
        <v>2</v>
      </c>
      <c r="I9" t="s">
        <v>288</v>
      </c>
      <c r="J9" t="s">
        <v>289</v>
      </c>
      <c r="K9" t="s">
        <v>290</v>
      </c>
      <c r="L9">
        <v>1368</v>
      </c>
      <c r="N9">
        <v>1011</v>
      </c>
      <c r="O9" t="s">
        <v>287</v>
      </c>
      <c r="P9" t="s">
        <v>287</v>
      </c>
      <c r="Q9">
        <v>1</v>
      </c>
      <c r="W9">
        <v>0</v>
      </c>
      <c r="X9">
        <v>1474986261</v>
      </c>
      <c r="Y9">
        <v>0.71</v>
      </c>
      <c r="AA9">
        <v>0</v>
      </c>
      <c r="AB9">
        <v>60.26</v>
      </c>
      <c r="AC9">
        <v>0</v>
      </c>
      <c r="AD9">
        <v>0</v>
      </c>
      <c r="AE9">
        <v>0</v>
      </c>
      <c r="AF9">
        <v>8.1</v>
      </c>
      <c r="AG9">
        <v>0</v>
      </c>
      <c r="AH9">
        <v>0</v>
      </c>
      <c r="AI9">
        <v>1</v>
      </c>
      <c r="AJ9">
        <v>7.44</v>
      </c>
      <c r="AK9">
        <v>33.32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0.71</v>
      </c>
      <c r="AU9" t="s">
        <v>3</v>
      </c>
      <c r="AV9">
        <v>0</v>
      </c>
      <c r="AW9">
        <v>2</v>
      </c>
      <c r="AX9">
        <v>50121224</v>
      </c>
      <c r="AY9">
        <v>1</v>
      </c>
      <c r="AZ9">
        <v>0</v>
      </c>
      <c r="BA9">
        <v>10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Y9*Source!I29</f>
        <v>0.71</v>
      </c>
      <c r="CY9">
        <f>AB9</f>
        <v>60.26</v>
      </c>
      <c r="CZ9">
        <f>AF9</f>
        <v>8.1</v>
      </c>
      <c r="DA9">
        <f>AJ9</f>
        <v>7.44</v>
      </c>
      <c r="DB9">
        <f t="shared" si="0"/>
        <v>5.75</v>
      </c>
      <c r="DC9">
        <f t="shared" si="1"/>
        <v>0</v>
      </c>
    </row>
    <row r="10" spans="1:107" x14ac:dyDescent="0.2">
      <c r="A10">
        <f>ROW(Source!A29)</f>
        <v>29</v>
      </c>
      <c r="B10">
        <v>50121127</v>
      </c>
      <c r="C10">
        <v>50121209</v>
      </c>
      <c r="D10">
        <v>29172710</v>
      </c>
      <c r="E10">
        <v>1</v>
      </c>
      <c r="F10">
        <v>1</v>
      </c>
      <c r="G10">
        <v>1</v>
      </c>
      <c r="H10">
        <v>2</v>
      </c>
      <c r="I10" t="s">
        <v>291</v>
      </c>
      <c r="J10" t="s">
        <v>292</v>
      </c>
      <c r="K10" t="s">
        <v>293</v>
      </c>
      <c r="L10">
        <v>1368</v>
      </c>
      <c r="N10">
        <v>1011</v>
      </c>
      <c r="O10" t="s">
        <v>287</v>
      </c>
      <c r="P10" t="s">
        <v>287</v>
      </c>
      <c r="Q10">
        <v>1</v>
      </c>
      <c r="W10">
        <v>0</v>
      </c>
      <c r="X10">
        <v>315863809</v>
      </c>
      <c r="Y10">
        <v>0.22</v>
      </c>
      <c r="AA10">
        <v>0</v>
      </c>
      <c r="AB10">
        <v>539.16</v>
      </c>
      <c r="AC10">
        <v>335.2</v>
      </c>
      <c r="AD10">
        <v>0</v>
      </c>
      <c r="AE10">
        <v>0</v>
      </c>
      <c r="AF10">
        <v>46.56</v>
      </c>
      <c r="AG10">
        <v>10.06</v>
      </c>
      <c r="AH10">
        <v>0</v>
      </c>
      <c r="AI10">
        <v>1</v>
      </c>
      <c r="AJ10">
        <v>11.58</v>
      </c>
      <c r="AK10">
        <v>33.32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0.22</v>
      </c>
      <c r="AU10" t="s">
        <v>3</v>
      </c>
      <c r="AV10">
        <v>0</v>
      </c>
      <c r="AW10">
        <v>2</v>
      </c>
      <c r="AX10">
        <v>50121225</v>
      </c>
      <c r="AY10">
        <v>1</v>
      </c>
      <c r="AZ10">
        <v>0</v>
      </c>
      <c r="BA10">
        <v>11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Y10*Source!I29</f>
        <v>0.22</v>
      </c>
      <c r="CY10">
        <f>AB10</f>
        <v>539.16</v>
      </c>
      <c r="CZ10">
        <f>AF10</f>
        <v>46.56</v>
      </c>
      <c r="DA10">
        <f>AJ10</f>
        <v>11.58</v>
      </c>
      <c r="DB10">
        <f t="shared" si="0"/>
        <v>10.24</v>
      </c>
      <c r="DC10">
        <f t="shared" si="1"/>
        <v>2.21</v>
      </c>
    </row>
    <row r="11" spans="1:107" x14ac:dyDescent="0.2">
      <c r="A11">
        <f>ROW(Source!A29)</f>
        <v>29</v>
      </c>
      <c r="B11">
        <v>50121127</v>
      </c>
      <c r="C11">
        <v>50121209</v>
      </c>
      <c r="D11">
        <v>29173040</v>
      </c>
      <c r="E11">
        <v>1</v>
      </c>
      <c r="F11">
        <v>1</v>
      </c>
      <c r="G11">
        <v>1</v>
      </c>
      <c r="H11">
        <v>2</v>
      </c>
      <c r="I11" t="s">
        <v>294</v>
      </c>
      <c r="J11" t="s">
        <v>295</v>
      </c>
      <c r="K11" t="s">
        <v>296</v>
      </c>
      <c r="L11">
        <v>1368</v>
      </c>
      <c r="N11">
        <v>1011</v>
      </c>
      <c r="O11" t="s">
        <v>287</v>
      </c>
      <c r="P11" t="s">
        <v>287</v>
      </c>
      <c r="Q11">
        <v>1</v>
      </c>
      <c r="W11">
        <v>0</v>
      </c>
      <c r="X11">
        <v>786036725</v>
      </c>
      <c r="Y11">
        <v>0.22</v>
      </c>
      <c r="AA11">
        <v>0</v>
      </c>
      <c r="AB11">
        <v>13.99</v>
      </c>
      <c r="AC11">
        <v>0</v>
      </c>
      <c r="AD11">
        <v>0</v>
      </c>
      <c r="AE11">
        <v>0</v>
      </c>
      <c r="AF11">
        <v>2.99</v>
      </c>
      <c r="AG11">
        <v>0</v>
      </c>
      <c r="AH11">
        <v>0</v>
      </c>
      <c r="AI11">
        <v>1</v>
      </c>
      <c r="AJ11">
        <v>4.68</v>
      </c>
      <c r="AK11">
        <v>33.32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0.22</v>
      </c>
      <c r="AU11" t="s">
        <v>3</v>
      </c>
      <c r="AV11">
        <v>0</v>
      </c>
      <c r="AW11">
        <v>2</v>
      </c>
      <c r="AX11">
        <v>50121226</v>
      </c>
      <c r="AY11">
        <v>1</v>
      </c>
      <c r="AZ11">
        <v>0</v>
      </c>
      <c r="BA11">
        <v>12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Y11*Source!I29</f>
        <v>0.22</v>
      </c>
      <c r="CY11">
        <f>AB11</f>
        <v>13.99</v>
      </c>
      <c r="CZ11">
        <f>AF11</f>
        <v>2.99</v>
      </c>
      <c r="DA11">
        <f>AJ11</f>
        <v>4.68</v>
      </c>
      <c r="DB11">
        <f t="shared" si="0"/>
        <v>0.66</v>
      </c>
      <c r="DC11">
        <f t="shared" si="1"/>
        <v>0</v>
      </c>
    </row>
    <row r="12" spans="1:107" x14ac:dyDescent="0.2">
      <c r="A12">
        <f>ROW(Source!A29)</f>
        <v>29</v>
      </c>
      <c r="B12">
        <v>50121127</v>
      </c>
      <c r="C12">
        <v>50121209</v>
      </c>
      <c r="D12">
        <v>29174913</v>
      </c>
      <c r="E12">
        <v>1</v>
      </c>
      <c r="F12">
        <v>1</v>
      </c>
      <c r="G12">
        <v>1</v>
      </c>
      <c r="H12">
        <v>2</v>
      </c>
      <c r="I12" t="s">
        <v>297</v>
      </c>
      <c r="J12" t="s">
        <v>298</v>
      </c>
      <c r="K12" t="s">
        <v>299</v>
      </c>
      <c r="L12">
        <v>1368</v>
      </c>
      <c r="N12">
        <v>1011</v>
      </c>
      <c r="O12" t="s">
        <v>287</v>
      </c>
      <c r="P12" t="s">
        <v>287</v>
      </c>
      <c r="Q12">
        <v>1</v>
      </c>
      <c r="W12">
        <v>0</v>
      </c>
      <c r="X12">
        <v>1230759911</v>
      </c>
      <c r="Y12">
        <v>7.0000000000000007E-2</v>
      </c>
      <c r="AA12">
        <v>0</v>
      </c>
      <c r="AB12">
        <v>932.72</v>
      </c>
      <c r="AC12">
        <v>386.51</v>
      </c>
      <c r="AD12">
        <v>0</v>
      </c>
      <c r="AE12">
        <v>0</v>
      </c>
      <c r="AF12">
        <v>87.17</v>
      </c>
      <c r="AG12">
        <v>11.6</v>
      </c>
      <c r="AH12">
        <v>0</v>
      </c>
      <c r="AI12">
        <v>1</v>
      </c>
      <c r="AJ12">
        <v>10.7</v>
      </c>
      <c r="AK12">
        <v>33.32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7.0000000000000007E-2</v>
      </c>
      <c r="AU12" t="s">
        <v>3</v>
      </c>
      <c r="AV12">
        <v>0</v>
      </c>
      <c r="AW12">
        <v>2</v>
      </c>
      <c r="AX12">
        <v>50121227</v>
      </c>
      <c r="AY12">
        <v>1</v>
      </c>
      <c r="AZ12">
        <v>0</v>
      </c>
      <c r="BA12">
        <v>13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Y12*Source!I29</f>
        <v>7.0000000000000007E-2</v>
      </c>
      <c r="CY12">
        <f>AB12</f>
        <v>932.72</v>
      </c>
      <c r="CZ12">
        <f>AF12</f>
        <v>87.17</v>
      </c>
      <c r="DA12">
        <f>AJ12</f>
        <v>10.7</v>
      </c>
      <c r="DB12">
        <f t="shared" si="0"/>
        <v>6.1</v>
      </c>
      <c r="DC12">
        <f t="shared" si="1"/>
        <v>0.81</v>
      </c>
    </row>
    <row r="13" spans="1:107" x14ac:dyDescent="0.2">
      <c r="A13">
        <f>ROW(Source!A29)</f>
        <v>29</v>
      </c>
      <c r="B13">
        <v>50121127</v>
      </c>
      <c r="C13">
        <v>50121209</v>
      </c>
      <c r="D13">
        <v>29113980</v>
      </c>
      <c r="E13">
        <v>1</v>
      </c>
      <c r="F13">
        <v>1</v>
      </c>
      <c r="G13">
        <v>1</v>
      </c>
      <c r="H13">
        <v>3</v>
      </c>
      <c r="I13" t="s">
        <v>300</v>
      </c>
      <c r="J13" t="s">
        <v>301</v>
      </c>
      <c r="K13" t="s">
        <v>302</v>
      </c>
      <c r="L13">
        <v>1346</v>
      </c>
      <c r="N13">
        <v>1009</v>
      </c>
      <c r="O13" t="s">
        <v>281</v>
      </c>
      <c r="P13" t="s">
        <v>281</v>
      </c>
      <c r="Q13">
        <v>1</v>
      </c>
      <c r="W13">
        <v>0</v>
      </c>
      <c r="X13">
        <v>-1805966371</v>
      </c>
      <c r="Y13">
        <v>0.1</v>
      </c>
      <c r="AA13">
        <v>93.59</v>
      </c>
      <c r="AB13">
        <v>0</v>
      </c>
      <c r="AC13">
        <v>0</v>
      </c>
      <c r="AD13">
        <v>0</v>
      </c>
      <c r="AE13">
        <v>14.31</v>
      </c>
      <c r="AF13">
        <v>0</v>
      </c>
      <c r="AG13">
        <v>0</v>
      </c>
      <c r="AH13">
        <v>0</v>
      </c>
      <c r="AI13">
        <v>6.54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0.1</v>
      </c>
      <c r="AU13" t="s">
        <v>3</v>
      </c>
      <c r="AV13">
        <v>0</v>
      </c>
      <c r="AW13">
        <v>2</v>
      </c>
      <c r="AX13">
        <v>50121228</v>
      </c>
      <c r="AY13">
        <v>1</v>
      </c>
      <c r="AZ13">
        <v>0</v>
      </c>
      <c r="BA13">
        <v>14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Y13*Source!I29</f>
        <v>0.1</v>
      </c>
      <c r="CY13">
        <f>AA13</f>
        <v>93.59</v>
      </c>
      <c r="CZ13">
        <f>AE13</f>
        <v>14.31</v>
      </c>
      <c r="DA13">
        <f>AI13</f>
        <v>6.54</v>
      </c>
      <c r="DB13">
        <f t="shared" si="0"/>
        <v>1.43</v>
      </c>
      <c r="DC13">
        <f t="shared" si="1"/>
        <v>0</v>
      </c>
    </row>
    <row r="14" spans="1:107" x14ac:dyDescent="0.2">
      <c r="A14">
        <f>ROW(Source!A29)</f>
        <v>29</v>
      </c>
      <c r="B14">
        <v>50121127</v>
      </c>
      <c r="C14">
        <v>50121209</v>
      </c>
      <c r="D14">
        <v>29114246</v>
      </c>
      <c r="E14">
        <v>1</v>
      </c>
      <c r="F14">
        <v>1</v>
      </c>
      <c r="G14">
        <v>1</v>
      </c>
      <c r="H14">
        <v>3</v>
      </c>
      <c r="I14" t="s">
        <v>303</v>
      </c>
      <c r="J14" t="s">
        <v>304</v>
      </c>
      <c r="K14" t="s">
        <v>305</v>
      </c>
      <c r="L14">
        <v>1346</v>
      </c>
      <c r="N14">
        <v>1009</v>
      </c>
      <c r="O14" t="s">
        <v>281</v>
      </c>
      <c r="P14" t="s">
        <v>281</v>
      </c>
      <c r="Q14">
        <v>1</v>
      </c>
      <c r="W14">
        <v>0</v>
      </c>
      <c r="X14">
        <v>30920770</v>
      </c>
      <c r="Y14">
        <v>0.1</v>
      </c>
      <c r="AA14">
        <v>83.08</v>
      </c>
      <c r="AB14">
        <v>0</v>
      </c>
      <c r="AC14">
        <v>0</v>
      </c>
      <c r="AD14">
        <v>0</v>
      </c>
      <c r="AE14">
        <v>9.0399999999999991</v>
      </c>
      <c r="AF14">
        <v>0</v>
      </c>
      <c r="AG14">
        <v>0</v>
      </c>
      <c r="AH14">
        <v>0</v>
      </c>
      <c r="AI14">
        <v>9.19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0.1</v>
      </c>
      <c r="AU14" t="s">
        <v>3</v>
      </c>
      <c r="AV14">
        <v>0</v>
      </c>
      <c r="AW14">
        <v>2</v>
      </c>
      <c r="AX14">
        <v>50121229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Y14*Source!I29</f>
        <v>0.1</v>
      </c>
      <c r="CY14">
        <f>AA14</f>
        <v>83.08</v>
      </c>
      <c r="CZ14">
        <f>AE14</f>
        <v>9.0399999999999991</v>
      </c>
      <c r="DA14">
        <f>AI14</f>
        <v>9.19</v>
      </c>
      <c r="DB14">
        <f t="shared" si="0"/>
        <v>0.9</v>
      </c>
      <c r="DC14">
        <f t="shared" si="1"/>
        <v>0</v>
      </c>
    </row>
    <row r="15" spans="1:107" x14ac:dyDescent="0.2">
      <c r="A15">
        <f>ROW(Source!A29)</f>
        <v>29</v>
      </c>
      <c r="B15">
        <v>50121127</v>
      </c>
      <c r="C15">
        <v>50121209</v>
      </c>
      <c r="D15">
        <v>29110426</v>
      </c>
      <c r="E15">
        <v>1</v>
      </c>
      <c r="F15">
        <v>1</v>
      </c>
      <c r="G15">
        <v>1</v>
      </c>
      <c r="H15">
        <v>3</v>
      </c>
      <c r="I15" t="s">
        <v>306</v>
      </c>
      <c r="J15" t="s">
        <v>307</v>
      </c>
      <c r="K15" t="s">
        <v>308</v>
      </c>
      <c r="L15">
        <v>1346</v>
      </c>
      <c r="N15">
        <v>1009</v>
      </c>
      <c r="O15" t="s">
        <v>281</v>
      </c>
      <c r="P15" t="s">
        <v>281</v>
      </c>
      <c r="Q15">
        <v>1</v>
      </c>
      <c r="W15">
        <v>0</v>
      </c>
      <c r="X15">
        <v>-1768004575</v>
      </c>
      <c r="Y15">
        <v>0.02</v>
      </c>
      <c r="AA15">
        <v>63.36</v>
      </c>
      <c r="AB15">
        <v>0</v>
      </c>
      <c r="AC15">
        <v>0</v>
      </c>
      <c r="AD15">
        <v>0</v>
      </c>
      <c r="AE15">
        <v>28.67</v>
      </c>
      <c r="AF15">
        <v>0</v>
      </c>
      <c r="AG15">
        <v>0</v>
      </c>
      <c r="AH15">
        <v>0</v>
      </c>
      <c r="AI15">
        <v>2.21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0.02</v>
      </c>
      <c r="AU15" t="s">
        <v>3</v>
      </c>
      <c r="AV15">
        <v>0</v>
      </c>
      <c r="AW15">
        <v>2</v>
      </c>
      <c r="AX15">
        <v>50121230</v>
      </c>
      <c r="AY15">
        <v>1</v>
      </c>
      <c r="AZ15">
        <v>0</v>
      </c>
      <c r="BA15">
        <v>16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Y15*Source!I29</f>
        <v>0.02</v>
      </c>
      <c r="CY15">
        <f>AA15</f>
        <v>63.36</v>
      </c>
      <c r="CZ15">
        <f>AE15</f>
        <v>28.67</v>
      </c>
      <c r="DA15">
        <f>AI15</f>
        <v>2.21</v>
      </c>
      <c r="DB15">
        <f t="shared" si="0"/>
        <v>0.56999999999999995</v>
      </c>
      <c r="DC15">
        <f t="shared" si="1"/>
        <v>0</v>
      </c>
    </row>
    <row r="16" spans="1:107" x14ac:dyDescent="0.2">
      <c r="A16">
        <f>ROW(Source!A29)</f>
        <v>29</v>
      </c>
      <c r="B16">
        <v>50121127</v>
      </c>
      <c r="C16">
        <v>50121209</v>
      </c>
      <c r="D16">
        <v>29171808</v>
      </c>
      <c r="E16">
        <v>1</v>
      </c>
      <c r="F16">
        <v>1</v>
      </c>
      <c r="G16">
        <v>1</v>
      </c>
      <c r="H16">
        <v>3</v>
      </c>
      <c r="I16" t="s">
        <v>272</v>
      </c>
      <c r="J16" t="s">
        <v>273</v>
      </c>
      <c r="K16" t="s">
        <v>274</v>
      </c>
      <c r="L16">
        <v>1374</v>
      </c>
      <c r="N16">
        <v>1013</v>
      </c>
      <c r="O16" t="s">
        <v>275</v>
      </c>
      <c r="P16" t="s">
        <v>275</v>
      </c>
      <c r="Q16">
        <v>1</v>
      </c>
      <c r="W16">
        <v>0</v>
      </c>
      <c r="X16">
        <v>-915781824</v>
      </c>
      <c r="Y16">
        <v>0.47</v>
      </c>
      <c r="AA16">
        <v>1</v>
      </c>
      <c r="AB16">
        <v>0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0.47</v>
      </c>
      <c r="AU16" t="s">
        <v>3</v>
      </c>
      <c r="AV16">
        <v>0</v>
      </c>
      <c r="AW16">
        <v>2</v>
      </c>
      <c r="AX16">
        <v>50121231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Y16*Source!I29</f>
        <v>0.47</v>
      </c>
      <c r="CY16">
        <f>AA16</f>
        <v>1</v>
      </c>
      <c r="CZ16">
        <f>AE16</f>
        <v>1</v>
      </c>
      <c r="DA16">
        <f>AI16</f>
        <v>1</v>
      </c>
      <c r="DB16">
        <f t="shared" si="0"/>
        <v>0.47</v>
      </c>
      <c r="DC16">
        <f t="shared" si="1"/>
        <v>0</v>
      </c>
    </row>
    <row r="17" spans="1:107" x14ac:dyDescent="0.2">
      <c r="A17">
        <f>ROW(Source!A31)</f>
        <v>31</v>
      </c>
      <c r="B17">
        <v>50121127</v>
      </c>
      <c r="C17">
        <v>50121233</v>
      </c>
      <c r="D17">
        <v>29362762</v>
      </c>
      <c r="E17">
        <v>1</v>
      </c>
      <c r="F17">
        <v>1</v>
      </c>
      <c r="G17">
        <v>1</v>
      </c>
      <c r="H17">
        <v>1</v>
      </c>
      <c r="I17" t="s">
        <v>309</v>
      </c>
      <c r="J17" t="s">
        <v>3</v>
      </c>
      <c r="K17" t="s">
        <v>310</v>
      </c>
      <c r="L17">
        <v>1369</v>
      </c>
      <c r="N17">
        <v>1013</v>
      </c>
      <c r="O17" t="s">
        <v>271</v>
      </c>
      <c r="P17" t="s">
        <v>271</v>
      </c>
      <c r="Q17">
        <v>1</v>
      </c>
      <c r="W17">
        <v>0</v>
      </c>
      <c r="X17">
        <v>604758886</v>
      </c>
      <c r="Y17">
        <v>229</v>
      </c>
      <c r="AA17">
        <v>0</v>
      </c>
      <c r="AB17">
        <v>0</v>
      </c>
      <c r="AC17">
        <v>0</v>
      </c>
      <c r="AD17">
        <v>320.57</v>
      </c>
      <c r="AE17">
        <v>0</v>
      </c>
      <c r="AF17">
        <v>0</v>
      </c>
      <c r="AG17">
        <v>0</v>
      </c>
      <c r="AH17">
        <v>320.57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229</v>
      </c>
      <c r="AU17" t="s">
        <v>3</v>
      </c>
      <c r="AV17">
        <v>1</v>
      </c>
      <c r="AW17">
        <v>2</v>
      </c>
      <c r="AX17">
        <v>50121244</v>
      </c>
      <c r="AY17">
        <v>2</v>
      </c>
      <c r="AZ17">
        <v>131072</v>
      </c>
      <c r="BA17">
        <v>18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Y17*Source!I31</f>
        <v>2.29</v>
      </c>
      <c r="CY17">
        <f>AD17</f>
        <v>320.57</v>
      </c>
      <c r="CZ17">
        <f>AH17</f>
        <v>320.57</v>
      </c>
      <c r="DA17">
        <f>AL17</f>
        <v>1</v>
      </c>
      <c r="DB17">
        <f t="shared" si="0"/>
        <v>73410.53</v>
      </c>
      <c r="DC17">
        <f t="shared" si="1"/>
        <v>0</v>
      </c>
    </row>
    <row r="18" spans="1:107" x14ac:dyDescent="0.2">
      <c r="A18">
        <f>ROW(Source!A31)</f>
        <v>31</v>
      </c>
      <c r="B18">
        <v>50121127</v>
      </c>
      <c r="C18">
        <v>50121233</v>
      </c>
      <c r="D18">
        <v>121548</v>
      </c>
      <c r="E18">
        <v>1</v>
      </c>
      <c r="F18">
        <v>1</v>
      </c>
      <c r="G18">
        <v>1</v>
      </c>
      <c r="H18">
        <v>1</v>
      </c>
      <c r="I18" t="s">
        <v>28</v>
      </c>
      <c r="J18" t="s">
        <v>3</v>
      </c>
      <c r="K18" t="s">
        <v>282</v>
      </c>
      <c r="L18">
        <v>608254</v>
      </c>
      <c r="N18">
        <v>1013</v>
      </c>
      <c r="O18" t="s">
        <v>283</v>
      </c>
      <c r="P18" t="s">
        <v>283</v>
      </c>
      <c r="Q18">
        <v>1</v>
      </c>
      <c r="W18">
        <v>0</v>
      </c>
      <c r="X18">
        <v>-185737400</v>
      </c>
      <c r="Y18">
        <v>1.96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1.96</v>
      </c>
      <c r="AU18" t="s">
        <v>3</v>
      </c>
      <c r="AV18">
        <v>2</v>
      </c>
      <c r="AW18">
        <v>2</v>
      </c>
      <c r="AX18">
        <v>50121245</v>
      </c>
      <c r="AY18">
        <v>1</v>
      </c>
      <c r="AZ18">
        <v>0</v>
      </c>
      <c r="BA18">
        <v>19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Y18*Source!I31</f>
        <v>1.9599999999999999E-2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 x14ac:dyDescent="0.2">
      <c r="A19">
        <f>ROW(Source!A31)</f>
        <v>31</v>
      </c>
      <c r="B19">
        <v>50121127</v>
      </c>
      <c r="C19">
        <v>50121233</v>
      </c>
      <c r="D19">
        <v>29172362</v>
      </c>
      <c r="E19">
        <v>1</v>
      </c>
      <c r="F19">
        <v>1</v>
      </c>
      <c r="G19">
        <v>1</v>
      </c>
      <c r="H19">
        <v>2</v>
      </c>
      <c r="I19" t="s">
        <v>284</v>
      </c>
      <c r="J19" t="s">
        <v>285</v>
      </c>
      <c r="K19" t="s">
        <v>286</v>
      </c>
      <c r="L19">
        <v>1368</v>
      </c>
      <c r="N19">
        <v>1011</v>
      </c>
      <c r="O19" t="s">
        <v>287</v>
      </c>
      <c r="P19" t="s">
        <v>287</v>
      </c>
      <c r="Q19">
        <v>1</v>
      </c>
      <c r="W19">
        <v>0</v>
      </c>
      <c r="X19">
        <v>783836208</v>
      </c>
      <c r="Y19">
        <v>1.96</v>
      </c>
      <c r="AA19">
        <v>0</v>
      </c>
      <c r="AB19">
        <v>1113.56</v>
      </c>
      <c r="AC19">
        <v>449.82</v>
      </c>
      <c r="AD19">
        <v>0</v>
      </c>
      <c r="AE19">
        <v>0</v>
      </c>
      <c r="AF19">
        <v>134.65</v>
      </c>
      <c r="AG19">
        <v>13.5</v>
      </c>
      <c r="AH19">
        <v>0</v>
      </c>
      <c r="AI19">
        <v>1</v>
      </c>
      <c r="AJ19">
        <v>8.27</v>
      </c>
      <c r="AK19">
        <v>33.32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1.96</v>
      </c>
      <c r="AU19" t="s">
        <v>3</v>
      </c>
      <c r="AV19">
        <v>0</v>
      </c>
      <c r="AW19">
        <v>2</v>
      </c>
      <c r="AX19">
        <v>50121246</v>
      </c>
      <c r="AY19">
        <v>1</v>
      </c>
      <c r="AZ19">
        <v>0</v>
      </c>
      <c r="BA19">
        <v>20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Y19*Source!I31</f>
        <v>1.9599999999999999E-2</v>
      </c>
      <c r="CY19">
        <f>AB19</f>
        <v>1113.56</v>
      </c>
      <c r="CZ19">
        <f>AF19</f>
        <v>134.65</v>
      </c>
      <c r="DA19">
        <f>AJ19</f>
        <v>8.27</v>
      </c>
      <c r="DB19">
        <f t="shared" si="0"/>
        <v>263.91000000000003</v>
      </c>
      <c r="DC19">
        <f t="shared" si="1"/>
        <v>26.46</v>
      </c>
    </row>
    <row r="20" spans="1:107" x14ac:dyDescent="0.2">
      <c r="A20">
        <f>ROW(Source!A31)</f>
        <v>31</v>
      </c>
      <c r="B20">
        <v>50121127</v>
      </c>
      <c r="C20">
        <v>50121233</v>
      </c>
      <c r="D20">
        <v>29174913</v>
      </c>
      <c r="E20">
        <v>1</v>
      </c>
      <c r="F20">
        <v>1</v>
      </c>
      <c r="G20">
        <v>1</v>
      </c>
      <c r="H20">
        <v>2</v>
      </c>
      <c r="I20" t="s">
        <v>297</v>
      </c>
      <c r="J20" t="s">
        <v>298</v>
      </c>
      <c r="K20" t="s">
        <v>299</v>
      </c>
      <c r="L20">
        <v>1368</v>
      </c>
      <c r="N20">
        <v>1011</v>
      </c>
      <c r="O20" t="s">
        <v>287</v>
      </c>
      <c r="P20" t="s">
        <v>287</v>
      </c>
      <c r="Q20">
        <v>1</v>
      </c>
      <c r="W20">
        <v>0</v>
      </c>
      <c r="X20">
        <v>1230759911</v>
      </c>
      <c r="Y20">
        <v>1.96</v>
      </c>
      <c r="AA20">
        <v>0</v>
      </c>
      <c r="AB20">
        <v>932.72</v>
      </c>
      <c r="AC20">
        <v>386.51</v>
      </c>
      <c r="AD20">
        <v>0</v>
      </c>
      <c r="AE20">
        <v>0</v>
      </c>
      <c r="AF20">
        <v>87.17</v>
      </c>
      <c r="AG20">
        <v>11.6</v>
      </c>
      <c r="AH20">
        <v>0</v>
      </c>
      <c r="AI20">
        <v>1</v>
      </c>
      <c r="AJ20">
        <v>10.7</v>
      </c>
      <c r="AK20">
        <v>33.32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1.96</v>
      </c>
      <c r="AU20" t="s">
        <v>3</v>
      </c>
      <c r="AV20">
        <v>0</v>
      </c>
      <c r="AW20">
        <v>2</v>
      </c>
      <c r="AX20">
        <v>50121247</v>
      </c>
      <c r="AY20">
        <v>1</v>
      </c>
      <c r="AZ20">
        <v>0</v>
      </c>
      <c r="BA20">
        <v>21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Y20*Source!I31</f>
        <v>1.9599999999999999E-2</v>
      </c>
      <c r="CY20">
        <f>AB20</f>
        <v>932.72</v>
      </c>
      <c r="CZ20">
        <f>AF20</f>
        <v>87.17</v>
      </c>
      <c r="DA20">
        <f>AJ20</f>
        <v>10.7</v>
      </c>
      <c r="DB20">
        <f t="shared" si="0"/>
        <v>170.85</v>
      </c>
      <c r="DC20">
        <f t="shared" si="1"/>
        <v>22.74</v>
      </c>
    </row>
    <row r="21" spans="1:107" x14ac:dyDescent="0.2">
      <c r="A21">
        <f>ROW(Source!A31)</f>
        <v>31</v>
      </c>
      <c r="B21">
        <v>50121127</v>
      </c>
      <c r="C21">
        <v>50121233</v>
      </c>
      <c r="D21">
        <v>29107578</v>
      </c>
      <c r="E21">
        <v>1</v>
      </c>
      <c r="F21">
        <v>1</v>
      </c>
      <c r="G21">
        <v>1</v>
      </c>
      <c r="H21">
        <v>3</v>
      </c>
      <c r="I21" t="s">
        <v>311</v>
      </c>
      <c r="J21" t="s">
        <v>312</v>
      </c>
      <c r="K21" t="s">
        <v>313</v>
      </c>
      <c r="L21">
        <v>1348</v>
      </c>
      <c r="N21">
        <v>1009</v>
      </c>
      <c r="O21" t="s">
        <v>134</v>
      </c>
      <c r="P21" t="s">
        <v>134</v>
      </c>
      <c r="Q21">
        <v>1000</v>
      </c>
      <c r="W21">
        <v>0</v>
      </c>
      <c r="X21">
        <v>-13328980</v>
      </c>
      <c r="Y21">
        <v>8.0000000000000007E-5</v>
      </c>
      <c r="AA21">
        <v>110945.95</v>
      </c>
      <c r="AB21">
        <v>0</v>
      </c>
      <c r="AC21">
        <v>0</v>
      </c>
      <c r="AD21">
        <v>0</v>
      </c>
      <c r="AE21">
        <v>24599.99</v>
      </c>
      <c r="AF21">
        <v>0</v>
      </c>
      <c r="AG21">
        <v>0</v>
      </c>
      <c r="AH21">
        <v>0</v>
      </c>
      <c r="AI21">
        <v>4.51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8.0000000000000007E-5</v>
      </c>
      <c r="AU21" t="s">
        <v>3</v>
      </c>
      <c r="AV21">
        <v>0</v>
      </c>
      <c r="AW21">
        <v>2</v>
      </c>
      <c r="AX21">
        <v>50121248</v>
      </c>
      <c r="AY21">
        <v>1</v>
      </c>
      <c r="AZ21">
        <v>0</v>
      </c>
      <c r="BA21">
        <v>22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Y21*Source!I31</f>
        <v>8.0000000000000007E-7</v>
      </c>
      <c r="CY21">
        <f t="shared" ref="CY21:CY26" si="2">AA21</f>
        <v>110945.95</v>
      </c>
      <c r="CZ21">
        <f t="shared" ref="CZ21:CZ26" si="3">AE21</f>
        <v>24599.99</v>
      </c>
      <c r="DA21">
        <f t="shared" ref="DA21:DA26" si="4">AI21</f>
        <v>4.51</v>
      </c>
      <c r="DB21">
        <f t="shared" si="0"/>
        <v>1.97</v>
      </c>
      <c r="DC21">
        <f t="shared" si="1"/>
        <v>0</v>
      </c>
    </row>
    <row r="22" spans="1:107" x14ac:dyDescent="0.2">
      <c r="A22">
        <f>ROW(Source!A31)</f>
        <v>31</v>
      </c>
      <c r="B22">
        <v>50121127</v>
      </c>
      <c r="C22">
        <v>50121233</v>
      </c>
      <c r="D22">
        <v>29107441</v>
      </c>
      <c r="E22">
        <v>1</v>
      </c>
      <c r="F22">
        <v>1</v>
      </c>
      <c r="G22">
        <v>1</v>
      </c>
      <c r="H22">
        <v>3</v>
      </c>
      <c r="I22" t="s">
        <v>314</v>
      </c>
      <c r="J22" t="s">
        <v>315</v>
      </c>
      <c r="K22" t="s">
        <v>316</v>
      </c>
      <c r="L22">
        <v>1339</v>
      </c>
      <c r="N22">
        <v>1007</v>
      </c>
      <c r="O22" t="s">
        <v>317</v>
      </c>
      <c r="P22" t="s">
        <v>317</v>
      </c>
      <c r="Q22">
        <v>1</v>
      </c>
      <c r="W22">
        <v>0</v>
      </c>
      <c r="X22">
        <v>-756465305</v>
      </c>
      <c r="Y22">
        <v>2.2000000000000002</v>
      </c>
      <c r="AA22">
        <v>75.069999999999993</v>
      </c>
      <c r="AB22">
        <v>0</v>
      </c>
      <c r="AC22">
        <v>0</v>
      </c>
      <c r="AD22">
        <v>0</v>
      </c>
      <c r="AE22">
        <v>6.23</v>
      </c>
      <c r="AF22">
        <v>0</v>
      </c>
      <c r="AG22">
        <v>0</v>
      </c>
      <c r="AH22">
        <v>0</v>
      </c>
      <c r="AI22">
        <v>12.05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2.2000000000000002</v>
      </c>
      <c r="AU22" t="s">
        <v>3</v>
      </c>
      <c r="AV22">
        <v>0</v>
      </c>
      <c r="AW22">
        <v>2</v>
      </c>
      <c r="AX22">
        <v>50121249</v>
      </c>
      <c r="AY22">
        <v>1</v>
      </c>
      <c r="AZ22">
        <v>0</v>
      </c>
      <c r="BA22">
        <v>23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Y22*Source!I31</f>
        <v>2.2000000000000002E-2</v>
      </c>
      <c r="CY22">
        <f t="shared" si="2"/>
        <v>75.069999999999993</v>
      </c>
      <c r="CZ22">
        <f t="shared" si="3"/>
        <v>6.23</v>
      </c>
      <c r="DA22">
        <f t="shared" si="4"/>
        <v>12.05</v>
      </c>
      <c r="DB22">
        <f t="shared" si="0"/>
        <v>13.71</v>
      </c>
      <c r="DC22">
        <f t="shared" si="1"/>
        <v>0</v>
      </c>
    </row>
    <row r="23" spans="1:107" x14ac:dyDescent="0.2">
      <c r="A23">
        <f>ROW(Source!A31)</f>
        <v>31</v>
      </c>
      <c r="B23">
        <v>50121127</v>
      </c>
      <c r="C23">
        <v>50121233</v>
      </c>
      <c r="D23">
        <v>29107430</v>
      </c>
      <c r="E23">
        <v>1</v>
      </c>
      <c r="F23">
        <v>1</v>
      </c>
      <c r="G23">
        <v>1</v>
      </c>
      <c r="H23">
        <v>3</v>
      </c>
      <c r="I23" t="s">
        <v>318</v>
      </c>
      <c r="J23" t="s">
        <v>319</v>
      </c>
      <c r="K23" t="s">
        <v>320</v>
      </c>
      <c r="L23">
        <v>1339</v>
      </c>
      <c r="N23">
        <v>1007</v>
      </c>
      <c r="O23" t="s">
        <v>317</v>
      </c>
      <c r="P23" t="s">
        <v>317</v>
      </c>
      <c r="Q23">
        <v>1</v>
      </c>
      <c r="W23">
        <v>0</v>
      </c>
      <c r="X23">
        <v>-203673795</v>
      </c>
      <c r="Y23">
        <v>1.9</v>
      </c>
      <c r="AA23">
        <v>401.45</v>
      </c>
      <c r="AB23">
        <v>0</v>
      </c>
      <c r="AC23">
        <v>0</v>
      </c>
      <c r="AD23">
        <v>0</v>
      </c>
      <c r="AE23">
        <v>38.49</v>
      </c>
      <c r="AF23">
        <v>0</v>
      </c>
      <c r="AG23">
        <v>0</v>
      </c>
      <c r="AH23">
        <v>0</v>
      </c>
      <c r="AI23">
        <v>10.43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1.9</v>
      </c>
      <c r="AU23" t="s">
        <v>3</v>
      </c>
      <c r="AV23">
        <v>0</v>
      </c>
      <c r="AW23">
        <v>2</v>
      </c>
      <c r="AX23">
        <v>50121250</v>
      </c>
      <c r="AY23">
        <v>1</v>
      </c>
      <c r="AZ23">
        <v>0</v>
      </c>
      <c r="BA23">
        <v>24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Y23*Source!I31</f>
        <v>1.9E-2</v>
      </c>
      <c r="CY23">
        <f t="shared" si="2"/>
        <v>401.45</v>
      </c>
      <c r="CZ23">
        <f t="shared" si="3"/>
        <v>38.49</v>
      </c>
      <c r="DA23">
        <f t="shared" si="4"/>
        <v>10.43</v>
      </c>
      <c r="DB23">
        <f t="shared" si="0"/>
        <v>73.13</v>
      </c>
      <c r="DC23">
        <f t="shared" si="1"/>
        <v>0</v>
      </c>
    </row>
    <row r="24" spans="1:107" x14ac:dyDescent="0.2">
      <c r="A24">
        <f>ROW(Source!A31)</f>
        <v>31</v>
      </c>
      <c r="B24">
        <v>50121127</v>
      </c>
      <c r="C24">
        <v>50121233</v>
      </c>
      <c r="D24">
        <v>29158033</v>
      </c>
      <c r="E24">
        <v>1</v>
      </c>
      <c r="F24">
        <v>1</v>
      </c>
      <c r="G24">
        <v>1</v>
      </c>
      <c r="H24">
        <v>3</v>
      </c>
      <c r="I24" t="s">
        <v>321</v>
      </c>
      <c r="J24" t="s">
        <v>322</v>
      </c>
      <c r="K24" t="s">
        <v>323</v>
      </c>
      <c r="L24">
        <v>1346</v>
      </c>
      <c r="N24">
        <v>1009</v>
      </c>
      <c r="O24" t="s">
        <v>281</v>
      </c>
      <c r="P24" t="s">
        <v>281</v>
      </c>
      <c r="Q24">
        <v>1</v>
      </c>
      <c r="W24">
        <v>0</v>
      </c>
      <c r="X24">
        <v>-1008440403</v>
      </c>
      <c r="Y24">
        <v>0.84</v>
      </c>
      <c r="AA24">
        <v>2125.3000000000002</v>
      </c>
      <c r="AB24">
        <v>0</v>
      </c>
      <c r="AC24">
        <v>0</v>
      </c>
      <c r="AD24">
        <v>0</v>
      </c>
      <c r="AE24">
        <v>59.25</v>
      </c>
      <c r="AF24">
        <v>0</v>
      </c>
      <c r="AG24">
        <v>0</v>
      </c>
      <c r="AH24">
        <v>0</v>
      </c>
      <c r="AI24">
        <v>35.869999999999997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0.84</v>
      </c>
      <c r="AU24" t="s">
        <v>3</v>
      </c>
      <c r="AV24">
        <v>0</v>
      </c>
      <c r="AW24">
        <v>2</v>
      </c>
      <c r="AX24">
        <v>50121251</v>
      </c>
      <c r="AY24">
        <v>1</v>
      </c>
      <c r="AZ24">
        <v>0</v>
      </c>
      <c r="BA24">
        <v>25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Y24*Source!I31</f>
        <v>8.3999999999999995E-3</v>
      </c>
      <c r="CY24">
        <f t="shared" si="2"/>
        <v>2125.3000000000002</v>
      </c>
      <c r="CZ24">
        <f t="shared" si="3"/>
        <v>59.25</v>
      </c>
      <c r="DA24">
        <f t="shared" si="4"/>
        <v>35.869999999999997</v>
      </c>
      <c r="DB24">
        <f t="shared" si="0"/>
        <v>49.77</v>
      </c>
      <c r="DC24">
        <f t="shared" si="1"/>
        <v>0</v>
      </c>
    </row>
    <row r="25" spans="1:107" x14ac:dyDescent="0.2">
      <c r="A25">
        <f>ROW(Source!A31)</f>
        <v>31</v>
      </c>
      <c r="B25">
        <v>50121127</v>
      </c>
      <c r="C25">
        <v>50121233</v>
      </c>
      <c r="D25">
        <v>29171661</v>
      </c>
      <c r="E25">
        <v>1</v>
      </c>
      <c r="F25">
        <v>1</v>
      </c>
      <c r="G25">
        <v>1</v>
      </c>
      <c r="H25">
        <v>3</v>
      </c>
      <c r="I25" t="s">
        <v>278</v>
      </c>
      <c r="J25" t="s">
        <v>279</v>
      </c>
      <c r="K25" t="s">
        <v>280</v>
      </c>
      <c r="L25">
        <v>1346</v>
      </c>
      <c r="N25">
        <v>1009</v>
      </c>
      <c r="O25" t="s">
        <v>281</v>
      </c>
      <c r="P25" t="s">
        <v>281</v>
      </c>
      <c r="Q25">
        <v>1</v>
      </c>
      <c r="W25">
        <v>0</v>
      </c>
      <c r="X25">
        <v>-1811314193</v>
      </c>
      <c r="Y25">
        <v>8.8000000000000007</v>
      </c>
      <c r="AA25">
        <v>116.95</v>
      </c>
      <c r="AB25">
        <v>0</v>
      </c>
      <c r="AC25">
        <v>0</v>
      </c>
      <c r="AD25">
        <v>0</v>
      </c>
      <c r="AE25">
        <v>26.52</v>
      </c>
      <c r="AF25">
        <v>0</v>
      </c>
      <c r="AG25">
        <v>0</v>
      </c>
      <c r="AH25">
        <v>0</v>
      </c>
      <c r="AI25">
        <v>4.41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8.8000000000000007</v>
      </c>
      <c r="AU25" t="s">
        <v>3</v>
      </c>
      <c r="AV25">
        <v>0</v>
      </c>
      <c r="AW25">
        <v>2</v>
      </c>
      <c r="AX25">
        <v>50121252</v>
      </c>
      <c r="AY25">
        <v>1</v>
      </c>
      <c r="AZ25">
        <v>0</v>
      </c>
      <c r="BA25">
        <v>26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Y25*Source!I31</f>
        <v>8.8000000000000009E-2</v>
      </c>
      <c r="CY25">
        <f t="shared" si="2"/>
        <v>116.95</v>
      </c>
      <c r="CZ25">
        <f t="shared" si="3"/>
        <v>26.52</v>
      </c>
      <c r="DA25">
        <f t="shared" si="4"/>
        <v>4.41</v>
      </c>
      <c r="DB25">
        <f t="shared" si="0"/>
        <v>233.38</v>
      </c>
      <c r="DC25">
        <f t="shared" si="1"/>
        <v>0</v>
      </c>
    </row>
    <row r="26" spans="1:107" x14ac:dyDescent="0.2">
      <c r="A26">
        <f>ROW(Source!A31)</f>
        <v>31</v>
      </c>
      <c r="B26">
        <v>50121127</v>
      </c>
      <c r="C26">
        <v>50121233</v>
      </c>
      <c r="D26">
        <v>29171808</v>
      </c>
      <c r="E26">
        <v>1</v>
      </c>
      <c r="F26">
        <v>1</v>
      </c>
      <c r="G26">
        <v>1</v>
      </c>
      <c r="H26">
        <v>3</v>
      </c>
      <c r="I26" t="s">
        <v>272</v>
      </c>
      <c r="J26" t="s">
        <v>273</v>
      </c>
      <c r="K26" t="s">
        <v>274</v>
      </c>
      <c r="L26">
        <v>1374</v>
      </c>
      <c r="N26">
        <v>1013</v>
      </c>
      <c r="O26" t="s">
        <v>275</v>
      </c>
      <c r="P26" t="s">
        <v>275</v>
      </c>
      <c r="Q26">
        <v>1</v>
      </c>
      <c r="W26">
        <v>0</v>
      </c>
      <c r="X26">
        <v>-915781824</v>
      </c>
      <c r="Y26">
        <v>44.06</v>
      </c>
      <c r="AA26">
        <v>1</v>
      </c>
      <c r="AB26">
        <v>0</v>
      </c>
      <c r="AC26">
        <v>0</v>
      </c>
      <c r="AD26">
        <v>0</v>
      </c>
      <c r="AE26">
        <v>1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44.06</v>
      </c>
      <c r="AU26" t="s">
        <v>3</v>
      </c>
      <c r="AV26">
        <v>0</v>
      </c>
      <c r="AW26">
        <v>2</v>
      </c>
      <c r="AX26">
        <v>50121253</v>
      </c>
      <c r="AY26">
        <v>1</v>
      </c>
      <c r="AZ26">
        <v>0</v>
      </c>
      <c r="BA26">
        <v>27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Y26*Source!I31</f>
        <v>0.44060000000000005</v>
      </c>
      <c r="CY26">
        <f t="shared" si="2"/>
        <v>1</v>
      </c>
      <c r="CZ26">
        <f t="shared" si="3"/>
        <v>1</v>
      </c>
      <c r="DA26">
        <f t="shared" si="4"/>
        <v>1</v>
      </c>
      <c r="DB26">
        <f t="shared" si="0"/>
        <v>44.06</v>
      </c>
      <c r="DC26">
        <f t="shared" si="1"/>
        <v>0</v>
      </c>
    </row>
    <row r="27" spans="1:107" x14ac:dyDescent="0.2">
      <c r="A27">
        <f>ROW(Source!A33)</f>
        <v>33</v>
      </c>
      <c r="B27">
        <v>50121127</v>
      </c>
      <c r="C27">
        <v>50121255</v>
      </c>
      <c r="D27">
        <v>29361034</v>
      </c>
      <c r="E27">
        <v>1</v>
      </c>
      <c r="F27">
        <v>1</v>
      </c>
      <c r="G27">
        <v>1</v>
      </c>
      <c r="H27">
        <v>1</v>
      </c>
      <c r="I27" t="s">
        <v>324</v>
      </c>
      <c r="J27" t="s">
        <v>3</v>
      </c>
      <c r="K27" t="s">
        <v>325</v>
      </c>
      <c r="L27">
        <v>1369</v>
      </c>
      <c r="N27">
        <v>1013</v>
      </c>
      <c r="O27" t="s">
        <v>271</v>
      </c>
      <c r="P27" t="s">
        <v>271</v>
      </c>
      <c r="Q27">
        <v>1</v>
      </c>
      <c r="W27">
        <v>0</v>
      </c>
      <c r="X27">
        <v>184923391</v>
      </c>
      <c r="Y27">
        <v>16.16</v>
      </c>
      <c r="AA27">
        <v>0</v>
      </c>
      <c r="AB27">
        <v>0</v>
      </c>
      <c r="AC27">
        <v>0</v>
      </c>
      <c r="AD27">
        <v>313.24</v>
      </c>
      <c r="AE27">
        <v>0</v>
      </c>
      <c r="AF27">
        <v>0</v>
      </c>
      <c r="AG27">
        <v>0</v>
      </c>
      <c r="AH27">
        <v>313.24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16.16</v>
      </c>
      <c r="AU27" t="s">
        <v>3</v>
      </c>
      <c r="AV27">
        <v>1</v>
      </c>
      <c r="AW27">
        <v>2</v>
      </c>
      <c r="AX27">
        <v>50121268</v>
      </c>
      <c r="AY27">
        <v>2</v>
      </c>
      <c r="AZ27">
        <v>131072</v>
      </c>
      <c r="BA27">
        <v>28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Y27*Source!I33</f>
        <v>3.2320000000000002</v>
      </c>
      <c r="CY27">
        <f>AD27</f>
        <v>313.24</v>
      </c>
      <c r="CZ27">
        <f>AH27</f>
        <v>313.24</v>
      </c>
      <c r="DA27">
        <f>AL27</f>
        <v>1</v>
      </c>
      <c r="DB27">
        <f t="shared" si="0"/>
        <v>5061.96</v>
      </c>
      <c r="DC27">
        <f t="shared" si="1"/>
        <v>0</v>
      </c>
    </row>
    <row r="28" spans="1:107" x14ac:dyDescent="0.2">
      <c r="A28">
        <f>ROW(Source!A33)</f>
        <v>33</v>
      </c>
      <c r="B28">
        <v>50121127</v>
      </c>
      <c r="C28">
        <v>50121255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28</v>
      </c>
      <c r="J28" t="s">
        <v>3</v>
      </c>
      <c r="K28" t="s">
        <v>282</v>
      </c>
      <c r="L28">
        <v>608254</v>
      </c>
      <c r="N28">
        <v>1013</v>
      </c>
      <c r="O28" t="s">
        <v>283</v>
      </c>
      <c r="P28" t="s">
        <v>283</v>
      </c>
      <c r="Q28">
        <v>1</v>
      </c>
      <c r="W28">
        <v>0</v>
      </c>
      <c r="X28">
        <v>-185737400</v>
      </c>
      <c r="Y28">
        <v>0.18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0.18</v>
      </c>
      <c r="AU28" t="s">
        <v>3</v>
      </c>
      <c r="AV28">
        <v>2</v>
      </c>
      <c r="AW28">
        <v>2</v>
      </c>
      <c r="AX28">
        <v>50121269</v>
      </c>
      <c r="AY28">
        <v>1</v>
      </c>
      <c r="AZ28">
        <v>0</v>
      </c>
      <c r="BA28">
        <v>29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Y28*Source!I33</f>
        <v>3.5999999999999997E-2</v>
      </c>
      <c r="CY28">
        <f>AD28</f>
        <v>0</v>
      </c>
      <c r="CZ28">
        <f>AH28</f>
        <v>0</v>
      </c>
      <c r="DA28">
        <f>AL28</f>
        <v>1</v>
      </c>
      <c r="DB28">
        <f t="shared" si="0"/>
        <v>0</v>
      </c>
      <c r="DC28">
        <f t="shared" si="1"/>
        <v>0</v>
      </c>
    </row>
    <row r="29" spans="1:107" x14ac:dyDescent="0.2">
      <c r="A29">
        <f>ROW(Source!A33)</f>
        <v>33</v>
      </c>
      <c r="B29">
        <v>50121127</v>
      </c>
      <c r="C29">
        <v>50121255</v>
      </c>
      <c r="D29">
        <v>29172362</v>
      </c>
      <c r="E29">
        <v>1</v>
      </c>
      <c r="F29">
        <v>1</v>
      </c>
      <c r="G29">
        <v>1</v>
      </c>
      <c r="H29">
        <v>2</v>
      </c>
      <c r="I29" t="s">
        <v>284</v>
      </c>
      <c r="J29" t="s">
        <v>285</v>
      </c>
      <c r="K29" t="s">
        <v>286</v>
      </c>
      <c r="L29">
        <v>1368</v>
      </c>
      <c r="N29">
        <v>1011</v>
      </c>
      <c r="O29" t="s">
        <v>287</v>
      </c>
      <c r="P29" t="s">
        <v>287</v>
      </c>
      <c r="Q29">
        <v>1</v>
      </c>
      <c r="W29">
        <v>0</v>
      </c>
      <c r="X29">
        <v>783836208</v>
      </c>
      <c r="Y29">
        <v>0.18</v>
      </c>
      <c r="AA29">
        <v>0</v>
      </c>
      <c r="AB29">
        <v>1113.56</v>
      </c>
      <c r="AC29">
        <v>449.82</v>
      </c>
      <c r="AD29">
        <v>0</v>
      </c>
      <c r="AE29">
        <v>0</v>
      </c>
      <c r="AF29">
        <v>134.65</v>
      </c>
      <c r="AG29">
        <v>13.5</v>
      </c>
      <c r="AH29">
        <v>0</v>
      </c>
      <c r="AI29">
        <v>1</v>
      </c>
      <c r="AJ29">
        <v>8.27</v>
      </c>
      <c r="AK29">
        <v>33.32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0.18</v>
      </c>
      <c r="AU29" t="s">
        <v>3</v>
      </c>
      <c r="AV29">
        <v>0</v>
      </c>
      <c r="AW29">
        <v>2</v>
      </c>
      <c r="AX29">
        <v>50121270</v>
      </c>
      <c r="AY29">
        <v>1</v>
      </c>
      <c r="AZ29">
        <v>0</v>
      </c>
      <c r="BA29">
        <v>30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Y29*Source!I33</f>
        <v>3.5999999999999997E-2</v>
      </c>
      <c r="CY29">
        <f>AB29</f>
        <v>1113.56</v>
      </c>
      <c r="CZ29">
        <f>AF29</f>
        <v>134.65</v>
      </c>
      <c r="DA29">
        <f>AJ29</f>
        <v>8.27</v>
      </c>
      <c r="DB29">
        <f t="shared" si="0"/>
        <v>24.24</v>
      </c>
      <c r="DC29">
        <f t="shared" si="1"/>
        <v>2.4300000000000002</v>
      </c>
    </row>
    <row r="30" spans="1:107" x14ac:dyDescent="0.2">
      <c r="A30">
        <f>ROW(Source!A33)</f>
        <v>33</v>
      </c>
      <c r="B30">
        <v>50121127</v>
      </c>
      <c r="C30">
        <v>50121255</v>
      </c>
      <c r="D30">
        <v>29174913</v>
      </c>
      <c r="E30">
        <v>1</v>
      </c>
      <c r="F30">
        <v>1</v>
      </c>
      <c r="G30">
        <v>1</v>
      </c>
      <c r="H30">
        <v>2</v>
      </c>
      <c r="I30" t="s">
        <v>297</v>
      </c>
      <c r="J30" t="s">
        <v>298</v>
      </c>
      <c r="K30" t="s">
        <v>299</v>
      </c>
      <c r="L30">
        <v>1368</v>
      </c>
      <c r="N30">
        <v>1011</v>
      </c>
      <c r="O30" t="s">
        <v>287</v>
      </c>
      <c r="P30" t="s">
        <v>287</v>
      </c>
      <c r="Q30">
        <v>1</v>
      </c>
      <c r="W30">
        <v>0</v>
      </c>
      <c r="X30">
        <v>1230759911</v>
      </c>
      <c r="Y30">
        <v>0.18</v>
      </c>
      <c r="AA30">
        <v>0</v>
      </c>
      <c r="AB30">
        <v>932.72</v>
      </c>
      <c r="AC30">
        <v>386.51</v>
      </c>
      <c r="AD30">
        <v>0</v>
      </c>
      <c r="AE30">
        <v>0</v>
      </c>
      <c r="AF30">
        <v>87.17</v>
      </c>
      <c r="AG30">
        <v>11.6</v>
      </c>
      <c r="AH30">
        <v>0</v>
      </c>
      <c r="AI30">
        <v>1</v>
      </c>
      <c r="AJ30">
        <v>10.7</v>
      </c>
      <c r="AK30">
        <v>33.32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0.18</v>
      </c>
      <c r="AU30" t="s">
        <v>3</v>
      </c>
      <c r="AV30">
        <v>0</v>
      </c>
      <c r="AW30">
        <v>2</v>
      </c>
      <c r="AX30">
        <v>50121271</v>
      </c>
      <c r="AY30">
        <v>1</v>
      </c>
      <c r="AZ30">
        <v>0</v>
      </c>
      <c r="BA30">
        <v>31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Y30*Source!I33</f>
        <v>3.5999999999999997E-2</v>
      </c>
      <c r="CY30">
        <f>AB30</f>
        <v>932.72</v>
      </c>
      <c r="CZ30">
        <f>AF30</f>
        <v>87.17</v>
      </c>
      <c r="DA30">
        <f>AJ30</f>
        <v>10.7</v>
      </c>
      <c r="DB30">
        <f t="shared" si="0"/>
        <v>15.69</v>
      </c>
      <c r="DC30">
        <f t="shared" si="1"/>
        <v>2.09</v>
      </c>
    </row>
    <row r="31" spans="1:107" x14ac:dyDescent="0.2">
      <c r="A31">
        <f>ROW(Source!A33)</f>
        <v>33</v>
      </c>
      <c r="B31">
        <v>50121127</v>
      </c>
      <c r="C31">
        <v>50121255</v>
      </c>
      <c r="D31">
        <v>29107914</v>
      </c>
      <c r="E31">
        <v>1</v>
      </c>
      <c r="F31">
        <v>1</v>
      </c>
      <c r="G31">
        <v>1</v>
      </c>
      <c r="H31">
        <v>3</v>
      </c>
      <c r="I31" t="s">
        <v>326</v>
      </c>
      <c r="J31" t="s">
        <v>327</v>
      </c>
      <c r="K31" t="s">
        <v>328</v>
      </c>
      <c r="L31">
        <v>1348</v>
      </c>
      <c r="N31">
        <v>1009</v>
      </c>
      <c r="O31" t="s">
        <v>134</v>
      </c>
      <c r="P31" t="s">
        <v>134</v>
      </c>
      <c r="Q31">
        <v>1000</v>
      </c>
      <c r="W31">
        <v>0</v>
      </c>
      <c r="X31">
        <v>1092829432</v>
      </c>
      <c r="Y31">
        <v>3.3E-4</v>
      </c>
      <c r="AA31">
        <v>153450.07999999999</v>
      </c>
      <c r="AB31">
        <v>0</v>
      </c>
      <c r="AC31">
        <v>0</v>
      </c>
      <c r="AD31">
        <v>0</v>
      </c>
      <c r="AE31">
        <v>19800.009999999998</v>
      </c>
      <c r="AF31">
        <v>0</v>
      </c>
      <c r="AG31">
        <v>0</v>
      </c>
      <c r="AH31">
        <v>0</v>
      </c>
      <c r="AI31">
        <v>7.75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3.3E-4</v>
      </c>
      <c r="AU31" t="s">
        <v>3</v>
      </c>
      <c r="AV31">
        <v>0</v>
      </c>
      <c r="AW31">
        <v>2</v>
      </c>
      <c r="AX31">
        <v>50121272</v>
      </c>
      <c r="AY31">
        <v>1</v>
      </c>
      <c r="AZ31">
        <v>0</v>
      </c>
      <c r="BA31">
        <v>32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Y31*Source!I33</f>
        <v>6.6000000000000005E-5</v>
      </c>
      <c r="CY31">
        <f t="shared" ref="CY31:CY38" si="5">AA31</f>
        <v>153450.07999999999</v>
      </c>
      <c r="CZ31">
        <f t="shared" ref="CZ31:CZ38" si="6">AE31</f>
        <v>19800.009999999998</v>
      </c>
      <c r="DA31">
        <f t="shared" ref="DA31:DA38" si="7">AI31</f>
        <v>7.75</v>
      </c>
      <c r="DB31">
        <f t="shared" si="0"/>
        <v>6.53</v>
      </c>
      <c r="DC31">
        <f t="shared" si="1"/>
        <v>0</v>
      </c>
    </row>
    <row r="32" spans="1:107" x14ac:dyDescent="0.2">
      <c r="A32">
        <f>ROW(Source!A33)</f>
        <v>33</v>
      </c>
      <c r="B32">
        <v>50121127</v>
      </c>
      <c r="C32">
        <v>50121255</v>
      </c>
      <c r="D32">
        <v>29111245</v>
      </c>
      <c r="E32">
        <v>1</v>
      </c>
      <c r="F32">
        <v>1</v>
      </c>
      <c r="G32">
        <v>1</v>
      </c>
      <c r="H32">
        <v>3</v>
      </c>
      <c r="I32" t="s">
        <v>329</v>
      </c>
      <c r="J32" t="s">
        <v>330</v>
      </c>
      <c r="K32" t="s">
        <v>331</v>
      </c>
      <c r="L32">
        <v>1348</v>
      </c>
      <c r="N32">
        <v>1009</v>
      </c>
      <c r="O32" t="s">
        <v>134</v>
      </c>
      <c r="P32" t="s">
        <v>134</v>
      </c>
      <c r="Q32">
        <v>1000</v>
      </c>
      <c r="W32">
        <v>0</v>
      </c>
      <c r="X32">
        <v>1876115990</v>
      </c>
      <c r="Y32">
        <v>1.4E-3</v>
      </c>
      <c r="AA32">
        <v>34372.89</v>
      </c>
      <c r="AB32">
        <v>0</v>
      </c>
      <c r="AC32">
        <v>0</v>
      </c>
      <c r="AD32">
        <v>0</v>
      </c>
      <c r="AE32">
        <v>3960.01</v>
      </c>
      <c r="AF32">
        <v>0</v>
      </c>
      <c r="AG32">
        <v>0</v>
      </c>
      <c r="AH32">
        <v>0</v>
      </c>
      <c r="AI32">
        <v>8.68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1.4E-3</v>
      </c>
      <c r="AU32" t="s">
        <v>3</v>
      </c>
      <c r="AV32">
        <v>0</v>
      </c>
      <c r="AW32">
        <v>2</v>
      </c>
      <c r="AX32">
        <v>50121273</v>
      </c>
      <c r="AY32">
        <v>1</v>
      </c>
      <c r="AZ32">
        <v>0</v>
      </c>
      <c r="BA32">
        <v>33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Y32*Source!I33</f>
        <v>2.8000000000000003E-4</v>
      </c>
      <c r="CY32">
        <f t="shared" si="5"/>
        <v>34372.89</v>
      </c>
      <c r="CZ32">
        <f t="shared" si="6"/>
        <v>3960.01</v>
      </c>
      <c r="DA32">
        <f t="shared" si="7"/>
        <v>8.68</v>
      </c>
      <c r="DB32">
        <f t="shared" si="0"/>
        <v>5.54</v>
      </c>
      <c r="DC32">
        <f t="shared" si="1"/>
        <v>0</v>
      </c>
    </row>
    <row r="33" spans="1:107" x14ac:dyDescent="0.2">
      <c r="A33">
        <f>ROW(Source!A33)</f>
        <v>33</v>
      </c>
      <c r="B33">
        <v>50121127</v>
      </c>
      <c r="C33">
        <v>50121255</v>
      </c>
      <c r="D33">
        <v>29108269</v>
      </c>
      <c r="E33">
        <v>1</v>
      </c>
      <c r="F33">
        <v>1</v>
      </c>
      <c r="G33">
        <v>1</v>
      </c>
      <c r="H33">
        <v>3</v>
      </c>
      <c r="I33" t="s">
        <v>332</v>
      </c>
      <c r="J33" t="s">
        <v>333</v>
      </c>
      <c r="K33" t="s">
        <v>334</v>
      </c>
      <c r="L33">
        <v>1348</v>
      </c>
      <c r="N33">
        <v>1009</v>
      </c>
      <c r="O33" t="s">
        <v>134</v>
      </c>
      <c r="P33" t="s">
        <v>134</v>
      </c>
      <c r="Q33">
        <v>1000</v>
      </c>
      <c r="W33">
        <v>0</v>
      </c>
      <c r="X33">
        <v>-834843177</v>
      </c>
      <c r="Y33">
        <v>2.9999999999999997E-4</v>
      </c>
      <c r="AA33">
        <v>17435.7</v>
      </c>
      <c r="AB33">
        <v>0</v>
      </c>
      <c r="AC33">
        <v>0</v>
      </c>
      <c r="AD33">
        <v>0</v>
      </c>
      <c r="AE33">
        <v>1820.01</v>
      </c>
      <c r="AF33">
        <v>0</v>
      </c>
      <c r="AG33">
        <v>0</v>
      </c>
      <c r="AH33">
        <v>0</v>
      </c>
      <c r="AI33">
        <v>9.58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2.9999999999999997E-4</v>
      </c>
      <c r="AU33" t="s">
        <v>3</v>
      </c>
      <c r="AV33">
        <v>0</v>
      </c>
      <c r="AW33">
        <v>2</v>
      </c>
      <c r="AX33">
        <v>50121274</v>
      </c>
      <c r="AY33">
        <v>1</v>
      </c>
      <c r="AZ33">
        <v>0</v>
      </c>
      <c r="BA33">
        <v>34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Y33*Source!I33</f>
        <v>5.9999999999999995E-5</v>
      </c>
      <c r="CY33">
        <f t="shared" si="5"/>
        <v>17435.7</v>
      </c>
      <c r="CZ33">
        <f t="shared" si="6"/>
        <v>1820.01</v>
      </c>
      <c r="DA33">
        <f t="shared" si="7"/>
        <v>9.58</v>
      </c>
      <c r="DB33">
        <f t="shared" ref="DB33:DB68" si="8">ROUND(ROUND(AT33*CZ33,2),6)</f>
        <v>0.55000000000000004</v>
      </c>
      <c r="DC33">
        <f t="shared" ref="DC33:DC68" si="9">ROUND(ROUND(AT33*AG33,2),6)</f>
        <v>0</v>
      </c>
    </row>
    <row r="34" spans="1:107" x14ac:dyDescent="0.2">
      <c r="A34">
        <f>ROW(Source!A33)</f>
        <v>33</v>
      </c>
      <c r="B34">
        <v>50121127</v>
      </c>
      <c r="C34">
        <v>50121255</v>
      </c>
      <c r="D34">
        <v>29110426</v>
      </c>
      <c r="E34">
        <v>1</v>
      </c>
      <c r="F34">
        <v>1</v>
      </c>
      <c r="G34">
        <v>1</v>
      </c>
      <c r="H34">
        <v>3</v>
      </c>
      <c r="I34" t="s">
        <v>306</v>
      </c>
      <c r="J34" t="s">
        <v>307</v>
      </c>
      <c r="K34" t="s">
        <v>308</v>
      </c>
      <c r="L34">
        <v>1346</v>
      </c>
      <c r="N34">
        <v>1009</v>
      </c>
      <c r="O34" t="s">
        <v>281</v>
      </c>
      <c r="P34" t="s">
        <v>281</v>
      </c>
      <c r="Q34">
        <v>1</v>
      </c>
      <c r="W34">
        <v>0</v>
      </c>
      <c r="X34">
        <v>-1768004575</v>
      </c>
      <c r="Y34">
        <v>0.04</v>
      </c>
      <c r="AA34">
        <v>63.36</v>
      </c>
      <c r="AB34">
        <v>0</v>
      </c>
      <c r="AC34">
        <v>0</v>
      </c>
      <c r="AD34">
        <v>0</v>
      </c>
      <c r="AE34">
        <v>28.67</v>
      </c>
      <c r="AF34">
        <v>0</v>
      </c>
      <c r="AG34">
        <v>0</v>
      </c>
      <c r="AH34">
        <v>0</v>
      </c>
      <c r="AI34">
        <v>2.21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0.04</v>
      </c>
      <c r="AU34" t="s">
        <v>3</v>
      </c>
      <c r="AV34">
        <v>0</v>
      </c>
      <c r="AW34">
        <v>2</v>
      </c>
      <c r="AX34">
        <v>50121275</v>
      </c>
      <c r="AY34">
        <v>1</v>
      </c>
      <c r="AZ34">
        <v>0</v>
      </c>
      <c r="BA34">
        <v>35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Y34*Source!I33</f>
        <v>8.0000000000000002E-3</v>
      </c>
      <c r="CY34">
        <f t="shared" si="5"/>
        <v>63.36</v>
      </c>
      <c r="CZ34">
        <f t="shared" si="6"/>
        <v>28.67</v>
      </c>
      <c r="DA34">
        <f t="shared" si="7"/>
        <v>2.21</v>
      </c>
      <c r="DB34">
        <f t="shared" si="8"/>
        <v>1.1499999999999999</v>
      </c>
      <c r="DC34">
        <f t="shared" si="9"/>
        <v>0</v>
      </c>
    </row>
    <row r="35" spans="1:107" x14ac:dyDescent="0.2">
      <c r="A35">
        <f>ROW(Source!A33)</f>
        <v>33</v>
      </c>
      <c r="B35">
        <v>50121127</v>
      </c>
      <c r="C35">
        <v>50121255</v>
      </c>
      <c r="D35">
        <v>29110838</v>
      </c>
      <c r="E35">
        <v>1</v>
      </c>
      <c r="F35">
        <v>1</v>
      </c>
      <c r="G35">
        <v>1</v>
      </c>
      <c r="H35">
        <v>3</v>
      </c>
      <c r="I35" t="s">
        <v>335</v>
      </c>
      <c r="J35" t="s">
        <v>336</v>
      </c>
      <c r="K35" t="s">
        <v>337</v>
      </c>
      <c r="L35">
        <v>1346</v>
      </c>
      <c r="N35">
        <v>1009</v>
      </c>
      <c r="O35" t="s">
        <v>281</v>
      </c>
      <c r="P35" t="s">
        <v>281</v>
      </c>
      <c r="Q35">
        <v>1</v>
      </c>
      <c r="W35">
        <v>0</v>
      </c>
      <c r="X35">
        <v>-1294780295</v>
      </c>
      <c r="Y35">
        <v>0.16</v>
      </c>
      <c r="AA35">
        <v>100.04</v>
      </c>
      <c r="AB35">
        <v>0</v>
      </c>
      <c r="AC35">
        <v>0</v>
      </c>
      <c r="AD35">
        <v>0</v>
      </c>
      <c r="AE35">
        <v>30.5</v>
      </c>
      <c r="AF35">
        <v>0</v>
      </c>
      <c r="AG35">
        <v>0</v>
      </c>
      <c r="AH35">
        <v>0</v>
      </c>
      <c r="AI35">
        <v>3.28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0.16</v>
      </c>
      <c r="AU35" t="s">
        <v>3</v>
      </c>
      <c r="AV35">
        <v>0</v>
      </c>
      <c r="AW35">
        <v>2</v>
      </c>
      <c r="AX35">
        <v>50121276</v>
      </c>
      <c r="AY35">
        <v>1</v>
      </c>
      <c r="AZ35">
        <v>0</v>
      </c>
      <c r="BA35">
        <v>36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Y35*Source!I33</f>
        <v>3.2000000000000001E-2</v>
      </c>
      <c r="CY35">
        <f t="shared" si="5"/>
        <v>100.04</v>
      </c>
      <c r="CZ35">
        <f t="shared" si="6"/>
        <v>30.5</v>
      </c>
      <c r="DA35">
        <f t="shared" si="7"/>
        <v>3.28</v>
      </c>
      <c r="DB35">
        <f t="shared" si="8"/>
        <v>4.88</v>
      </c>
      <c r="DC35">
        <f t="shared" si="9"/>
        <v>0</v>
      </c>
    </row>
    <row r="36" spans="1:107" x14ac:dyDescent="0.2">
      <c r="A36">
        <f>ROW(Source!A33)</f>
        <v>33</v>
      </c>
      <c r="B36">
        <v>50121127</v>
      </c>
      <c r="C36">
        <v>50121255</v>
      </c>
      <c r="D36">
        <v>29114470</v>
      </c>
      <c r="E36">
        <v>1</v>
      </c>
      <c r="F36">
        <v>1</v>
      </c>
      <c r="G36">
        <v>1</v>
      </c>
      <c r="H36">
        <v>3</v>
      </c>
      <c r="I36" t="s">
        <v>338</v>
      </c>
      <c r="J36" t="s">
        <v>339</v>
      </c>
      <c r="K36" t="s">
        <v>340</v>
      </c>
      <c r="L36">
        <v>1355</v>
      </c>
      <c r="N36">
        <v>1010</v>
      </c>
      <c r="O36" t="s">
        <v>50</v>
      </c>
      <c r="P36" t="s">
        <v>50</v>
      </c>
      <c r="Q36">
        <v>100</v>
      </c>
      <c r="W36">
        <v>0</v>
      </c>
      <c r="X36">
        <v>1627582661</v>
      </c>
      <c r="Y36">
        <v>0.32</v>
      </c>
      <c r="AA36">
        <v>55.19</v>
      </c>
      <c r="AB36">
        <v>0</v>
      </c>
      <c r="AC36">
        <v>0</v>
      </c>
      <c r="AD36">
        <v>0</v>
      </c>
      <c r="AE36">
        <v>86.24</v>
      </c>
      <c r="AF36">
        <v>0</v>
      </c>
      <c r="AG36">
        <v>0</v>
      </c>
      <c r="AH36">
        <v>0</v>
      </c>
      <c r="AI36">
        <v>0.64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0.32</v>
      </c>
      <c r="AU36" t="s">
        <v>3</v>
      </c>
      <c r="AV36">
        <v>0</v>
      </c>
      <c r="AW36">
        <v>2</v>
      </c>
      <c r="AX36">
        <v>50121277</v>
      </c>
      <c r="AY36">
        <v>1</v>
      </c>
      <c r="AZ36">
        <v>0</v>
      </c>
      <c r="BA36">
        <v>37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Y36*Source!I33</f>
        <v>6.4000000000000001E-2</v>
      </c>
      <c r="CY36">
        <f t="shared" si="5"/>
        <v>55.19</v>
      </c>
      <c r="CZ36">
        <f t="shared" si="6"/>
        <v>86.24</v>
      </c>
      <c r="DA36">
        <f t="shared" si="7"/>
        <v>0.64</v>
      </c>
      <c r="DB36">
        <f t="shared" si="8"/>
        <v>27.6</v>
      </c>
      <c r="DC36">
        <f t="shared" si="9"/>
        <v>0</v>
      </c>
    </row>
    <row r="37" spans="1:107" x14ac:dyDescent="0.2">
      <c r="A37">
        <f>ROW(Source!A33)</f>
        <v>33</v>
      </c>
      <c r="B37">
        <v>50121127</v>
      </c>
      <c r="C37">
        <v>50121255</v>
      </c>
      <c r="D37">
        <v>29149204</v>
      </c>
      <c r="E37">
        <v>1</v>
      </c>
      <c r="F37">
        <v>1</v>
      </c>
      <c r="G37">
        <v>1</v>
      </c>
      <c r="H37">
        <v>3</v>
      </c>
      <c r="I37" t="s">
        <v>341</v>
      </c>
      <c r="J37" t="s">
        <v>342</v>
      </c>
      <c r="K37" t="s">
        <v>343</v>
      </c>
      <c r="L37">
        <v>1348</v>
      </c>
      <c r="N37">
        <v>1009</v>
      </c>
      <c r="O37" t="s">
        <v>134</v>
      </c>
      <c r="P37" t="s">
        <v>134</v>
      </c>
      <c r="Q37">
        <v>1000</v>
      </c>
      <c r="W37">
        <v>0</v>
      </c>
      <c r="X37">
        <v>-601557392</v>
      </c>
      <c r="Y37">
        <v>2.1000000000000001E-2</v>
      </c>
      <c r="AA37">
        <v>4978.46</v>
      </c>
      <c r="AB37">
        <v>0</v>
      </c>
      <c r="AC37">
        <v>0</v>
      </c>
      <c r="AD37">
        <v>0</v>
      </c>
      <c r="AE37">
        <v>729.98</v>
      </c>
      <c r="AF37">
        <v>0</v>
      </c>
      <c r="AG37">
        <v>0</v>
      </c>
      <c r="AH37">
        <v>0</v>
      </c>
      <c r="AI37">
        <v>6.82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2.1000000000000001E-2</v>
      </c>
      <c r="AU37" t="s">
        <v>3</v>
      </c>
      <c r="AV37">
        <v>0</v>
      </c>
      <c r="AW37">
        <v>2</v>
      </c>
      <c r="AX37">
        <v>50121278</v>
      </c>
      <c r="AY37">
        <v>1</v>
      </c>
      <c r="AZ37">
        <v>0</v>
      </c>
      <c r="BA37">
        <v>38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Y37*Source!I33</f>
        <v>4.2000000000000006E-3</v>
      </c>
      <c r="CY37">
        <f t="shared" si="5"/>
        <v>4978.46</v>
      </c>
      <c r="CZ37">
        <f t="shared" si="6"/>
        <v>729.98</v>
      </c>
      <c r="DA37">
        <f t="shared" si="7"/>
        <v>6.82</v>
      </c>
      <c r="DB37">
        <f t="shared" si="8"/>
        <v>15.33</v>
      </c>
      <c r="DC37">
        <f t="shared" si="9"/>
        <v>0</v>
      </c>
    </row>
    <row r="38" spans="1:107" x14ac:dyDescent="0.2">
      <c r="A38">
        <f>ROW(Source!A33)</f>
        <v>33</v>
      </c>
      <c r="B38">
        <v>50121127</v>
      </c>
      <c r="C38">
        <v>50121255</v>
      </c>
      <c r="D38">
        <v>29171808</v>
      </c>
      <c r="E38">
        <v>1</v>
      </c>
      <c r="F38">
        <v>1</v>
      </c>
      <c r="G38">
        <v>1</v>
      </c>
      <c r="H38">
        <v>3</v>
      </c>
      <c r="I38" t="s">
        <v>272</v>
      </c>
      <c r="J38" t="s">
        <v>273</v>
      </c>
      <c r="K38" t="s">
        <v>274</v>
      </c>
      <c r="L38">
        <v>1374</v>
      </c>
      <c r="N38">
        <v>1013</v>
      </c>
      <c r="O38" t="s">
        <v>275</v>
      </c>
      <c r="P38" t="s">
        <v>275</v>
      </c>
      <c r="Q38">
        <v>1</v>
      </c>
      <c r="W38">
        <v>0</v>
      </c>
      <c r="X38">
        <v>-915781824</v>
      </c>
      <c r="Y38">
        <v>3.04</v>
      </c>
      <c r="AA38">
        <v>1</v>
      </c>
      <c r="AB38">
        <v>0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3.04</v>
      </c>
      <c r="AU38" t="s">
        <v>3</v>
      </c>
      <c r="AV38">
        <v>0</v>
      </c>
      <c r="AW38">
        <v>2</v>
      </c>
      <c r="AX38">
        <v>50121279</v>
      </c>
      <c r="AY38">
        <v>1</v>
      </c>
      <c r="AZ38">
        <v>0</v>
      </c>
      <c r="BA38">
        <v>39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Y38*Source!I33</f>
        <v>0.6080000000000001</v>
      </c>
      <c r="CY38">
        <f t="shared" si="5"/>
        <v>1</v>
      </c>
      <c r="CZ38">
        <f t="shared" si="6"/>
        <v>1</v>
      </c>
      <c r="DA38">
        <f t="shared" si="7"/>
        <v>1</v>
      </c>
      <c r="DB38">
        <f t="shared" si="8"/>
        <v>3.04</v>
      </c>
      <c r="DC38">
        <f t="shared" si="9"/>
        <v>0</v>
      </c>
    </row>
    <row r="39" spans="1:107" x14ac:dyDescent="0.2">
      <c r="A39">
        <f>ROW(Source!A36)</f>
        <v>36</v>
      </c>
      <c r="B39">
        <v>50121127</v>
      </c>
      <c r="C39">
        <v>50121282</v>
      </c>
      <c r="D39">
        <v>29372988</v>
      </c>
      <c r="E39">
        <v>1</v>
      </c>
      <c r="F39">
        <v>1</v>
      </c>
      <c r="G39">
        <v>1</v>
      </c>
      <c r="H39">
        <v>1</v>
      </c>
      <c r="I39" t="s">
        <v>344</v>
      </c>
      <c r="J39" t="s">
        <v>3</v>
      </c>
      <c r="K39" t="s">
        <v>345</v>
      </c>
      <c r="L39">
        <v>1369</v>
      </c>
      <c r="N39">
        <v>1013</v>
      </c>
      <c r="O39" t="s">
        <v>271</v>
      </c>
      <c r="P39" t="s">
        <v>271</v>
      </c>
      <c r="Q39">
        <v>1</v>
      </c>
      <c r="W39">
        <v>0</v>
      </c>
      <c r="X39">
        <v>-1569667371</v>
      </c>
      <c r="Y39">
        <v>10.1</v>
      </c>
      <c r="AA39">
        <v>0</v>
      </c>
      <c r="AB39">
        <v>0</v>
      </c>
      <c r="AC39">
        <v>0</v>
      </c>
      <c r="AD39">
        <v>369.56</v>
      </c>
      <c r="AE39">
        <v>0</v>
      </c>
      <c r="AF39">
        <v>0</v>
      </c>
      <c r="AG39">
        <v>0</v>
      </c>
      <c r="AH39">
        <v>369.56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10.1</v>
      </c>
      <c r="AU39" t="s">
        <v>3</v>
      </c>
      <c r="AV39">
        <v>1</v>
      </c>
      <c r="AW39">
        <v>2</v>
      </c>
      <c r="AX39">
        <v>50121299</v>
      </c>
      <c r="AY39">
        <v>1</v>
      </c>
      <c r="AZ39">
        <v>0</v>
      </c>
      <c r="BA39">
        <v>40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Y39*Source!I36</f>
        <v>10.1</v>
      </c>
      <c r="CY39">
        <f>AD39</f>
        <v>369.56</v>
      </c>
      <c r="CZ39">
        <f>AH39</f>
        <v>369.56</v>
      </c>
      <c r="DA39">
        <f>AL39</f>
        <v>1</v>
      </c>
      <c r="DB39">
        <f t="shared" si="8"/>
        <v>3732.56</v>
      </c>
      <c r="DC39">
        <f t="shared" si="9"/>
        <v>0</v>
      </c>
    </row>
    <row r="40" spans="1:107" x14ac:dyDescent="0.2">
      <c r="A40">
        <f>ROW(Source!A36)</f>
        <v>36</v>
      </c>
      <c r="B40">
        <v>50121127</v>
      </c>
      <c r="C40">
        <v>50121282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28</v>
      </c>
      <c r="J40" t="s">
        <v>3</v>
      </c>
      <c r="K40" t="s">
        <v>282</v>
      </c>
      <c r="L40">
        <v>608254</v>
      </c>
      <c r="N40">
        <v>1013</v>
      </c>
      <c r="O40" t="s">
        <v>283</v>
      </c>
      <c r="P40" t="s">
        <v>283</v>
      </c>
      <c r="Q40">
        <v>1</v>
      </c>
      <c r="W40">
        <v>0</v>
      </c>
      <c r="X40">
        <v>-185737400</v>
      </c>
      <c r="Y40">
        <v>0.44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0.44</v>
      </c>
      <c r="AU40" t="s">
        <v>3</v>
      </c>
      <c r="AV40">
        <v>2</v>
      </c>
      <c r="AW40">
        <v>2</v>
      </c>
      <c r="AX40">
        <v>50121300</v>
      </c>
      <c r="AY40">
        <v>1</v>
      </c>
      <c r="AZ40">
        <v>0</v>
      </c>
      <c r="BA40">
        <v>41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Y40*Source!I36</f>
        <v>0.44</v>
      </c>
      <c r="CY40">
        <f>AD40</f>
        <v>0</v>
      </c>
      <c r="CZ40">
        <f>AH40</f>
        <v>0</v>
      </c>
      <c r="DA40">
        <f>AL40</f>
        <v>1</v>
      </c>
      <c r="DB40">
        <f t="shared" si="8"/>
        <v>0</v>
      </c>
      <c r="DC40">
        <f t="shared" si="9"/>
        <v>0</v>
      </c>
    </row>
    <row r="41" spans="1:107" x14ac:dyDescent="0.2">
      <c r="A41">
        <f>ROW(Source!A36)</f>
        <v>36</v>
      </c>
      <c r="B41">
        <v>50121127</v>
      </c>
      <c r="C41">
        <v>50121282</v>
      </c>
      <c r="D41">
        <v>29172479</v>
      </c>
      <c r="E41">
        <v>1</v>
      </c>
      <c r="F41">
        <v>1</v>
      </c>
      <c r="G41">
        <v>1</v>
      </c>
      <c r="H41">
        <v>2</v>
      </c>
      <c r="I41" t="s">
        <v>346</v>
      </c>
      <c r="J41" t="s">
        <v>347</v>
      </c>
      <c r="K41" t="s">
        <v>348</v>
      </c>
      <c r="L41">
        <v>1368</v>
      </c>
      <c r="N41">
        <v>1011</v>
      </c>
      <c r="O41" t="s">
        <v>287</v>
      </c>
      <c r="P41" t="s">
        <v>287</v>
      </c>
      <c r="Q41">
        <v>1</v>
      </c>
      <c r="W41">
        <v>0</v>
      </c>
      <c r="X41">
        <v>1549832887</v>
      </c>
      <c r="Y41">
        <v>0.44</v>
      </c>
      <c r="AA41">
        <v>0</v>
      </c>
      <c r="AB41">
        <v>901.01</v>
      </c>
      <c r="AC41">
        <v>335.2</v>
      </c>
      <c r="AD41">
        <v>0</v>
      </c>
      <c r="AE41">
        <v>0</v>
      </c>
      <c r="AF41">
        <v>99.89</v>
      </c>
      <c r="AG41">
        <v>10.06</v>
      </c>
      <c r="AH41">
        <v>0</v>
      </c>
      <c r="AI41">
        <v>1</v>
      </c>
      <c r="AJ41">
        <v>9.02</v>
      </c>
      <c r="AK41">
        <v>33.32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0.44</v>
      </c>
      <c r="AU41" t="s">
        <v>3</v>
      </c>
      <c r="AV41">
        <v>0</v>
      </c>
      <c r="AW41">
        <v>2</v>
      </c>
      <c r="AX41">
        <v>50121301</v>
      </c>
      <c r="AY41">
        <v>1</v>
      </c>
      <c r="AZ41">
        <v>0</v>
      </c>
      <c r="BA41">
        <v>42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Y41*Source!I36</f>
        <v>0.44</v>
      </c>
      <c r="CY41">
        <f>AB41</f>
        <v>901.01</v>
      </c>
      <c r="CZ41">
        <f>AF41</f>
        <v>99.89</v>
      </c>
      <c r="DA41">
        <f>AJ41</f>
        <v>9.02</v>
      </c>
      <c r="DB41">
        <f t="shared" si="8"/>
        <v>43.95</v>
      </c>
      <c r="DC41">
        <f t="shared" si="9"/>
        <v>4.43</v>
      </c>
    </row>
    <row r="42" spans="1:107" x14ac:dyDescent="0.2">
      <c r="A42">
        <f>ROW(Source!A36)</f>
        <v>36</v>
      </c>
      <c r="B42">
        <v>50121127</v>
      </c>
      <c r="C42">
        <v>50121282</v>
      </c>
      <c r="D42">
        <v>29110546</v>
      </c>
      <c r="E42">
        <v>1</v>
      </c>
      <c r="F42">
        <v>1</v>
      </c>
      <c r="G42">
        <v>1</v>
      </c>
      <c r="H42">
        <v>3</v>
      </c>
      <c r="I42" t="s">
        <v>349</v>
      </c>
      <c r="J42" t="s">
        <v>350</v>
      </c>
      <c r="K42" t="s">
        <v>351</v>
      </c>
      <c r="L42">
        <v>1346</v>
      </c>
      <c r="N42">
        <v>1009</v>
      </c>
      <c r="O42" t="s">
        <v>281</v>
      </c>
      <c r="P42" t="s">
        <v>281</v>
      </c>
      <c r="Q42">
        <v>1</v>
      </c>
      <c r="W42">
        <v>0</v>
      </c>
      <c r="X42">
        <v>2102179917</v>
      </c>
      <c r="Y42">
        <v>0.03</v>
      </c>
      <c r="AA42">
        <v>136.46</v>
      </c>
      <c r="AB42">
        <v>0</v>
      </c>
      <c r="AC42">
        <v>0</v>
      </c>
      <c r="AD42">
        <v>0</v>
      </c>
      <c r="AE42">
        <v>35.630000000000003</v>
      </c>
      <c r="AF42">
        <v>0</v>
      </c>
      <c r="AG42">
        <v>0</v>
      </c>
      <c r="AH42">
        <v>0</v>
      </c>
      <c r="AI42">
        <v>3.83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0.03</v>
      </c>
      <c r="AU42" t="s">
        <v>3</v>
      </c>
      <c r="AV42">
        <v>0</v>
      </c>
      <c r="AW42">
        <v>2</v>
      </c>
      <c r="AX42">
        <v>50121302</v>
      </c>
      <c r="AY42">
        <v>1</v>
      </c>
      <c r="AZ42">
        <v>0</v>
      </c>
      <c r="BA42">
        <v>43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Y42*Source!I36</f>
        <v>0.03</v>
      </c>
      <c r="CY42">
        <f t="shared" ref="CY42:CY54" si="10">AA42</f>
        <v>136.46</v>
      </c>
      <c r="CZ42">
        <f t="shared" ref="CZ42:CZ54" si="11">AE42</f>
        <v>35.630000000000003</v>
      </c>
      <c r="DA42">
        <f t="shared" ref="DA42:DA54" si="12">AI42</f>
        <v>3.83</v>
      </c>
      <c r="DB42">
        <f t="shared" si="8"/>
        <v>1.07</v>
      </c>
      <c r="DC42">
        <f t="shared" si="9"/>
        <v>0</v>
      </c>
    </row>
    <row r="43" spans="1:107" x14ac:dyDescent="0.2">
      <c r="A43">
        <f>ROW(Source!A36)</f>
        <v>36</v>
      </c>
      <c r="B43">
        <v>50121127</v>
      </c>
      <c r="C43">
        <v>50121282</v>
      </c>
      <c r="D43">
        <v>29110439</v>
      </c>
      <c r="E43">
        <v>1</v>
      </c>
      <c r="F43">
        <v>1</v>
      </c>
      <c r="G43">
        <v>1</v>
      </c>
      <c r="H43">
        <v>3</v>
      </c>
      <c r="I43" t="s">
        <v>352</v>
      </c>
      <c r="J43" t="s">
        <v>353</v>
      </c>
      <c r="K43" t="s">
        <v>354</v>
      </c>
      <c r="L43">
        <v>1348</v>
      </c>
      <c r="N43">
        <v>1009</v>
      </c>
      <c r="O43" t="s">
        <v>134</v>
      </c>
      <c r="P43" t="s">
        <v>134</v>
      </c>
      <c r="Q43">
        <v>1000</v>
      </c>
      <c r="W43">
        <v>0</v>
      </c>
      <c r="X43">
        <v>-764270001</v>
      </c>
      <c r="Y43">
        <v>2.0000000000000002E-5</v>
      </c>
      <c r="AA43">
        <v>60221.13</v>
      </c>
      <c r="AB43">
        <v>0</v>
      </c>
      <c r="AC43">
        <v>0</v>
      </c>
      <c r="AD43">
        <v>0</v>
      </c>
      <c r="AE43">
        <v>15481.01</v>
      </c>
      <c r="AF43">
        <v>0</v>
      </c>
      <c r="AG43">
        <v>0</v>
      </c>
      <c r="AH43">
        <v>0</v>
      </c>
      <c r="AI43">
        <v>3.89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2.0000000000000002E-5</v>
      </c>
      <c r="AU43" t="s">
        <v>3</v>
      </c>
      <c r="AV43">
        <v>0</v>
      </c>
      <c r="AW43">
        <v>2</v>
      </c>
      <c r="AX43">
        <v>50121303</v>
      </c>
      <c r="AY43">
        <v>1</v>
      </c>
      <c r="AZ43">
        <v>0</v>
      </c>
      <c r="BA43">
        <v>44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Y43*Source!I36</f>
        <v>2.0000000000000002E-5</v>
      </c>
      <c r="CY43">
        <f t="shared" si="10"/>
        <v>60221.13</v>
      </c>
      <c r="CZ43">
        <f t="shared" si="11"/>
        <v>15481.01</v>
      </c>
      <c r="DA43">
        <f t="shared" si="12"/>
        <v>3.89</v>
      </c>
      <c r="DB43">
        <f t="shared" si="8"/>
        <v>0.31</v>
      </c>
      <c r="DC43">
        <f t="shared" si="9"/>
        <v>0</v>
      </c>
    </row>
    <row r="44" spans="1:107" x14ac:dyDescent="0.2">
      <c r="A44">
        <f>ROW(Source!A36)</f>
        <v>36</v>
      </c>
      <c r="B44">
        <v>50121127</v>
      </c>
      <c r="C44">
        <v>50121282</v>
      </c>
      <c r="D44">
        <v>29107468</v>
      </c>
      <c r="E44">
        <v>1</v>
      </c>
      <c r="F44">
        <v>1</v>
      </c>
      <c r="G44">
        <v>1</v>
      </c>
      <c r="H44">
        <v>3</v>
      </c>
      <c r="I44" t="s">
        <v>355</v>
      </c>
      <c r="J44" t="s">
        <v>356</v>
      </c>
      <c r="K44" t="s">
        <v>357</v>
      </c>
      <c r="L44">
        <v>1346</v>
      </c>
      <c r="N44">
        <v>1009</v>
      </c>
      <c r="O44" t="s">
        <v>281</v>
      </c>
      <c r="P44" t="s">
        <v>281</v>
      </c>
      <c r="Q44">
        <v>1</v>
      </c>
      <c r="W44">
        <v>0</v>
      </c>
      <c r="X44">
        <v>-1457260288</v>
      </c>
      <c r="Y44">
        <v>0.01</v>
      </c>
      <c r="AA44">
        <v>204.57</v>
      </c>
      <c r="AB44">
        <v>0</v>
      </c>
      <c r="AC44">
        <v>0</v>
      </c>
      <c r="AD44">
        <v>0</v>
      </c>
      <c r="AE44">
        <v>12.62</v>
      </c>
      <c r="AF44">
        <v>0</v>
      </c>
      <c r="AG44">
        <v>0</v>
      </c>
      <c r="AH44">
        <v>0</v>
      </c>
      <c r="AI44">
        <v>16.21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0.01</v>
      </c>
      <c r="AU44" t="s">
        <v>3</v>
      </c>
      <c r="AV44">
        <v>0</v>
      </c>
      <c r="AW44">
        <v>2</v>
      </c>
      <c r="AX44">
        <v>50121304</v>
      </c>
      <c r="AY44">
        <v>1</v>
      </c>
      <c r="AZ44">
        <v>0</v>
      </c>
      <c r="BA44">
        <v>45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Y44*Source!I36</f>
        <v>0.01</v>
      </c>
      <c r="CY44">
        <f t="shared" si="10"/>
        <v>204.57</v>
      </c>
      <c r="CZ44">
        <f t="shared" si="11"/>
        <v>12.62</v>
      </c>
      <c r="DA44">
        <f t="shared" si="12"/>
        <v>16.21</v>
      </c>
      <c r="DB44">
        <f t="shared" si="8"/>
        <v>0.13</v>
      </c>
      <c r="DC44">
        <f t="shared" si="9"/>
        <v>0</v>
      </c>
    </row>
    <row r="45" spans="1:107" x14ac:dyDescent="0.2">
      <c r="A45">
        <f>ROW(Source!A36)</f>
        <v>36</v>
      </c>
      <c r="B45">
        <v>50121127</v>
      </c>
      <c r="C45">
        <v>50121282</v>
      </c>
      <c r="D45">
        <v>29114246</v>
      </c>
      <c r="E45">
        <v>1</v>
      </c>
      <c r="F45">
        <v>1</v>
      </c>
      <c r="G45">
        <v>1</v>
      </c>
      <c r="H45">
        <v>3</v>
      </c>
      <c r="I45" t="s">
        <v>303</v>
      </c>
      <c r="J45" t="s">
        <v>304</v>
      </c>
      <c r="K45" t="s">
        <v>305</v>
      </c>
      <c r="L45">
        <v>1346</v>
      </c>
      <c r="N45">
        <v>1009</v>
      </c>
      <c r="O45" t="s">
        <v>281</v>
      </c>
      <c r="P45" t="s">
        <v>281</v>
      </c>
      <c r="Q45">
        <v>1</v>
      </c>
      <c r="W45">
        <v>0</v>
      </c>
      <c r="X45">
        <v>30920770</v>
      </c>
      <c r="Y45">
        <v>0.3</v>
      </c>
      <c r="AA45">
        <v>83.08</v>
      </c>
      <c r="AB45">
        <v>0</v>
      </c>
      <c r="AC45">
        <v>0</v>
      </c>
      <c r="AD45">
        <v>0</v>
      </c>
      <c r="AE45">
        <v>9.0399999999999991</v>
      </c>
      <c r="AF45">
        <v>0</v>
      </c>
      <c r="AG45">
        <v>0</v>
      </c>
      <c r="AH45">
        <v>0</v>
      </c>
      <c r="AI45">
        <v>9.19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0.3</v>
      </c>
      <c r="AU45" t="s">
        <v>3</v>
      </c>
      <c r="AV45">
        <v>0</v>
      </c>
      <c r="AW45">
        <v>2</v>
      </c>
      <c r="AX45">
        <v>50121305</v>
      </c>
      <c r="AY45">
        <v>1</v>
      </c>
      <c r="AZ45">
        <v>0</v>
      </c>
      <c r="BA45">
        <v>46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Y45*Source!I36</f>
        <v>0.3</v>
      </c>
      <c r="CY45">
        <f t="shared" si="10"/>
        <v>83.08</v>
      </c>
      <c r="CZ45">
        <f t="shared" si="11"/>
        <v>9.0399999999999991</v>
      </c>
      <c r="DA45">
        <f t="shared" si="12"/>
        <v>9.19</v>
      </c>
      <c r="DB45">
        <f t="shared" si="8"/>
        <v>2.71</v>
      </c>
      <c r="DC45">
        <f t="shared" si="9"/>
        <v>0</v>
      </c>
    </row>
    <row r="46" spans="1:107" x14ac:dyDescent="0.2">
      <c r="A46">
        <f>ROW(Source!A36)</f>
        <v>36</v>
      </c>
      <c r="B46">
        <v>50121127</v>
      </c>
      <c r="C46">
        <v>50121282</v>
      </c>
      <c r="D46">
        <v>29114480</v>
      </c>
      <c r="E46">
        <v>1</v>
      </c>
      <c r="F46">
        <v>1</v>
      </c>
      <c r="G46">
        <v>1</v>
      </c>
      <c r="H46">
        <v>3</v>
      </c>
      <c r="I46" t="s">
        <v>358</v>
      </c>
      <c r="J46" t="s">
        <v>359</v>
      </c>
      <c r="K46" t="s">
        <v>360</v>
      </c>
      <c r="L46">
        <v>1355</v>
      </c>
      <c r="N46">
        <v>1010</v>
      </c>
      <c r="O46" t="s">
        <v>50</v>
      </c>
      <c r="P46" t="s">
        <v>50</v>
      </c>
      <c r="Q46">
        <v>100</v>
      </c>
      <c r="W46">
        <v>0</v>
      </c>
      <c r="X46">
        <v>-1517924343</v>
      </c>
      <c r="Y46">
        <v>0.1</v>
      </c>
      <c r="AA46">
        <v>291.33</v>
      </c>
      <c r="AB46">
        <v>0</v>
      </c>
      <c r="AC46">
        <v>0</v>
      </c>
      <c r="AD46">
        <v>0</v>
      </c>
      <c r="AE46">
        <v>83</v>
      </c>
      <c r="AF46">
        <v>0</v>
      </c>
      <c r="AG46">
        <v>0</v>
      </c>
      <c r="AH46">
        <v>0</v>
      </c>
      <c r="AI46">
        <v>3.51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0.1</v>
      </c>
      <c r="AU46" t="s">
        <v>3</v>
      </c>
      <c r="AV46">
        <v>0</v>
      </c>
      <c r="AW46">
        <v>2</v>
      </c>
      <c r="AX46">
        <v>50121306</v>
      </c>
      <c r="AY46">
        <v>1</v>
      </c>
      <c r="AZ46">
        <v>0</v>
      </c>
      <c r="BA46">
        <v>47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Y46*Source!I36</f>
        <v>0.1</v>
      </c>
      <c r="CY46">
        <f t="shared" si="10"/>
        <v>291.33</v>
      </c>
      <c r="CZ46">
        <f t="shared" si="11"/>
        <v>83</v>
      </c>
      <c r="DA46">
        <f t="shared" si="12"/>
        <v>3.51</v>
      </c>
      <c r="DB46">
        <f t="shared" si="8"/>
        <v>8.3000000000000007</v>
      </c>
      <c r="DC46">
        <f t="shared" si="9"/>
        <v>0</v>
      </c>
    </row>
    <row r="47" spans="1:107" x14ac:dyDescent="0.2">
      <c r="A47">
        <f>ROW(Source!A36)</f>
        <v>36</v>
      </c>
      <c r="B47">
        <v>50121127</v>
      </c>
      <c r="C47">
        <v>50121282</v>
      </c>
      <c r="D47">
        <v>29110831</v>
      </c>
      <c r="E47">
        <v>1</v>
      </c>
      <c r="F47">
        <v>1</v>
      </c>
      <c r="G47">
        <v>1</v>
      </c>
      <c r="H47">
        <v>3</v>
      </c>
      <c r="I47" t="s">
        <v>361</v>
      </c>
      <c r="J47" t="s">
        <v>362</v>
      </c>
      <c r="K47" t="s">
        <v>363</v>
      </c>
      <c r="L47">
        <v>1346</v>
      </c>
      <c r="N47">
        <v>1009</v>
      </c>
      <c r="O47" t="s">
        <v>281</v>
      </c>
      <c r="P47" t="s">
        <v>281</v>
      </c>
      <c r="Q47">
        <v>1</v>
      </c>
      <c r="W47">
        <v>0</v>
      </c>
      <c r="X47">
        <v>986031574</v>
      </c>
      <c r="Y47">
        <v>0.02</v>
      </c>
      <c r="AA47">
        <v>160.66999999999999</v>
      </c>
      <c r="AB47">
        <v>0</v>
      </c>
      <c r="AC47">
        <v>0</v>
      </c>
      <c r="AD47">
        <v>0</v>
      </c>
      <c r="AE47">
        <v>91.29</v>
      </c>
      <c r="AF47">
        <v>0</v>
      </c>
      <c r="AG47">
        <v>0</v>
      </c>
      <c r="AH47">
        <v>0</v>
      </c>
      <c r="AI47">
        <v>1.76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0.02</v>
      </c>
      <c r="AU47" t="s">
        <v>3</v>
      </c>
      <c r="AV47">
        <v>0</v>
      </c>
      <c r="AW47">
        <v>2</v>
      </c>
      <c r="AX47">
        <v>50121307</v>
      </c>
      <c r="AY47">
        <v>1</v>
      </c>
      <c r="AZ47">
        <v>0</v>
      </c>
      <c r="BA47">
        <v>48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Y47*Source!I36</f>
        <v>0.02</v>
      </c>
      <c r="CY47">
        <f t="shared" si="10"/>
        <v>160.66999999999999</v>
      </c>
      <c r="CZ47">
        <f t="shared" si="11"/>
        <v>91.29</v>
      </c>
      <c r="DA47">
        <f t="shared" si="12"/>
        <v>1.76</v>
      </c>
      <c r="DB47">
        <f t="shared" si="8"/>
        <v>1.83</v>
      </c>
      <c r="DC47">
        <f t="shared" si="9"/>
        <v>0</v>
      </c>
    </row>
    <row r="48" spans="1:107" x14ac:dyDescent="0.2">
      <c r="A48">
        <f>ROW(Source!A36)</f>
        <v>36</v>
      </c>
      <c r="B48">
        <v>50121127</v>
      </c>
      <c r="C48">
        <v>50121282</v>
      </c>
      <c r="D48">
        <v>29121587</v>
      </c>
      <c r="E48">
        <v>1</v>
      </c>
      <c r="F48">
        <v>1</v>
      </c>
      <c r="G48">
        <v>1</v>
      </c>
      <c r="H48">
        <v>3</v>
      </c>
      <c r="I48" t="s">
        <v>364</v>
      </c>
      <c r="J48" t="s">
        <v>365</v>
      </c>
      <c r="K48" t="s">
        <v>366</v>
      </c>
      <c r="L48">
        <v>1346</v>
      </c>
      <c r="N48">
        <v>1009</v>
      </c>
      <c r="O48" t="s">
        <v>281</v>
      </c>
      <c r="P48" t="s">
        <v>281</v>
      </c>
      <c r="Q48">
        <v>1</v>
      </c>
      <c r="W48">
        <v>0</v>
      </c>
      <c r="X48">
        <v>-779841283</v>
      </c>
      <c r="Y48">
        <v>0.02</v>
      </c>
      <c r="AA48">
        <v>82.02</v>
      </c>
      <c r="AB48">
        <v>0</v>
      </c>
      <c r="AC48">
        <v>0</v>
      </c>
      <c r="AD48">
        <v>0</v>
      </c>
      <c r="AE48">
        <v>15.36</v>
      </c>
      <c r="AF48">
        <v>0</v>
      </c>
      <c r="AG48">
        <v>0</v>
      </c>
      <c r="AH48">
        <v>0</v>
      </c>
      <c r="AI48">
        <v>5.34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0.02</v>
      </c>
      <c r="AU48" t="s">
        <v>3</v>
      </c>
      <c r="AV48">
        <v>0</v>
      </c>
      <c r="AW48">
        <v>2</v>
      </c>
      <c r="AX48">
        <v>50121308</v>
      </c>
      <c r="AY48">
        <v>1</v>
      </c>
      <c r="AZ48">
        <v>0</v>
      </c>
      <c r="BA48">
        <v>49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Y48*Source!I36</f>
        <v>0.02</v>
      </c>
      <c r="CY48">
        <f t="shared" si="10"/>
        <v>82.02</v>
      </c>
      <c r="CZ48">
        <f t="shared" si="11"/>
        <v>15.36</v>
      </c>
      <c r="DA48">
        <f t="shared" si="12"/>
        <v>5.34</v>
      </c>
      <c r="DB48">
        <f t="shared" si="8"/>
        <v>0.31</v>
      </c>
      <c r="DC48">
        <f t="shared" si="9"/>
        <v>0</v>
      </c>
    </row>
    <row r="49" spans="1:107" x14ac:dyDescent="0.2">
      <c r="A49">
        <f>ROW(Source!A36)</f>
        <v>36</v>
      </c>
      <c r="B49">
        <v>50121127</v>
      </c>
      <c r="C49">
        <v>50121282</v>
      </c>
      <c r="D49">
        <v>29149204</v>
      </c>
      <c r="E49">
        <v>1</v>
      </c>
      <c r="F49">
        <v>1</v>
      </c>
      <c r="G49">
        <v>1</v>
      </c>
      <c r="H49">
        <v>3</v>
      </c>
      <c r="I49" t="s">
        <v>341</v>
      </c>
      <c r="J49" t="s">
        <v>342</v>
      </c>
      <c r="K49" t="s">
        <v>343</v>
      </c>
      <c r="L49">
        <v>1348</v>
      </c>
      <c r="N49">
        <v>1009</v>
      </c>
      <c r="O49" t="s">
        <v>134</v>
      </c>
      <c r="P49" t="s">
        <v>134</v>
      </c>
      <c r="Q49">
        <v>1000</v>
      </c>
      <c r="W49">
        <v>0</v>
      </c>
      <c r="X49">
        <v>-601557392</v>
      </c>
      <c r="Y49">
        <v>2.9999999999999997E-4</v>
      </c>
      <c r="AA49">
        <v>4978.46</v>
      </c>
      <c r="AB49">
        <v>0</v>
      </c>
      <c r="AC49">
        <v>0</v>
      </c>
      <c r="AD49">
        <v>0</v>
      </c>
      <c r="AE49">
        <v>729.98</v>
      </c>
      <c r="AF49">
        <v>0</v>
      </c>
      <c r="AG49">
        <v>0</v>
      </c>
      <c r="AH49">
        <v>0</v>
      </c>
      <c r="AI49">
        <v>6.82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2.9999999999999997E-4</v>
      </c>
      <c r="AU49" t="s">
        <v>3</v>
      </c>
      <c r="AV49">
        <v>0</v>
      </c>
      <c r="AW49">
        <v>2</v>
      </c>
      <c r="AX49">
        <v>50121309</v>
      </c>
      <c r="AY49">
        <v>1</v>
      </c>
      <c r="AZ49">
        <v>0</v>
      </c>
      <c r="BA49">
        <v>50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Y49*Source!I36</f>
        <v>2.9999999999999997E-4</v>
      </c>
      <c r="CY49">
        <f t="shared" si="10"/>
        <v>4978.46</v>
      </c>
      <c r="CZ49">
        <f t="shared" si="11"/>
        <v>729.98</v>
      </c>
      <c r="DA49">
        <f t="shared" si="12"/>
        <v>6.82</v>
      </c>
      <c r="DB49">
        <f t="shared" si="8"/>
        <v>0.22</v>
      </c>
      <c r="DC49">
        <f t="shared" si="9"/>
        <v>0</v>
      </c>
    </row>
    <row r="50" spans="1:107" x14ac:dyDescent="0.2">
      <c r="A50">
        <f>ROW(Source!A36)</f>
        <v>36</v>
      </c>
      <c r="B50">
        <v>50121127</v>
      </c>
      <c r="C50">
        <v>50121282</v>
      </c>
      <c r="D50">
        <v>29157436</v>
      </c>
      <c r="E50">
        <v>1</v>
      </c>
      <c r="F50">
        <v>1</v>
      </c>
      <c r="G50">
        <v>1</v>
      </c>
      <c r="H50">
        <v>3</v>
      </c>
      <c r="I50" t="s">
        <v>367</v>
      </c>
      <c r="J50" t="s">
        <v>368</v>
      </c>
      <c r="K50" t="s">
        <v>369</v>
      </c>
      <c r="L50">
        <v>1348</v>
      </c>
      <c r="N50">
        <v>1009</v>
      </c>
      <c r="O50" t="s">
        <v>134</v>
      </c>
      <c r="P50" t="s">
        <v>134</v>
      </c>
      <c r="Q50">
        <v>1000</v>
      </c>
      <c r="W50">
        <v>0</v>
      </c>
      <c r="X50">
        <v>570325225</v>
      </c>
      <c r="Y50">
        <v>1E-4</v>
      </c>
      <c r="AA50">
        <v>628785.09</v>
      </c>
      <c r="AB50">
        <v>0</v>
      </c>
      <c r="AC50">
        <v>0</v>
      </c>
      <c r="AD50">
        <v>0</v>
      </c>
      <c r="AE50">
        <v>37517.01</v>
      </c>
      <c r="AF50">
        <v>0</v>
      </c>
      <c r="AG50">
        <v>0</v>
      </c>
      <c r="AH50">
        <v>0</v>
      </c>
      <c r="AI50">
        <v>16.760000000000002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1E-4</v>
      </c>
      <c r="AU50" t="s">
        <v>3</v>
      </c>
      <c r="AV50">
        <v>0</v>
      </c>
      <c r="AW50">
        <v>2</v>
      </c>
      <c r="AX50">
        <v>50121310</v>
      </c>
      <c r="AY50">
        <v>1</v>
      </c>
      <c r="AZ50">
        <v>0</v>
      </c>
      <c r="BA50">
        <v>51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Y50*Source!I36</f>
        <v>1E-4</v>
      </c>
      <c r="CY50">
        <f t="shared" si="10"/>
        <v>628785.09</v>
      </c>
      <c r="CZ50">
        <f t="shared" si="11"/>
        <v>37517.01</v>
      </c>
      <c r="DA50">
        <f t="shared" si="12"/>
        <v>16.760000000000002</v>
      </c>
      <c r="DB50">
        <f t="shared" si="8"/>
        <v>3.75</v>
      </c>
      <c r="DC50">
        <f t="shared" si="9"/>
        <v>0</v>
      </c>
    </row>
    <row r="51" spans="1:107" x14ac:dyDescent="0.2">
      <c r="A51">
        <f>ROW(Source!A36)</f>
        <v>36</v>
      </c>
      <c r="B51">
        <v>50121127</v>
      </c>
      <c r="C51">
        <v>50121282</v>
      </c>
      <c r="D51">
        <v>29158010</v>
      </c>
      <c r="E51">
        <v>1</v>
      </c>
      <c r="F51">
        <v>1</v>
      </c>
      <c r="G51">
        <v>1</v>
      </c>
      <c r="H51">
        <v>3</v>
      </c>
      <c r="I51" t="s">
        <v>370</v>
      </c>
      <c r="J51" t="s">
        <v>371</v>
      </c>
      <c r="K51" t="s">
        <v>372</v>
      </c>
      <c r="L51">
        <v>1346</v>
      </c>
      <c r="N51">
        <v>1009</v>
      </c>
      <c r="O51" t="s">
        <v>281</v>
      </c>
      <c r="P51" t="s">
        <v>281</v>
      </c>
      <c r="Q51">
        <v>1</v>
      </c>
      <c r="W51">
        <v>0</v>
      </c>
      <c r="X51">
        <v>-191194106</v>
      </c>
      <c r="Y51">
        <v>0.06</v>
      </c>
      <c r="AA51">
        <v>629.63</v>
      </c>
      <c r="AB51">
        <v>0</v>
      </c>
      <c r="AC51">
        <v>0</v>
      </c>
      <c r="AD51">
        <v>0</v>
      </c>
      <c r="AE51">
        <v>65.930000000000007</v>
      </c>
      <c r="AF51">
        <v>0</v>
      </c>
      <c r="AG51">
        <v>0</v>
      </c>
      <c r="AH51">
        <v>0</v>
      </c>
      <c r="AI51">
        <v>9.5500000000000007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0.06</v>
      </c>
      <c r="AU51" t="s">
        <v>3</v>
      </c>
      <c r="AV51">
        <v>0</v>
      </c>
      <c r="AW51">
        <v>2</v>
      </c>
      <c r="AX51">
        <v>50121311</v>
      </c>
      <c r="AY51">
        <v>1</v>
      </c>
      <c r="AZ51">
        <v>0</v>
      </c>
      <c r="BA51">
        <v>52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Y51*Source!I36</f>
        <v>0.06</v>
      </c>
      <c r="CY51">
        <f t="shared" si="10"/>
        <v>629.63</v>
      </c>
      <c r="CZ51">
        <f t="shared" si="11"/>
        <v>65.930000000000007</v>
      </c>
      <c r="DA51">
        <f t="shared" si="12"/>
        <v>9.5500000000000007</v>
      </c>
      <c r="DB51">
        <f t="shared" si="8"/>
        <v>3.96</v>
      </c>
      <c r="DC51">
        <f t="shared" si="9"/>
        <v>0</v>
      </c>
    </row>
    <row r="52" spans="1:107" x14ac:dyDescent="0.2">
      <c r="A52">
        <f>ROW(Source!A36)</f>
        <v>36</v>
      </c>
      <c r="B52">
        <v>50121127</v>
      </c>
      <c r="C52">
        <v>50121282</v>
      </c>
      <c r="D52">
        <v>29159023</v>
      </c>
      <c r="E52">
        <v>1</v>
      </c>
      <c r="F52">
        <v>1</v>
      </c>
      <c r="G52">
        <v>1</v>
      </c>
      <c r="H52">
        <v>3</v>
      </c>
      <c r="I52" t="s">
        <v>373</v>
      </c>
      <c r="J52" t="s">
        <v>374</v>
      </c>
      <c r="K52" t="s">
        <v>375</v>
      </c>
      <c r="L52">
        <v>1346</v>
      </c>
      <c r="N52">
        <v>1009</v>
      </c>
      <c r="O52" t="s">
        <v>281</v>
      </c>
      <c r="P52" t="s">
        <v>281</v>
      </c>
      <c r="Q52">
        <v>1</v>
      </c>
      <c r="W52">
        <v>0</v>
      </c>
      <c r="X52">
        <v>-541372543</v>
      </c>
      <c r="Y52">
        <v>0.08</v>
      </c>
      <c r="AA52">
        <v>322.60000000000002</v>
      </c>
      <c r="AB52">
        <v>0</v>
      </c>
      <c r="AC52">
        <v>0</v>
      </c>
      <c r="AD52">
        <v>0</v>
      </c>
      <c r="AE52">
        <v>38.450000000000003</v>
      </c>
      <c r="AF52">
        <v>0</v>
      </c>
      <c r="AG52">
        <v>0</v>
      </c>
      <c r="AH52">
        <v>0</v>
      </c>
      <c r="AI52">
        <v>8.39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0.08</v>
      </c>
      <c r="AU52" t="s">
        <v>3</v>
      </c>
      <c r="AV52">
        <v>0</v>
      </c>
      <c r="AW52">
        <v>2</v>
      </c>
      <c r="AX52">
        <v>50121312</v>
      </c>
      <c r="AY52">
        <v>1</v>
      </c>
      <c r="AZ52">
        <v>0</v>
      </c>
      <c r="BA52">
        <v>53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Y52*Source!I36</f>
        <v>0.08</v>
      </c>
      <c r="CY52">
        <f t="shared" si="10"/>
        <v>322.60000000000002</v>
      </c>
      <c r="CZ52">
        <f t="shared" si="11"/>
        <v>38.450000000000003</v>
      </c>
      <c r="DA52">
        <f t="shared" si="12"/>
        <v>8.39</v>
      </c>
      <c r="DB52">
        <f t="shared" si="8"/>
        <v>3.08</v>
      </c>
      <c r="DC52">
        <f t="shared" si="9"/>
        <v>0</v>
      </c>
    </row>
    <row r="53" spans="1:107" x14ac:dyDescent="0.2">
      <c r="A53">
        <f>ROW(Source!A36)</f>
        <v>36</v>
      </c>
      <c r="B53">
        <v>50121127</v>
      </c>
      <c r="C53">
        <v>50121282</v>
      </c>
      <c r="D53">
        <v>29164287</v>
      </c>
      <c r="E53">
        <v>1</v>
      </c>
      <c r="F53">
        <v>1</v>
      </c>
      <c r="G53">
        <v>1</v>
      </c>
      <c r="H53">
        <v>3</v>
      </c>
      <c r="I53" t="s">
        <v>376</v>
      </c>
      <c r="J53" t="s">
        <v>377</v>
      </c>
      <c r="K53" t="s">
        <v>378</v>
      </c>
      <c r="L53">
        <v>1355</v>
      </c>
      <c r="N53">
        <v>1010</v>
      </c>
      <c r="O53" t="s">
        <v>50</v>
      </c>
      <c r="P53" t="s">
        <v>50</v>
      </c>
      <c r="Q53">
        <v>100</v>
      </c>
      <c r="W53">
        <v>0</v>
      </c>
      <c r="X53">
        <v>2041155869</v>
      </c>
      <c r="Y53">
        <v>0.1</v>
      </c>
      <c r="AA53">
        <v>285</v>
      </c>
      <c r="AB53">
        <v>0</v>
      </c>
      <c r="AC53">
        <v>0</v>
      </c>
      <c r="AD53">
        <v>0</v>
      </c>
      <c r="AE53">
        <v>60</v>
      </c>
      <c r="AF53">
        <v>0</v>
      </c>
      <c r="AG53">
        <v>0</v>
      </c>
      <c r="AH53">
        <v>0</v>
      </c>
      <c r="AI53">
        <v>4.75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0.1</v>
      </c>
      <c r="AU53" t="s">
        <v>3</v>
      </c>
      <c r="AV53">
        <v>0</v>
      </c>
      <c r="AW53">
        <v>2</v>
      </c>
      <c r="AX53">
        <v>50121313</v>
      </c>
      <c r="AY53">
        <v>1</v>
      </c>
      <c r="AZ53">
        <v>0</v>
      </c>
      <c r="BA53">
        <v>54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Y53*Source!I36</f>
        <v>0.1</v>
      </c>
      <c r="CY53">
        <f t="shared" si="10"/>
        <v>285</v>
      </c>
      <c r="CZ53">
        <f t="shared" si="11"/>
        <v>60</v>
      </c>
      <c r="DA53">
        <f t="shared" si="12"/>
        <v>4.75</v>
      </c>
      <c r="DB53">
        <f t="shared" si="8"/>
        <v>6</v>
      </c>
      <c r="DC53">
        <f t="shared" si="9"/>
        <v>0</v>
      </c>
    </row>
    <row r="54" spans="1:107" x14ac:dyDescent="0.2">
      <c r="A54">
        <f>ROW(Source!A36)</f>
        <v>36</v>
      </c>
      <c r="B54">
        <v>50121127</v>
      </c>
      <c r="C54">
        <v>50121282</v>
      </c>
      <c r="D54">
        <v>29171808</v>
      </c>
      <c r="E54">
        <v>1</v>
      </c>
      <c r="F54">
        <v>1</v>
      </c>
      <c r="G54">
        <v>1</v>
      </c>
      <c r="H54">
        <v>3</v>
      </c>
      <c r="I54" t="s">
        <v>272</v>
      </c>
      <c r="J54" t="s">
        <v>273</v>
      </c>
      <c r="K54" t="s">
        <v>274</v>
      </c>
      <c r="L54">
        <v>1374</v>
      </c>
      <c r="N54">
        <v>1013</v>
      </c>
      <c r="O54" t="s">
        <v>275</v>
      </c>
      <c r="P54" t="s">
        <v>275</v>
      </c>
      <c r="Q54">
        <v>1</v>
      </c>
      <c r="W54">
        <v>0</v>
      </c>
      <c r="X54">
        <v>-915781824</v>
      </c>
      <c r="Y54">
        <v>2.2400000000000002</v>
      </c>
      <c r="AA54">
        <v>1</v>
      </c>
      <c r="AB54">
        <v>0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2.2400000000000002</v>
      </c>
      <c r="AU54" t="s">
        <v>3</v>
      </c>
      <c r="AV54">
        <v>0</v>
      </c>
      <c r="AW54">
        <v>2</v>
      </c>
      <c r="AX54">
        <v>50121315</v>
      </c>
      <c r="AY54">
        <v>1</v>
      </c>
      <c r="AZ54">
        <v>0</v>
      </c>
      <c r="BA54">
        <v>56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Y54*Source!I36</f>
        <v>2.2400000000000002</v>
      </c>
      <c r="CY54">
        <f t="shared" si="10"/>
        <v>1</v>
      </c>
      <c r="CZ54">
        <f t="shared" si="11"/>
        <v>1</v>
      </c>
      <c r="DA54">
        <f t="shared" si="12"/>
        <v>1</v>
      </c>
      <c r="DB54">
        <f t="shared" si="8"/>
        <v>2.2400000000000002</v>
      </c>
      <c r="DC54">
        <f t="shared" si="9"/>
        <v>0</v>
      </c>
    </row>
    <row r="55" spans="1:107" x14ac:dyDescent="0.2">
      <c r="A55">
        <f>ROW(Source!A38)</f>
        <v>38</v>
      </c>
      <c r="B55">
        <v>50121127</v>
      </c>
      <c r="C55">
        <v>50121317</v>
      </c>
      <c r="D55">
        <v>29362762</v>
      </c>
      <c r="E55">
        <v>1</v>
      </c>
      <c r="F55">
        <v>1</v>
      </c>
      <c r="G55">
        <v>1</v>
      </c>
      <c r="H55">
        <v>1</v>
      </c>
      <c r="I55" t="s">
        <v>309</v>
      </c>
      <c r="J55" t="s">
        <v>3</v>
      </c>
      <c r="K55" t="s">
        <v>310</v>
      </c>
      <c r="L55">
        <v>1369</v>
      </c>
      <c r="N55">
        <v>1013</v>
      </c>
      <c r="O55" t="s">
        <v>271</v>
      </c>
      <c r="P55" t="s">
        <v>271</v>
      </c>
      <c r="Q55">
        <v>1</v>
      </c>
      <c r="W55">
        <v>0</v>
      </c>
      <c r="X55">
        <v>604758886</v>
      </c>
      <c r="Y55">
        <v>88.3</v>
      </c>
      <c r="AA55">
        <v>0</v>
      </c>
      <c r="AB55">
        <v>0</v>
      </c>
      <c r="AC55">
        <v>0</v>
      </c>
      <c r="AD55">
        <v>320.57</v>
      </c>
      <c r="AE55">
        <v>0</v>
      </c>
      <c r="AF55">
        <v>0</v>
      </c>
      <c r="AG55">
        <v>0</v>
      </c>
      <c r="AH55">
        <v>320.57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88.3</v>
      </c>
      <c r="AU55" t="s">
        <v>3</v>
      </c>
      <c r="AV55">
        <v>1</v>
      </c>
      <c r="AW55">
        <v>2</v>
      </c>
      <c r="AX55">
        <v>50121330</v>
      </c>
      <c r="AY55">
        <v>2</v>
      </c>
      <c r="AZ55">
        <v>131072</v>
      </c>
      <c r="BA55">
        <v>57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Y55*Source!I38</f>
        <v>88.3</v>
      </c>
      <c r="CY55">
        <f>AD55</f>
        <v>320.57</v>
      </c>
      <c r="CZ55">
        <f>AH55</f>
        <v>320.57</v>
      </c>
      <c r="DA55">
        <f>AL55</f>
        <v>1</v>
      </c>
      <c r="DB55">
        <f t="shared" si="8"/>
        <v>28306.33</v>
      </c>
      <c r="DC55">
        <f t="shared" si="9"/>
        <v>0</v>
      </c>
    </row>
    <row r="56" spans="1:107" x14ac:dyDescent="0.2">
      <c r="A56">
        <f>ROW(Source!A38)</f>
        <v>38</v>
      </c>
      <c r="B56">
        <v>50121127</v>
      </c>
      <c r="C56">
        <v>50121317</v>
      </c>
      <c r="D56">
        <v>121548</v>
      </c>
      <c r="E56">
        <v>1</v>
      </c>
      <c r="F56">
        <v>1</v>
      </c>
      <c r="G56">
        <v>1</v>
      </c>
      <c r="H56">
        <v>1</v>
      </c>
      <c r="I56" t="s">
        <v>28</v>
      </c>
      <c r="J56" t="s">
        <v>3</v>
      </c>
      <c r="K56" t="s">
        <v>282</v>
      </c>
      <c r="L56">
        <v>608254</v>
      </c>
      <c r="N56">
        <v>1013</v>
      </c>
      <c r="O56" t="s">
        <v>283</v>
      </c>
      <c r="P56" t="s">
        <v>283</v>
      </c>
      <c r="Q56">
        <v>1</v>
      </c>
      <c r="W56">
        <v>0</v>
      </c>
      <c r="X56">
        <v>-185737400</v>
      </c>
      <c r="Y56">
        <v>1.51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1.51</v>
      </c>
      <c r="AU56" t="s">
        <v>3</v>
      </c>
      <c r="AV56">
        <v>2</v>
      </c>
      <c r="AW56">
        <v>2</v>
      </c>
      <c r="AX56">
        <v>50121331</v>
      </c>
      <c r="AY56">
        <v>1</v>
      </c>
      <c r="AZ56">
        <v>0</v>
      </c>
      <c r="BA56">
        <v>58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Y56*Source!I38</f>
        <v>1.51</v>
      </c>
      <c r="CY56">
        <f>AD56</f>
        <v>0</v>
      </c>
      <c r="CZ56">
        <f>AH56</f>
        <v>0</v>
      </c>
      <c r="DA56">
        <f>AL56</f>
        <v>1</v>
      </c>
      <c r="DB56">
        <f t="shared" si="8"/>
        <v>0</v>
      </c>
      <c r="DC56">
        <f t="shared" si="9"/>
        <v>0</v>
      </c>
    </row>
    <row r="57" spans="1:107" x14ac:dyDescent="0.2">
      <c r="A57">
        <f>ROW(Source!A38)</f>
        <v>38</v>
      </c>
      <c r="B57">
        <v>50121127</v>
      </c>
      <c r="C57">
        <v>50121317</v>
      </c>
      <c r="D57">
        <v>29172362</v>
      </c>
      <c r="E57">
        <v>1</v>
      </c>
      <c r="F57">
        <v>1</v>
      </c>
      <c r="G57">
        <v>1</v>
      </c>
      <c r="H57">
        <v>2</v>
      </c>
      <c r="I57" t="s">
        <v>284</v>
      </c>
      <c r="J57" t="s">
        <v>285</v>
      </c>
      <c r="K57" t="s">
        <v>286</v>
      </c>
      <c r="L57">
        <v>1368</v>
      </c>
      <c r="N57">
        <v>1011</v>
      </c>
      <c r="O57" t="s">
        <v>287</v>
      </c>
      <c r="P57" t="s">
        <v>287</v>
      </c>
      <c r="Q57">
        <v>1</v>
      </c>
      <c r="W57">
        <v>0</v>
      </c>
      <c r="X57">
        <v>783836208</v>
      </c>
      <c r="Y57">
        <v>1</v>
      </c>
      <c r="AA57">
        <v>0</v>
      </c>
      <c r="AB57">
        <v>1113.56</v>
      </c>
      <c r="AC57">
        <v>449.82</v>
      </c>
      <c r="AD57">
        <v>0</v>
      </c>
      <c r="AE57">
        <v>0</v>
      </c>
      <c r="AF57">
        <v>134.65</v>
      </c>
      <c r="AG57">
        <v>13.5</v>
      </c>
      <c r="AH57">
        <v>0</v>
      </c>
      <c r="AI57">
        <v>1</v>
      </c>
      <c r="AJ57">
        <v>8.27</v>
      </c>
      <c r="AK57">
        <v>33.32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1</v>
      </c>
      <c r="AU57" t="s">
        <v>3</v>
      </c>
      <c r="AV57">
        <v>0</v>
      </c>
      <c r="AW57">
        <v>2</v>
      </c>
      <c r="AX57">
        <v>50121332</v>
      </c>
      <c r="AY57">
        <v>1</v>
      </c>
      <c r="AZ57">
        <v>0</v>
      </c>
      <c r="BA57">
        <v>59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Y57*Source!I38</f>
        <v>1</v>
      </c>
      <c r="CY57">
        <f>AB57</f>
        <v>1113.56</v>
      </c>
      <c r="CZ57">
        <f>AF57</f>
        <v>134.65</v>
      </c>
      <c r="DA57">
        <f>AJ57</f>
        <v>8.27</v>
      </c>
      <c r="DB57">
        <f t="shared" si="8"/>
        <v>134.65</v>
      </c>
      <c r="DC57">
        <f t="shared" si="9"/>
        <v>13.5</v>
      </c>
    </row>
    <row r="58" spans="1:107" x14ac:dyDescent="0.2">
      <c r="A58">
        <f>ROW(Source!A38)</f>
        <v>38</v>
      </c>
      <c r="B58">
        <v>50121127</v>
      </c>
      <c r="C58">
        <v>50121317</v>
      </c>
      <c r="D58">
        <v>29172515</v>
      </c>
      <c r="E58">
        <v>1</v>
      </c>
      <c r="F58">
        <v>1</v>
      </c>
      <c r="G58">
        <v>1</v>
      </c>
      <c r="H58">
        <v>2</v>
      </c>
      <c r="I58" t="s">
        <v>379</v>
      </c>
      <c r="J58" t="s">
        <v>380</v>
      </c>
      <c r="K58" t="s">
        <v>381</v>
      </c>
      <c r="L58">
        <v>1368</v>
      </c>
      <c r="N58">
        <v>1011</v>
      </c>
      <c r="O58" t="s">
        <v>287</v>
      </c>
      <c r="P58" t="s">
        <v>287</v>
      </c>
      <c r="Q58">
        <v>1</v>
      </c>
      <c r="W58">
        <v>0</v>
      </c>
      <c r="X58">
        <v>-394685413</v>
      </c>
      <c r="Y58">
        <v>3.89</v>
      </c>
      <c r="AA58">
        <v>0</v>
      </c>
      <c r="AB58">
        <v>54.01</v>
      </c>
      <c r="AC58">
        <v>0</v>
      </c>
      <c r="AD58">
        <v>0</v>
      </c>
      <c r="AE58">
        <v>0</v>
      </c>
      <c r="AF58">
        <v>6.66</v>
      </c>
      <c r="AG58">
        <v>0</v>
      </c>
      <c r="AH58">
        <v>0</v>
      </c>
      <c r="AI58">
        <v>1</v>
      </c>
      <c r="AJ58">
        <v>8.11</v>
      </c>
      <c r="AK58">
        <v>33.32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3.89</v>
      </c>
      <c r="AU58" t="s">
        <v>3</v>
      </c>
      <c r="AV58">
        <v>0</v>
      </c>
      <c r="AW58">
        <v>2</v>
      </c>
      <c r="AX58">
        <v>50121333</v>
      </c>
      <c r="AY58">
        <v>1</v>
      </c>
      <c r="AZ58">
        <v>0</v>
      </c>
      <c r="BA58">
        <v>60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Y58*Source!I38</f>
        <v>3.89</v>
      </c>
      <c r="CY58">
        <f>AB58</f>
        <v>54.01</v>
      </c>
      <c r="CZ58">
        <f>AF58</f>
        <v>6.66</v>
      </c>
      <c r="DA58">
        <f>AJ58</f>
        <v>8.11</v>
      </c>
      <c r="DB58">
        <f t="shared" si="8"/>
        <v>25.91</v>
      </c>
      <c r="DC58">
        <f t="shared" si="9"/>
        <v>0</v>
      </c>
    </row>
    <row r="59" spans="1:107" x14ac:dyDescent="0.2">
      <c r="A59">
        <f>ROW(Source!A38)</f>
        <v>38</v>
      </c>
      <c r="B59">
        <v>50121127</v>
      </c>
      <c r="C59">
        <v>50121317</v>
      </c>
      <c r="D59">
        <v>29173622</v>
      </c>
      <c r="E59">
        <v>1</v>
      </c>
      <c r="F59">
        <v>1</v>
      </c>
      <c r="G59">
        <v>1</v>
      </c>
      <c r="H59">
        <v>2</v>
      </c>
      <c r="I59" t="s">
        <v>382</v>
      </c>
      <c r="J59" t="s">
        <v>383</v>
      </c>
      <c r="K59" t="s">
        <v>384</v>
      </c>
      <c r="L59">
        <v>1368</v>
      </c>
      <c r="N59">
        <v>1011</v>
      </c>
      <c r="O59" t="s">
        <v>287</v>
      </c>
      <c r="P59" t="s">
        <v>287</v>
      </c>
      <c r="Q59">
        <v>1</v>
      </c>
      <c r="W59">
        <v>0</v>
      </c>
      <c r="X59">
        <v>2128176724</v>
      </c>
      <c r="Y59">
        <v>0.51</v>
      </c>
      <c r="AA59">
        <v>0</v>
      </c>
      <c r="AB59">
        <v>663.01</v>
      </c>
      <c r="AC59">
        <v>335.2</v>
      </c>
      <c r="AD59">
        <v>0</v>
      </c>
      <c r="AE59">
        <v>0</v>
      </c>
      <c r="AF59">
        <v>91.83</v>
      </c>
      <c r="AG59">
        <v>10.06</v>
      </c>
      <c r="AH59">
        <v>0</v>
      </c>
      <c r="AI59">
        <v>1</v>
      </c>
      <c r="AJ59">
        <v>7.22</v>
      </c>
      <c r="AK59">
        <v>33.32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0.51</v>
      </c>
      <c r="AU59" t="s">
        <v>3</v>
      </c>
      <c r="AV59">
        <v>0</v>
      </c>
      <c r="AW59">
        <v>2</v>
      </c>
      <c r="AX59">
        <v>50121334</v>
      </c>
      <c r="AY59">
        <v>1</v>
      </c>
      <c r="AZ59">
        <v>0</v>
      </c>
      <c r="BA59">
        <v>61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Y59*Source!I38</f>
        <v>0.51</v>
      </c>
      <c r="CY59">
        <f>AB59</f>
        <v>663.01</v>
      </c>
      <c r="CZ59">
        <f>AF59</f>
        <v>91.83</v>
      </c>
      <c r="DA59">
        <f>AJ59</f>
        <v>7.22</v>
      </c>
      <c r="DB59">
        <f t="shared" si="8"/>
        <v>46.83</v>
      </c>
      <c r="DC59">
        <f t="shared" si="9"/>
        <v>5.13</v>
      </c>
    </row>
    <row r="60" spans="1:107" x14ac:dyDescent="0.2">
      <c r="A60">
        <f>ROW(Source!A38)</f>
        <v>38</v>
      </c>
      <c r="B60">
        <v>50121127</v>
      </c>
      <c r="C60">
        <v>50121317</v>
      </c>
      <c r="D60">
        <v>29174913</v>
      </c>
      <c r="E60">
        <v>1</v>
      </c>
      <c r="F60">
        <v>1</v>
      </c>
      <c r="G60">
        <v>1</v>
      </c>
      <c r="H60">
        <v>2</v>
      </c>
      <c r="I60" t="s">
        <v>297</v>
      </c>
      <c r="J60" t="s">
        <v>298</v>
      </c>
      <c r="K60" t="s">
        <v>299</v>
      </c>
      <c r="L60">
        <v>1368</v>
      </c>
      <c r="N60">
        <v>1011</v>
      </c>
      <c r="O60" t="s">
        <v>287</v>
      </c>
      <c r="P60" t="s">
        <v>287</v>
      </c>
      <c r="Q60">
        <v>1</v>
      </c>
      <c r="W60">
        <v>0</v>
      </c>
      <c r="X60">
        <v>1230759911</v>
      </c>
      <c r="Y60">
        <v>1</v>
      </c>
      <c r="AA60">
        <v>0</v>
      </c>
      <c r="AB60">
        <v>932.72</v>
      </c>
      <c r="AC60">
        <v>386.51</v>
      </c>
      <c r="AD60">
        <v>0</v>
      </c>
      <c r="AE60">
        <v>0</v>
      </c>
      <c r="AF60">
        <v>87.17</v>
      </c>
      <c r="AG60">
        <v>11.6</v>
      </c>
      <c r="AH60">
        <v>0</v>
      </c>
      <c r="AI60">
        <v>1</v>
      </c>
      <c r="AJ60">
        <v>10.7</v>
      </c>
      <c r="AK60">
        <v>33.32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1</v>
      </c>
      <c r="AU60" t="s">
        <v>3</v>
      </c>
      <c r="AV60">
        <v>0</v>
      </c>
      <c r="AW60">
        <v>2</v>
      </c>
      <c r="AX60">
        <v>50121335</v>
      </c>
      <c r="AY60">
        <v>1</v>
      </c>
      <c r="AZ60">
        <v>0</v>
      </c>
      <c r="BA60">
        <v>62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Y60*Source!I38</f>
        <v>1</v>
      </c>
      <c r="CY60">
        <f>AB60</f>
        <v>932.72</v>
      </c>
      <c r="CZ60">
        <f>AF60</f>
        <v>87.17</v>
      </c>
      <c r="DA60">
        <f>AJ60</f>
        <v>10.7</v>
      </c>
      <c r="DB60">
        <f t="shared" si="8"/>
        <v>87.17</v>
      </c>
      <c r="DC60">
        <f t="shared" si="9"/>
        <v>11.6</v>
      </c>
    </row>
    <row r="61" spans="1:107" x14ac:dyDescent="0.2">
      <c r="A61">
        <f>ROW(Source!A38)</f>
        <v>38</v>
      </c>
      <c r="B61">
        <v>50121127</v>
      </c>
      <c r="C61">
        <v>50121317</v>
      </c>
      <c r="D61">
        <v>29107578</v>
      </c>
      <c r="E61">
        <v>1</v>
      </c>
      <c r="F61">
        <v>1</v>
      </c>
      <c r="G61">
        <v>1</v>
      </c>
      <c r="H61">
        <v>3</v>
      </c>
      <c r="I61" t="s">
        <v>311</v>
      </c>
      <c r="J61" t="s">
        <v>312</v>
      </c>
      <c r="K61" t="s">
        <v>313</v>
      </c>
      <c r="L61">
        <v>1348</v>
      </c>
      <c r="N61">
        <v>1009</v>
      </c>
      <c r="O61" t="s">
        <v>134</v>
      </c>
      <c r="P61" t="s">
        <v>134</v>
      </c>
      <c r="Q61">
        <v>1000</v>
      </c>
      <c r="W61">
        <v>0</v>
      </c>
      <c r="X61">
        <v>-13328980</v>
      </c>
      <c r="Y61">
        <v>2.0000000000000002E-5</v>
      </c>
      <c r="AA61">
        <v>110945.95</v>
      </c>
      <c r="AB61">
        <v>0</v>
      </c>
      <c r="AC61">
        <v>0</v>
      </c>
      <c r="AD61">
        <v>0</v>
      </c>
      <c r="AE61">
        <v>24599.99</v>
      </c>
      <c r="AF61">
        <v>0</v>
      </c>
      <c r="AG61">
        <v>0</v>
      </c>
      <c r="AH61">
        <v>0</v>
      </c>
      <c r="AI61">
        <v>4.51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2.0000000000000002E-5</v>
      </c>
      <c r="AU61" t="s">
        <v>3</v>
      </c>
      <c r="AV61">
        <v>0</v>
      </c>
      <c r="AW61">
        <v>2</v>
      </c>
      <c r="AX61">
        <v>50121336</v>
      </c>
      <c r="AY61">
        <v>1</v>
      </c>
      <c r="AZ61">
        <v>0</v>
      </c>
      <c r="BA61">
        <v>63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Y61*Source!I38</f>
        <v>2.0000000000000002E-5</v>
      </c>
      <c r="CY61">
        <f t="shared" ref="CY61:CY66" si="13">AA61</f>
        <v>110945.95</v>
      </c>
      <c r="CZ61">
        <f t="shared" ref="CZ61:CZ66" si="14">AE61</f>
        <v>24599.99</v>
      </c>
      <c r="DA61">
        <f t="shared" ref="DA61:DA66" si="15">AI61</f>
        <v>4.51</v>
      </c>
      <c r="DB61">
        <f t="shared" si="8"/>
        <v>0.49</v>
      </c>
      <c r="DC61">
        <f t="shared" si="9"/>
        <v>0</v>
      </c>
    </row>
    <row r="62" spans="1:107" x14ac:dyDescent="0.2">
      <c r="A62">
        <f>ROW(Source!A38)</f>
        <v>38</v>
      </c>
      <c r="B62">
        <v>50121127</v>
      </c>
      <c r="C62">
        <v>50121317</v>
      </c>
      <c r="D62">
        <v>29107441</v>
      </c>
      <c r="E62">
        <v>1</v>
      </c>
      <c r="F62">
        <v>1</v>
      </c>
      <c r="G62">
        <v>1</v>
      </c>
      <c r="H62">
        <v>3</v>
      </c>
      <c r="I62" t="s">
        <v>314</v>
      </c>
      <c r="J62" t="s">
        <v>315</v>
      </c>
      <c r="K62" t="s">
        <v>316</v>
      </c>
      <c r="L62">
        <v>1339</v>
      </c>
      <c r="N62">
        <v>1007</v>
      </c>
      <c r="O62" t="s">
        <v>317</v>
      </c>
      <c r="P62" t="s">
        <v>317</v>
      </c>
      <c r="Q62">
        <v>1</v>
      </c>
      <c r="W62">
        <v>0</v>
      </c>
      <c r="X62">
        <v>-756465305</v>
      </c>
      <c r="Y62">
        <v>0.54</v>
      </c>
      <c r="AA62">
        <v>75.069999999999993</v>
      </c>
      <c r="AB62">
        <v>0</v>
      </c>
      <c r="AC62">
        <v>0</v>
      </c>
      <c r="AD62">
        <v>0</v>
      </c>
      <c r="AE62">
        <v>6.23</v>
      </c>
      <c r="AF62">
        <v>0</v>
      </c>
      <c r="AG62">
        <v>0</v>
      </c>
      <c r="AH62">
        <v>0</v>
      </c>
      <c r="AI62">
        <v>12.05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0.54</v>
      </c>
      <c r="AU62" t="s">
        <v>3</v>
      </c>
      <c r="AV62">
        <v>0</v>
      </c>
      <c r="AW62">
        <v>2</v>
      </c>
      <c r="AX62">
        <v>50121337</v>
      </c>
      <c r="AY62">
        <v>1</v>
      </c>
      <c r="AZ62">
        <v>0</v>
      </c>
      <c r="BA62">
        <v>64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Y62*Source!I38</f>
        <v>0.54</v>
      </c>
      <c r="CY62">
        <f t="shared" si="13"/>
        <v>75.069999999999993</v>
      </c>
      <c r="CZ62">
        <f t="shared" si="14"/>
        <v>6.23</v>
      </c>
      <c r="DA62">
        <f t="shared" si="15"/>
        <v>12.05</v>
      </c>
      <c r="DB62">
        <f t="shared" si="8"/>
        <v>3.36</v>
      </c>
      <c r="DC62">
        <f t="shared" si="9"/>
        <v>0</v>
      </c>
    </row>
    <row r="63" spans="1:107" x14ac:dyDescent="0.2">
      <c r="A63">
        <f>ROW(Source!A38)</f>
        <v>38</v>
      </c>
      <c r="B63">
        <v>50121127</v>
      </c>
      <c r="C63">
        <v>50121317</v>
      </c>
      <c r="D63">
        <v>29107430</v>
      </c>
      <c r="E63">
        <v>1</v>
      </c>
      <c r="F63">
        <v>1</v>
      </c>
      <c r="G63">
        <v>1</v>
      </c>
      <c r="H63">
        <v>3</v>
      </c>
      <c r="I63" t="s">
        <v>318</v>
      </c>
      <c r="J63" t="s">
        <v>319</v>
      </c>
      <c r="K63" t="s">
        <v>320</v>
      </c>
      <c r="L63">
        <v>1339</v>
      </c>
      <c r="N63">
        <v>1007</v>
      </c>
      <c r="O63" t="s">
        <v>317</v>
      </c>
      <c r="P63" t="s">
        <v>317</v>
      </c>
      <c r="Q63">
        <v>1</v>
      </c>
      <c r="W63">
        <v>0</v>
      </c>
      <c r="X63">
        <v>-203673795</v>
      </c>
      <c r="Y63">
        <v>0.47</v>
      </c>
      <c r="AA63">
        <v>401.45</v>
      </c>
      <c r="AB63">
        <v>0</v>
      </c>
      <c r="AC63">
        <v>0</v>
      </c>
      <c r="AD63">
        <v>0</v>
      </c>
      <c r="AE63">
        <v>38.49</v>
      </c>
      <c r="AF63">
        <v>0</v>
      </c>
      <c r="AG63">
        <v>0</v>
      </c>
      <c r="AH63">
        <v>0</v>
      </c>
      <c r="AI63">
        <v>10.43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0.47</v>
      </c>
      <c r="AU63" t="s">
        <v>3</v>
      </c>
      <c r="AV63">
        <v>0</v>
      </c>
      <c r="AW63">
        <v>2</v>
      </c>
      <c r="AX63">
        <v>50121338</v>
      </c>
      <c r="AY63">
        <v>1</v>
      </c>
      <c r="AZ63">
        <v>0</v>
      </c>
      <c r="BA63">
        <v>65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Y63*Source!I38</f>
        <v>0.47</v>
      </c>
      <c r="CY63">
        <f t="shared" si="13"/>
        <v>401.45</v>
      </c>
      <c r="CZ63">
        <f t="shared" si="14"/>
        <v>38.49</v>
      </c>
      <c r="DA63">
        <f t="shared" si="15"/>
        <v>10.43</v>
      </c>
      <c r="DB63">
        <f t="shared" si="8"/>
        <v>18.09</v>
      </c>
      <c r="DC63">
        <f t="shared" si="9"/>
        <v>0</v>
      </c>
    </row>
    <row r="64" spans="1:107" x14ac:dyDescent="0.2">
      <c r="A64">
        <f>ROW(Source!A38)</f>
        <v>38</v>
      </c>
      <c r="B64">
        <v>50121127</v>
      </c>
      <c r="C64">
        <v>50121317</v>
      </c>
      <c r="D64">
        <v>29150041</v>
      </c>
      <c r="E64">
        <v>1</v>
      </c>
      <c r="F64">
        <v>1</v>
      </c>
      <c r="G64">
        <v>1</v>
      </c>
      <c r="H64">
        <v>3</v>
      </c>
      <c r="I64" t="s">
        <v>385</v>
      </c>
      <c r="J64" t="s">
        <v>386</v>
      </c>
      <c r="K64" t="s">
        <v>387</v>
      </c>
      <c r="L64">
        <v>1339</v>
      </c>
      <c r="N64">
        <v>1007</v>
      </c>
      <c r="O64" t="s">
        <v>317</v>
      </c>
      <c r="P64" t="s">
        <v>317</v>
      </c>
      <c r="Q64">
        <v>1</v>
      </c>
      <c r="W64">
        <v>0</v>
      </c>
      <c r="X64">
        <v>102664141</v>
      </c>
      <c r="Y64">
        <v>0.81</v>
      </c>
      <c r="AA64">
        <v>25.75</v>
      </c>
      <c r="AB64">
        <v>0</v>
      </c>
      <c r="AC64">
        <v>0</v>
      </c>
      <c r="AD64">
        <v>0</v>
      </c>
      <c r="AE64">
        <v>3.14</v>
      </c>
      <c r="AF64">
        <v>0</v>
      </c>
      <c r="AG64">
        <v>0</v>
      </c>
      <c r="AH64">
        <v>0</v>
      </c>
      <c r="AI64">
        <v>8.1999999999999993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0.81</v>
      </c>
      <c r="AU64" t="s">
        <v>3</v>
      </c>
      <c r="AV64">
        <v>0</v>
      </c>
      <c r="AW64">
        <v>2</v>
      </c>
      <c r="AX64">
        <v>50121339</v>
      </c>
      <c r="AY64">
        <v>1</v>
      </c>
      <c r="AZ64">
        <v>0</v>
      </c>
      <c r="BA64">
        <v>66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Y64*Source!I38</f>
        <v>0.81</v>
      </c>
      <c r="CY64">
        <f t="shared" si="13"/>
        <v>25.75</v>
      </c>
      <c r="CZ64">
        <f t="shared" si="14"/>
        <v>3.14</v>
      </c>
      <c r="DA64">
        <f t="shared" si="15"/>
        <v>8.1999999999999993</v>
      </c>
      <c r="DB64">
        <f t="shared" si="8"/>
        <v>2.54</v>
      </c>
      <c r="DC64">
        <f t="shared" si="9"/>
        <v>0</v>
      </c>
    </row>
    <row r="65" spans="1:107" x14ac:dyDescent="0.2">
      <c r="A65">
        <f>ROW(Source!A38)</f>
        <v>38</v>
      </c>
      <c r="B65">
        <v>50121127</v>
      </c>
      <c r="C65">
        <v>50121317</v>
      </c>
      <c r="D65">
        <v>29164345</v>
      </c>
      <c r="E65">
        <v>1</v>
      </c>
      <c r="F65">
        <v>1</v>
      </c>
      <c r="G65">
        <v>1</v>
      </c>
      <c r="H65">
        <v>3</v>
      </c>
      <c r="I65" t="s">
        <v>388</v>
      </c>
      <c r="J65" t="s">
        <v>389</v>
      </c>
      <c r="K65" t="s">
        <v>390</v>
      </c>
      <c r="L65">
        <v>1346</v>
      </c>
      <c r="N65">
        <v>1009</v>
      </c>
      <c r="O65" t="s">
        <v>281</v>
      </c>
      <c r="P65" t="s">
        <v>281</v>
      </c>
      <c r="Q65">
        <v>1</v>
      </c>
      <c r="W65">
        <v>0</v>
      </c>
      <c r="X65">
        <v>1174773110</v>
      </c>
      <c r="Y65">
        <v>0.21</v>
      </c>
      <c r="AA65">
        <v>716.41</v>
      </c>
      <c r="AB65">
        <v>0</v>
      </c>
      <c r="AC65">
        <v>0</v>
      </c>
      <c r="AD65">
        <v>0</v>
      </c>
      <c r="AE65">
        <v>86.21</v>
      </c>
      <c r="AF65">
        <v>0</v>
      </c>
      <c r="AG65">
        <v>0</v>
      </c>
      <c r="AH65">
        <v>0</v>
      </c>
      <c r="AI65">
        <v>8.31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0.21</v>
      </c>
      <c r="AU65" t="s">
        <v>3</v>
      </c>
      <c r="AV65">
        <v>0</v>
      </c>
      <c r="AW65">
        <v>2</v>
      </c>
      <c r="AX65">
        <v>50121340</v>
      </c>
      <c r="AY65">
        <v>1</v>
      </c>
      <c r="AZ65">
        <v>0</v>
      </c>
      <c r="BA65">
        <v>67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Y65*Source!I38</f>
        <v>0.21</v>
      </c>
      <c r="CY65">
        <f t="shared" si="13"/>
        <v>716.41</v>
      </c>
      <c r="CZ65">
        <f t="shared" si="14"/>
        <v>86.21</v>
      </c>
      <c r="DA65">
        <f t="shared" si="15"/>
        <v>8.31</v>
      </c>
      <c r="DB65">
        <f t="shared" si="8"/>
        <v>18.100000000000001</v>
      </c>
      <c r="DC65">
        <f t="shared" si="9"/>
        <v>0</v>
      </c>
    </row>
    <row r="66" spans="1:107" x14ac:dyDescent="0.2">
      <c r="A66">
        <f>ROW(Source!A38)</f>
        <v>38</v>
      </c>
      <c r="B66">
        <v>50121127</v>
      </c>
      <c r="C66">
        <v>50121317</v>
      </c>
      <c r="D66">
        <v>29171808</v>
      </c>
      <c r="E66">
        <v>1</v>
      </c>
      <c r="F66">
        <v>1</v>
      </c>
      <c r="G66">
        <v>1</v>
      </c>
      <c r="H66">
        <v>3</v>
      </c>
      <c r="I66" t="s">
        <v>272</v>
      </c>
      <c r="J66" t="s">
        <v>273</v>
      </c>
      <c r="K66" t="s">
        <v>274</v>
      </c>
      <c r="L66">
        <v>1374</v>
      </c>
      <c r="N66">
        <v>1013</v>
      </c>
      <c r="O66" t="s">
        <v>275</v>
      </c>
      <c r="P66" t="s">
        <v>275</v>
      </c>
      <c r="Q66">
        <v>1</v>
      </c>
      <c r="W66">
        <v>0</v>
      </c>
      <c r="X66">
        <v>-915781824</v>
      </c>
      <c r="Y66">
        <v>16.989999999999998</v>
      </c>
      <c r="AA66">
        <v>1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16.989999999999998</v>
      </c>
      <c r="AU66" t="s">
        <v>3</v>
      </c>
      <c r="AV66">
        <v>0</v>
      </c>
      <c r="AW66">
        <v>2</v>
      </c>
      <c r="AX66">
        <v>50121341</v>
      </c>
      <c r="AY66">
        <v>1</v>
      </c>
      <c r="AZ66">
        <v>0</v>
      </c>
      <c r="BA66">
        <v>68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Y66*Source!I38</f>
        <v>16.989999999999998</v>
      </c>
      <c r="CY66">
        <f t="shared" si="13"/>
        <v>1</v>
      </c>
      <c r="CZ66">
        <f t="shared" si="14"/>
        <v>1</v>
      </c>
      <c r="DA66">
        <f t="shared" si="15"/>
        <v>1</v>
      </c>
      <c r="DB66">
        <f t="shared" si="8"/>
        <v>16.989999999999998</v>
      </c>
      <c r="DC66">
        <f t="shared" si="9"/>
        <v>0</v>
      </c>
    </row>
    <row r="67" spans="1:107" x14ac:dyDescent="0.2">
      <c r="A67">
        <f>ROW(Source!A41)</f>
        <v>41</v>
      </c>
      <c r="B67">
        <v>50121127</v>
      </c>
      <c r="C67">
        <v>50121344</v>
      </c>
      <c r="D67">
        <v>18407150</v>
      </c>
      <c r="E67">
        <v>1</v>
      </c>
      <c r="F67">
        <v>1</v>
      </c>
      <c r="G67">
        <v>1</v>
      </c>
      <c r="H67">
        <v>1</v>
      </c>
      <c r="I67" t="s">
        <v>391</v>
      </c>
      <c r="J67" t="s">
        <v>3</v>
      </c>
      <c r="K67" t="s">
        <v>392</v>
      </c>
      <c r="L67">
        <v>1369</v>
      </c>
      <c r="N67">
        <v>1013</v>
      </c>
      <c r="O67" t="s">
        <v>271</v>
      </c>
      <c r="P67" t="s">
        <v>271</v>
      </c>
      <c r="Q67">
        <v>1</v>
      </c>
      <c r="W67">
        <v>0</v>
      </c>
      <c r="X67">
        <v>-931037793</v>
      </c>
      <c r="Y67">
        <v>7.57</v>
      </c>
      <c r="AA67">
        <v>0</v>
      </c>
      <c r="AB67">
        <v>0</v>
      </c>
      <c r="AC67">
        <v>0</v>
      </c>
      <c r="AD67">
        <v>284.25</v>
      </c>
      <c r="AE67">
        <v>0</v>
      </c>
      <c r="AF67">
        <v>0</v>
      </c>
      <c r="AG67">
        <v>0</v>
      </c>
      <c r="AH67">
        <v>284.25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7.57</v>
      </c>
      <c r="AU67" t="s">
        <v>3</v>
      </c>
      <c r="AV67">
        <v>1</v>
      </c>
      <c r="AW67">
        <v>2</v>
      </c>
      <c r="AX67">
        <v>50121347</v>
      </c>
      <c r="AY67">
        <v>2</v>
      </c>
      <c r="AZ67">
        <v>131072</v>
      </c>
      <c r="BA67">
        <v>69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Y67*Source!I41</f>
        <v>0.30280000000000001</v>
      </c>
      <c r="CY67">
        <f>AD67</f>
        <v>284.25</v>
      </c>
      <c r="CZ67">
        <f>AH67</f>
        <v>284.25</v>
      </c>
      <c r="DA67">
        <f>AL67</f>
        <v>1</v>
      </c>
      <c r="DB67">
        <f t="shared" si="8"/>
        <v>2151.77</v>
      </c>
      <c r="DC67">
        <f t="shared" si="9"/>
        <v>0</v>
      </c>
    </row>
    <row r="68" spans="1:107" x14ac:dyDescent="0.2">
      <c r="A68">
        <f>ROW(Source!A41)</f>
        <v>41</v>
      </c>
      <c r="B68">
        <v>50121127</v>
      </c>
      <c r="C68">
        <v>50121344</v>
      </c>
      <c r="D68">
        <v>29174582</v>
      </c>
      <c r="E68">
        <v>1</v>
      </c>
      <c r="F68">
        <v>1</v>
      </c>
      <c r="G68">
        <v>1</v>
      </c>
      <c r="H68">
        <v>2</v>
      </c>
      <c r="I68" t="s">
        <v>393</v>
      </c>
      <c r="J68" t="s">
        <v>394</v>
      </c>
      <c r="K68" t="s">
        <v>395</v>
      </c>
      <c r="L68">
        <v>1368</v>
      </c>
      <c r="N68">
        <v>1011</v>
      </c>
      <c r="O68" t="s">
        <v>287</v>
      </c>
      <c r="P68" t="s">
        <v>287</v>
      </c>
      <c r="Q68">
        <v>1</v>
      </c>
      <c r="W68">
        <v>0</v>
      </c>
      <c r="X68">
        <v>1411183215</v>
      </c>
      <c r="Y68">
        <v>5.91</v>
      </c>
      <c r="AA68">
        <v>0</v>
      </c>
      <c r="AB68">
        <v>32.56</v>
      </c>
      <c r="AC68">
        <v>0</v>
      </c>
      <c r="AD68">
        <v>0</v>
      </c>
      <c r="AE68">
        <v>0</v>
      </c>
      <c r="AF68">
        <v>26.26</v>
      </c>
      <c r="AG68">
        <v>0</v>
      </c>
      <c r="AH68">
        <v>0</v>
      </c>
      <c r="AI68">
        <v>1</v>
      </c>
      <c r="AJ68">
        <v>1.24</v>
      </c>
      <c r="AK68">
        <v>33.32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5.91</v>
      </c>
      <c r="AU68" t="s">
        <v>3</v>
      </c>
      <c r="AV68">
        <v>0</v>
      </c>
      <c r="AW68">
        <v>2</v>
      </c>
      <c r="AX68">
        <v>50121348</v>
      </c>
      <c r="AY68">
        <v>1</v>
      </c>
      <c r="AZ68">
        <v>0</v>
      </c>
      <c r="BA68">
        <v>70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Y68*Source!I41</f>
        <v>0.2364</v>
      </c>
      <c r="CY68">
        <f>AB68</f>
        <v>32.56</v>
      </c>
      <c r="CZ68">
        <f>AF68</f>
        <v>26.26</v>
      </c>
      <c r="DA68">
        <f>AJ68</f>
        <v>1.24</v>
      </c>
      <c r="DB68">
        <f t="shared" si="8"/>
        <v>155.19999999999999</v>
      </c>
      <c r="DC68">
        <f t="shared" si="9"/>
        <v>0</v>
      </c>
    </row>
    <row r="69" spans="1:107" x14ac:dyDescent="0.2">
      <c r="A69">
        <f>ROW(Source!A42)</f>
        <v>42</v>
      </c>
      <c r="B69">
        <v>50121127</v>
      </c>
      <c r="C69">
        <v>50121349</v>
      </c>
      <c r="D69">
        <v>18411117</v>
      </c>
      <c r="E69">
        <v>1</v>
      </c>
      <c r="F69">
        <v>1</v>
      </c>
      <c r="G69">
        <v>1</v>
      </c>
      <c r="H69">
        <v>1</v>
      </c>
      <c r="I69" t="s">
        <v>396</v>
      </c>
      <c r="J69" t="s">
        <v>3</v>
      </c>
      <c r="K69" t="s">
        <v>397</v>
      </c>
      <c r="L69">
        <v>1369</v>
      </c>
      <c r="N69">
        <v>1013</v>
      </c>
      <c r="O69" t="s">
        <v>271</v>
      </c>
      <c r="P69" t="s">
        <v>271</v>
      </c>
      <c r="Q69">
        <v>1</v>
      </c>
      <c r="W69">
        <v>0</v>
      </c>
      <c r="X69">
        <v>-1739886638</v>
      </c>
      <c r="Y69">
        <v>37.915499999999994</v>
      </c>
      <c r="AA69">
        <v>0</v>
      </c>
      <c r="AB69">
        <v>0</v>
      </c>
      <c r="AC69">
        <v>0</v>
      </c>
      <c r="AD69">
        <v>320.57</v>
      </c>
      <c r="AE69">
        <v>0</v>
      </c>
      <c r="AF69">
        <v>0</v>
      </c>
      <c r="AG69">
        <v>0</v>
      </c>
      <c r="AH69">
        <v>320.57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32.97</v>
      </c>
      <c r="AU69" t="s">
        <v>111</v>
      </c>
      <c r="AV69">
        <v>1</v>
      </c>
      <c r="AW69">
        <v>2</v>
      </c>
      <c r="AX69">
        <v>50121369</v>
      </c>
      <c r="AY69">
        <v>2</v>
      </c>
      <c r="AZ69">
        <v>131072</v>
      </c>
      <c r="BA69">
        <v>71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Y69*Source!I42</f>
        <v>0.37915499999999996</v>
      </c>
      <c r="CY69">
        <f>AD69</f>
        <v>320.57</v>
      </c>
      <c r="CZ69">
        <f>AH69</f>
        <v>320.57</v>
      </c>
      <c r="DA69">
        <f>AL69</f>
        <v>1</v>
      </c>
      <c r="DB69">
        <f>ROUND((ROUND(AT69*CZ69,2)*1.15),6)</f>
        <v>12154.568499999999</v>
      </c>
      <c r="DC69">
        <f>ROUND((ROUND(AT69*AG69,2)*1.15),6)</f>
        <v>0</v>
      </c>
    </row>
    <row r="70" spans="1:107" x14ac:dyDescent="0.2">
      <c r="A70">
        <f>ROW(Source!A42)</f>
        <v>42</v>
      </c>
      <c r="B70">
        <v>50121127</v>
      </c>
      <c r="C70">
        <v>50121349</v>
      </c>
      <c r="D70">
        <v>121548</v>
      </c>
      <c r="E70">
        <v>1</v>
      </c>
      <c r="F70">
        <v>1</v>
      </c>
      <c r="G70">
        <v>1</v>
      </c>
      <c r="H70">
        <v>1</v>
      </c>
      <c r="I70" t="s">
        <v>28</v>
      </c>
      <c r="J70" t="s">
        <v>3</v>
      </c>
      <c r="K70" t="s">
        <v>282</v>
      </c>
      <c r="L70">
        <v>608254</v>
      </c>
      <c r="N70">
        <v>1013</v>
      </c>
      <c r="O70" t="s">
        <v>283</v>
      </c>
      <c r="P70" t="s">
        <v>283</v>
      </c>
      <c r="Q70">
        <v>1</v>
      </c>
      <c r="W70">
        <v>0</v>
      </c>
      <c r="X70">
        <v>-185737400</v>
      </c>
      <c r="Y70">
        <v>0.1875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0.15</v>
      </c>
      <c r="AU70" t="s">
        <v>110</v>
      </c>
      <c r="AV70">
        <v>2</v>
      </c>
      <c r="AW70">
        <v>2</v>
      </c>
      <c r="AX70">
        <v>50121370</v>
      </c>
      <c r="AY70">
        <v>1</v>
      </c>
      <c r="AZ70">
        <v>0</v>
      </c>
      <c r="BA70">
        <v>72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Y70*Source!I42</f>
        <v>1.8749999999999999E-3</v>
      </c>
      <c r="CY70">
        <f>AD70</f>
        <v>0</v>
      </c>
      <c r="CZ70">
        <f>AH70</f>
        <v>0</v>
      </c>
      <c r="DA70">
        <f>AL70</f>
        <v>1</v>
      </c>
      <c r="DB70">
        <f>ROUND((ROUND(AT70*CZ70,2)*1.25),6)</f>
        <v>0</v>
      </c>
      <c r="DC70">
        <f>ROUND((ROUND(AT70*AG70,2)*1.25),6)</f>
        <v>0</v>
      </c>
    </row>
    <row r="71" spans="1:107" x14ac:dyDescent="0.2">
      <c r="A71">
        <f>ROW(Source!A42)</f>
        <v>42</v>
      </c>
      <c r="B71">
        <v>50121127</v>
      </c>
      <c r="C71">
        <v>50121349</v>
      </c>
      <c r="D71">
        <v>29172268</v>
      </c>
      <c r="E71">
        <v>1</v>
      </c>
      <c r="F71">
        <v>1</v>
      </c>
      <c r="G71">
        <v>1</v>
      </c>
      <c r="H71">
        <v>2</v>
      </c>
      <c r="I71" t="s">
        <v>398</v>
      </c>
      <c r="J71" t="s">
        <v>399</v>
      </c>
      <c r="K71" t="s">
        <v>400</v>
      </c>
      <c r="L71">
        <v>1368</v>
      </c>
      <c r="N71">
        <v>1011</v>
      </c>
      <c r="O71" t="s">
        <v>287</v>
      </c>
      <c r="P71" t="s">
        <v>287</v>
      </c>
      <c r="Q71">
        <v>1</v>
      </c>
      <c r="W71">
        <v>0</v>
      </c>
      <c r="X71">
        <v>-438066613</v>
      </c>
      <c r="Y71">
        <v>0.1</v>
      </c>
      <c r="AA71">
        <v>0</v>
      </c>
      <c r="AB71">
        <v>889.06</v>
      </c>
      <c r="AC71">
        <v>449.82</v>
      </c>
      <c r="AD71">
        <v>0</v>
      </c>
      <c r="AE71">
        <v>0</v>
      </c>
      <c r="AF71">
        <v>86.4</v>
      </c>
      <c r="AG71">
        <v>13.5</v>
      </c>
      <c r="AH71">
        <v>0</v>
      </c>
      <c r="AI71">
        <v>1</v>
      </c>
      <c r="AJ71">
        <v>10.29</v>
      </c>
      <c r="AK71">
        <v>33.32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0.08</v>
      </c>
      <c r="AU71" t="s">
        <v>110</v>
      </c>
      <c r="AV71">
        <v>0</v>
      </c>
      <c r="AW71">
        <v>2</v>
      </c>
      <c r="AX71">
        <v>50121371</v>
      </c>
      <c r="AY71">
        <v>1</v>
      </c>
      <c r="AZ71">
        <v>0</v>
      </c>
      <c r="BA71">
        <v>73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Y71*Source!I42</f>
        <v>1E-3</v>
      </c>
      <c r="CY71">
        <f>AB71</f>
        <v>889.06</v>
      </c>
      <c r="CZ71">
        <f>AF71</f>
        <v>86.4</v>
      </c>
      <c r="DA71">
        <f>AJ71</f>
        <v>10.29</v>
      </c>
      <c r="DB71">
        <f>ROUND((ROUND(AT71*CZ71,2)*1.25),6)</f>
        <v>8.6374999999999993</v>
      </c>
      <c r="DC71">
        <f>ROUND((ROUND(AT71*AG71,2)*1.25),6)</f>
        <v>1.35</v>
      </c>
    </row>
    <row r="72" spans="1:107" x14ac:dyDescent="0.2">
      <c r="A72">
        <f>ROW(Source!A42)</f>
        <v>42</v>
      </c>
      <c r="B72">
        <v>50121127</v>
      </c>
      <c r="C72">
        <v>50121349</v>
      </c>
      <c r="D72">
        <v>29172379</v>
      </c>
      <c r="E72">
        <v>1</v>
      </c>
      <c r="F72">
        <v>1</v>
      </c>
      <c r="G72">
        <v>1</v>
      </c>
      <c r="H72">
        <v>2</v>
      </c>
      <c r="I72" t="s">
        <v>401</v>
      </c>
      <c r="J72" t="s">
        <v>402</v>
      </c>
      <c r="K72" t="s">
        <v>403</v>
      </c>
      <c r="L72">
        <v>1368</v>
      </c>
      <c r="N72">
        <v>1011</v>
      </c>
      <c r="O72" t="s">
        <v>287</v>
      </c>
      <c r="P72" t="s">
        <v>287</v>
      </c>
      <c r="Q72">
        <v>1</v>
      </c>
      <c r="W72">
        <v>0</v>
      </c>
      <c r="X72">
        <v>1106923569</v>
      </c>
      <c r="Y72">
        <v>8.7500000000000008E-2</v>
      </c>
      <c r="AA72">
        <v>0</v>
      </c>
      <c r="AB72">
        <v>1102.08</v>
      </c>
      <c r="AC72">
        <v>449.82</v>
      </c>
      <c r="AD72">
        <v>0</v>
      </c>
      <c r="AE72">
        <v>0</v>
      </c>
      <c r="AF72">
        <v>112</v>
      </c>
      <c r="AG72">
        <v>13.5</v>
      </c>
      <c r="AH72">
        <v>0</v>
      </c>
      <c r="AI72">
        <v>1</v>
      </c>
      <c r="AJ72">
        <v>9.84</v>
      </c>
      <c r="AK72">
        <v>33.32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7.0000000000000007E-2</v>
      </c>
      <c r="AU72" t="s">
        <v>110</v>
      </c>
      <c r="AV72">
        <v>0</v>
      </c>
      <c r="AW72">
        <v>2</v>
      </c>
      <c r="AX72">
        <v>50121372</v>
      </c>
      <c r="AY72">
        <v>1</v>
      </c>
      <c r="AZ72">
        <v>0</v>
      </c>
      <c r="BA72">
        <v>74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Y72*Source!I42</f>
        <v>8.7500000000000013E-4</v>
      </c>
      <c r="CY72">
        <f>AB72</f>
        <v>1102.08</v>
      </c>
      <c r="CZ72">
        <f>AF72</f>
        <v>112</v>
      </c>
      <c r="DA72">
        <f>AJ72</f>
        <v>9.84</v>
      </c>
      <c r="DB72">
        <f>ROUND((ROUND(AT72*CZ72,2)*1.25),6)</f>
        <v>9.8000000000000007</v>
      </c>
      <c r="DC72">
        <f>ROUND((ROUND(AT72*AG72,2)*1.25),6)</f>
        <v>1.1875</v>
      </c>
    </row>
    <row r="73" spans="1:107" x14ac:dyDescent="0.2">
      <c r="A73">
        <f>ROW(Source!A42)</f>
        <v>42</v>
      </c>
      <c r="B73">
        <v>50121127</v>
      </c>
      <c r="C73">
        <v>50121349</v>
      </c>
      <c r="D73">
        <v>29172659</v>
      </c>
      <c r="E73">
        <v>1</v>
      </c>
      <c r="F73">
        <v>1</v>
      </c>
      <c r="G73">
        <v>1</v>
      </c>
      <c r="H73">
        <v>2</v>
      </c>
      <c r="I73" t="s">
        <v>404</v>
      </c>
      <c r="J73" t="s">
        <v>405</v>
      </c>
      <c r="K73" t="s">
        <v>406</v>
      </c>
      <c r="L73">
        <v>1368</v>
      </c>
      <c r="N73">
        <v>1011</v>
      </c>
      <c r="O73" t="s">
        <v>287</v>
      </c>
      <c r="P73" t="s">
        <v>287</v>
      </c>
      <c r="Q73">
        <v>1</v>
      </c>
      <c r="W73">
        <v>0</v>
      </c>
      <c r="X73">
        <v>1514068676</v>
      </c>
      <c r="Y73">
        <v>1.4375</v>
      </c>
      <c r="AA73">
        <v>0</v>
      </c>
      <c r="AB73">
        <v>8.5399999999999991</v>
      </c>
      <c r="AC73">
        <v>0</v>
      </c>
      <c r="AD73">
        <v>0</v>
      </c>
      <c r="AE73">
        <v>0</v>
      </c>
      <c r="AF73">
        <v>1.2</v>
      </c>
      <c r="AG73">
        <v>0</v>
      </c>
      <c r="AH73">
        <v>0</v>
      </c>
      <c r="AI73">
        <v>1</v>
      </c>
      <c r="AJ73">
        <v>7.12</v>
      </c>
      <c r="AK73">
        <v>33.32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1.1499999999999999</v>
      </c>
      <c r="AU73" t="s">
        <v>110</v>
      </c>
      <c r="AV73">
        <v>0</v>
      </c>
      <c r="AW73">
        <v>2</v>
      </c>
      <c r="AX73">
        <v>50121373</v>
      </c>
      <c r="AY73">
        <v>1</v>
      </c>
      <c r="AZ73">
        <v>0</v>
      </c>
      <c r="BA73">
        <v>75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Y73*Source!I42</f>
        <v>1.4375000000000001E-2</v>
      </c>
      <c r="CY73">
        <f>AB73</f>
        <v>8.5399999999999991</v>
      </c>
      <c r="CZ73">
        <f>AF73</f>
        <v>1.2</v>
      </c>
      <c r="DA73">
        <f>AJ73</f>
        <v>7.12</v>
      </c>
      <c r="DB73">
        <f>ROUND((ROUND(AT73*CZ73,2)*1.25),6)</f>
        <v>1.7250000000000001</v>
      </c>
      <c r="DC73">
        <f>ROUND((ROUND(AT73*AG73,2)*1.25),6)</f>
        <v>0</v>
      </c>
    </row>
    <row r="74" spans="1:107" x14ac:dyDescent="0.2">
      <c r="A74">
        <f>ROW(Source!A42)</f>
        <v>42</v>
      </c>
      <c r="B74">
        <v>50121127</v>
      </c>
      <c r="C74">
        <v>50121349</v>
      </c>
      <c r="D74">
        <v>29174913</v>
      </c>
      <c r="E74">
        <v>1</v>
      </c>
      <c r="F74">
        <v>1</v>
      </c>
      <c r="G74">
        <v>1</v>
      </c>
      <c r="H74">
        <v>2</v>
      </c>
      <c r="I74" t="s">
        <v>297</v>
      </c>
      <c r="J74" t="s">
        <v>298</v>
      </c>
      <c r="K74" t="s">
        <v>299</v>
      </c>
      <c r="L74">
        <v>1368</v>
      </c>
      <c r="N74">
        <v>1011</v>
      </c>
      <c r="O74" t="s">
        <v>287</v>
      </c>
      <c r="P74" t="s">
        <v>287</v>
      </c>
      <c r="Q74">
        <v>1</v>
      </c>
      <c r="W74">
        <v>0</v>
      </c>
      <c r="X74">
        <v>1230759911</v>
      </c>
      <c r="Y74">
        <v>0.4375</v>
      </c>
      <c r="AA74">
        <v>0</v>
      </c>
      <c r="AB74">
        <v>932.72</v>
      </c>
      <c r="AC74">
        <v>386.51</v>
      </c>
      <c r="AD74">
        <v>0</v>
      </c>
      <c r="AE74">
        <v>0</v>
      </c>
      <c r="AF74">
        <v>87.17</v>
      </c>
      <c r="AG74">
        <v>11.6</v>
      </c>
      <c r="AH74">
        <v>0</v>
      </c>
      <c r="AI74">
        <v>1</v>
      </c>
      <c r="AJ74">
        <v>10.7</v>
      </c>
      <c r="AK74">
        <v>33.32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0.35</v>
      </c>
      <c r="AU74" t="s">
        <v>110</v>
      </c>
      <c r="AV74">
        <v>0</v>
      </c>
      <c r="AW74">
        <v>2</v>
      </c>
      <c r="AX74">
        <v>50121374</v>
      </c>
      <c r="AY74">
        <v>1</v>
      </c>
      <c r="AZ74">
        <v>0</v>
      </c>
      <c r="BA74">
        <v>76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Y74*Source!I42</f>
        <v>4.3750000000000004E-3</v>
      </c>
      <c r="CY74">
        <f>AB74</f>
        <v>932.72</v>
      </c>
      <c r="CZ74">
        <f>AF74</f>
        <v>87.17</v>
      </c>
      <c r="DA74">
        <f>AJ74</f>
        <v>10.7</v>
      </c>
      <c r="DB74">
        <f>ROUND((ROUND(AT74*CZ74,2)*1.25),6)</f>
        <v>38.137500000000003</v>
      </c>
      <c r="DC74">
        <f>ROUND((ROUND(AT74*AG74,2)*1.25),6)</f>
        <v>5.0750000000000002</v>
      </c>
    </row>
    <row r="75" spans="1:107" x14ac:dyDescent="0.2">
      <c r="A75">
        <f>ROW(Source!A42)</f>
        <v>42</v>
      </c>
      <c r="B75">
        <v>50121127</v>
      </c>
      <c r="C75">
        <v>50121349</v>
      </c>
      <c r="D75">
        <v>29107431</v>
      </c>
      <c r="E75">
        <v>1</v>
      </c>
      <c r="F75">
        <v>1</v>
      </c>
      <c r="G75">
        <v>1</v>
      </c>
      <c r="H75">
        <v>3</v>
      </c>
      <c r="I75" t="s">
        <v>407</v>
      </c>
      <c r="J75" t="s">
        <v>408</v>
      </c>
      <c r="K75" t="s">
        <v>409</v>
      </c>
      <c r="L75">
        <v>1348</v>
      </c>
      <c r="N75">
        <v>1009</v>
      </c>
      <c r="O75" t="s">
        <v>134</v>
      </c>
      <c r="P75" t="s">
        <v>134</v>
      </c>
      <c r="Q75">
        <v>1000</v>
      </c>
      <c r="W75">
        <v>0</v>
      </c>
      <c r="X75">
        <v>1987285981</v>
      </c>
      <c r="Y75">
        <v>1.2999999999999999E-4</v>
      </c>
      <c r="AA75">
        <v>349639.61</v>
      </c>
      <c r="AB75">
        <v>0</v>
      </c>
      <c r="AC75">
        <v>0</v>
      </c>
      <c r="AD75">
        <v>0</v>
      </c>
      <c r="AE75">
        <v>32830.01</v>
      </c>
      <c r="AF75">
        <v>0</v>
      </c>
      <c r="AG75">
        <v>0</v>
      </c>
      <c r="AH75">
        <v>0</v>
      </c>
      <c r="AI75">
        <v>10.65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1.2999999999999999E-4</v>
      </c>
      <c r="AU75" t="s">
        <v>3</v>
      </c>
      <c r="AV75">
        <v>0</v>
      </c>
      <c r="AW75">
        <v>2</v>
      </c>
      <c r="AX75">
        <v>50121375</v>
      </c>
      <c r="AY75">
        <v>1</v>
      </c>
      <c r="AZ75">
        <v>0</v>
      </c>
      <c r="BA75">
        <v>77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Y75*Source!I42</f>
        <v>1.2999999999999998E-6</v>
      </c>
      <c r="CY75">
        <f t="shared" ref="CY75:CY82" si="16">AA75</f>
        <v>349639.61</v>
      </c>
      <c r="CZ75">
        <f t="shared" ref="CZ75:CZ82" si="17">AE75</f>
        <v>32830.01</v>
      </c>
      <c r="DA75">
        <f t="shared" ref="DA75:DA82" si="18">AI75</f>
        <v>10.65</v>
      </c>
      <c r="DB75">
        <f t="shared" ref="DB75:DB96" si="19">ROUND(ROUND(AT75*CZ75,2),6)</f>
        <v>4.2699999999999996</v>
      </c>
      <c r="DC75">
        <f t="shared" ref="DC75:DC96" si="20">ROUND(ROUND(AT75*AG75,2),6)</f>
        <v>0</v>
      </c>
    </row>
    <row r="76" spans="1:107" x14ac:dyDescent="0.2">
      <c r="A76">
        <f>ROW(Source!A42)</f>
        <v>42</v>
      </c>
      <c r="B76">
        <v>50121127</v>
      </c>
      <c r="C76">
        <v>50121349</v>
      </c>
      <c r="D76">
        <v>29107441</v>
      </c>
      <c r="E76">
        <v>1</v>
      </c>
      <c r="F76">
        <v>1</v>
      </c>
      <c r="G76">
        <v>1</v>
      </c>
      <c r="H76">
        <v>3</v>
      </c>
      <c r="I76" t="s">
        <v>314</v>
      </c>
      <c r="J76" t="s">
        <v>315</v>
      </c>
      <c r="K76" t="s">
        <v>316</v>
      </c>
      <c r="L76">
        <v>1339</v>
      </c>
      <c r="N76">
        <v>1007</v>
      </c>
      <c r="O76" t="s">
        <v>317</v>
      </c>
      <c r="P76" t="s">
        <v>317</v>
      </c>
      <c r="Q76">
        <v>1</v>
      </c>
      <c r="W76">
        <v>0</v>
      </c>
      <c r="X76">
        <v>-756465305</v>
      </c>
      <c r="Y76">
        <v>0.28100000000000003</v>
      </c>
      <c r="AA76">
        <v>75.069999999999993</v>
      </c>
      <c r="AB76">
        <v>0</v>
      </c>
      <c r="AC76">
        <v>0</v>
      </c>
      <c r="AD76">
        <v>0</v>
      </c>
      <c r="AE76">
        <v>6.23</v>
      </c>
      <c r="AF76">
        <v>0</v>
      </c>
      <c r="AG76">
        <v>0</v>
      </c>
      <c r="AH76">
        <v>0</v>
      </c>
      <c r="AI76">
        <v>12.05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0.28100000000000003</v>
      </c>
      <c r="AU76" t="s">
        <v>3</v>
      </c>
      <c r="AV76">
        <v>0</v>
      </c>
      <c r="AW76">
        <v>2</v>
      </c>
      <c r="AX76">
        <v>50121376</v>
      </c>
      <c r="AY76">
        <v>1</v>
      </c>
      <c r="AZ76">
        <v>0</v>
      </c>
      <c r="BA76">
        <v>78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Y76*Source!I42</f>
        <v>2.8100000000000004E-3</v>
      </c>
      <c r="CY76">
        <f t="shared" si="16"/>
        <v>75.069999999999993</v>
      </c>
      <c r="CZ76">
        <f t="shared" si="17"/>
        <v>6.23</v>
      </c>
      <c r="DA76">
        <f t="shared" si="18"/>
        <v>12.05</v>
      </c>
      <c r="DB76">
        <f t="shared" si="19"/>
        <v>1.75</v>
      </c>
      <c r="DC76">
        <f t="shared" si="20"/>
        <v>0</v>
      </c>
    </row>
    <row r="77" spans="1:107" x14ac:dyDescent="0.2">
      <c r="A77">
        <f>ROW(Source!A42)</f>
        <v>42</v>
      </c>
      <c r="B77">
        <v>50121127</v>
      </c>
      <c r="C77">
        <v>50121349</v>
      </c>
      <c r="D77">
        <v>29110398</v>
      </c>
      <c r="E77">
        <v>1</v>
      </c>
      <c r="F77">
        <v>1</v>
      </c>
      <c r="G77">
        <v>1</v>
      </c>
      <c r="H77">
        <v>3</v>
      </c>
      <c r="I77" t="s">
        <v>410</v>
      </c>
      <c r="J77" t="s">
        <v>411</v>
      </c>
      <c r="K77" t="s">
        <v>412</v>
      </c>
      <c r="L77">
        <v>1348</v>
      </c>
      <c r="N77">
        <v>1009</v>
      </c>
      <c r="O77" t="s">
        <v>134</v>
      </c>
      <c r="P77" t="s">
        <v>134</v>
      </c>
      <c r="Q77">
        <v>1000</v>
      </c>
      <c r="W77">
        <v>0</v>
      </c>
      <c r="X77">
        <v>1625292450</v>
      </c>
      <c r="Y77">
        <v>4.4000000000000002E-4</v>
      </c>
      <c r="AA77">
        <v>51858.14</v>
      </c>
      <c r="AB77">
        <v>0</v>
      </c>
      <c r="AC77">
        <v>0</v>
      </c>
      <c r="AD77">
        <v>0</v>
      </c>
      <c r="AE77">
        <v>15118.99</v>
      </c>
      <c r="AF77">
        <v>0</v>
      </c>
      <c r="AG77">
        <v>0</v>
      </c>
      <c r="AH77">
        <v>0</v>
      </c>
      <c r="AI77">
        <v>3.43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4.4000000000000002E-4</v>
      </c>
      <c r="AU77" t="s">
        <v>3</v>
      </c>
      <c r="AV77">
        <v>0</v>
      </c>
      <c r="AW77">
        <v>2</v>
      </c>
      <c r="AX77">
        <v>50121377</v>
      </c>
      <c r="AY77">
        <v>1</v>
      </c>
      <c r="AZ77">
        <v>0</v>
      </c>
      <c r="BA77">
        <v>79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Y77*Source!I42</f>
        <v>4.4000000000000002E-6</v>
      </c>
      <c r="CY77">
        <f t="shared" si="16"/>
        <v>51858.14</v>
      </c>
      <c r="CZ77">
        <f t="shared" si="17"/>
        <v>15118.99</v>
      </c>
      <c r="DA77">
        <f t="shared" si="18"/>
        <v>3.43</v>
      </c>
      <c r="DB77">
        <f t="shared" si="19"/>
        <v>6.65</v>
      </c>
      <c r="DC77">
        <f t="shared" si="20"/>
        <v>0</v>
      </c>
    </row>
    <row r="78" spans="1:107" x14ac:dyDescent="0.2">
      <c r="A78">
        <f>ROW(Source!A42)</f>
        <v>42</v>
      </c>
      <c r="B78">
        <v>50121127</v>
      </c>
      <c r="C78">
        <v>50121349</v>
      </c>
      <c r="D78">
        <v>29110573</v>
      </c>
      <c r="E78">
        <v>1</v>
      </c>
      <c r="F78">
        <v>1</v>
      </c>
      <c r="G78">
        <v>1</v>
      </c>
      <c r="H78">
        <v>3</v>
      </c>
      <c r="I78" t="s">
        <v>413</v>
      </c>
      <c r="J78" t="s">
        <v>414</v>
      </c>
      <c r="K78" t="s">
        <v>415</v>
      </c>
      <c r="L78">
        <v>1348</v>
      </c>
      <c r="N78">
        <v>1009</v>
      </c>
      <c r="O78" t="s">
        <v>134</v>
      </c>
      <c r="P78" t="s">
        <v>134</v>
      </c>
      <c r="Q78">
        <v>1000</v>
      </c>
      <c r="W78">
        <v>0</v>
      </c>
      <c r="X78">
        <v>24062879</v>
      </c>
      <c r="Y78">
        <v>5.2999999999999998E-4</v>
      </c>
      <c r="AA78">
        <v>66613.5</v>
      </c>
      <c r="AB78">
        <v>0</v>
      </c>
      <c r="AC78">
        <v>0</v>
      </c>
      <c r="AD78">
        <v>0</v>
      </c>
      <c r="AE78">
        <v>16950</v>
      </c>
      <c r="AF78">
        <v>0</v>
      </c>
      <c r="AG78">
        <v>0</v>
      </c>
      <c r="AH78">
        <v>0</v>
      </c>
      <c r="AI78">
        <v>3.93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5.2999999999999998E-4</v>
      </c>
      <c r="AU78" t="s">
        <v>3</v>
      </c>
      <c r="AV78">
        <v>0</v>
      </c>
      <c r="AW78">
        <v>2</v>
      </c>
      <c r="AX78">
        <v>50121378</v>
      </c>
      <c r="AY78">
        <v>1</v>
      </c>
      <c r="AZ78">
        <v>0</v>
      </c>
      <c r="BA78">
        <v>80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Y78*Source!I42</f>
        <v>5.3000000000000001E-6</v>
      </c>
      <c r="CY78">
        <f t="shared" si="16"/>
        <v>66613.5</v>
      </c>
      <c r="CZ78">
        <f t="shared" si="17"/>
        <v>16950</v>
      </c>
      <c r="DA78">
        <f t="shared" si="18"/>
        <v>3.93</v>
      </c>
      <c r="DB78">
        <f t="shared" si="19"/>
        <v>8.98</v>
      </c>
      <c r="DC78">
        <f t="shared" si="20"/>
        <v>0</v>
      </c>
    </row>
    <row r="79" spans="1:107" x14ac:dyDescent="0.2">
      <c r="A79">
        <f>ROW(Source!A42)</f>
        <v>42</v>
      </c>
      <c r="B79">
        <v>50121127</v>
      </c>
      <c r="C79">
        <v>50121349</v>
      </c>
      <c r="D79">
        <v>29113927</v>
      </c>
      <c r="E79">
        <v>1</v>
      </c>
      <c r="F79">
        <v>1</v>
      </c>
      <c r="G79">
        <v>1</v>
      </c>
      <c r="H79">
        <v>3</v>
      </c>
      <c r="I79" t="s">
        <v>416</v>
      </c>
      <c r="J79" t="s">
        <v>417</v>
      </c>
      <c r="K79" t="s">
        <v>418</v>
      </c>
      <c r="L79">
        <v>1348</v>
      </c>
      <c r="N79">
        <v>1009</v>
      </c>
      <c r="O79" t="s">
        <v>134</v>
      </c>
      <c r="P79" t="s">
        <v>134</v>
      </c>
      <c r="Q79">
        <v>1000</v>
      </c>
      <c r="W79">
        <v>0</v>
      </c>
      <c r="X79">
        <v>1756124173</v>
      </c>
      <c r="Y79">
        <v>1.7000000000000001E-4</v>
      </c>
      <c r="AA79">
        <v>70918.75</v>
      </c>
      <c r="AB79">
        <v>0</v>
      </c>
      <c r="AC79">
        <v>0</v>
      </c>
      <c r="AD79">
        <v>0</v>
      </c>
      <c r="AE79">
        <v>13559.99</v>
      </c>
      <c r="AF79">
        <v>0</v>
      </c>
      <c r="AG79">
        <v>0</v>
      </c>
      <c r="AH79">
        <v>0</v>
      </c>
      <c r="AI79">
        <v>5.23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1.7000000000000001E-4</v>
      </c>
      <c r="AU79" t="s">
        <v>3</v>
      </c>
      <c r="AV79">
        <v>0</v>
      </c>
      <c r="AW79">
        <v>2</v>
      </c>
      <c r="AX79">
        <v>50121379</v>
      </c>
      <c r="AY79">
        <v>1</v>
      </c>
      <c r="AZ79">
        <v>0</v>
      </c>
      <c r="BA79">
        <v>81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Y79*Source!I42</f>
        <v>1.7000000000000002E-6</v>
      </c>
      <c r="CY79">
        <f t="shared" si="16"/>
        <v>70918.75</v>
      </c>
      <c r="CZ79">
        <f t="shared" si="17"/>
        <v>13559.99</v>
      </c>
      <c r="DA79">
        <f t="shared" si="18"/>
        <v>5.23</v>
      </c>
      <c r="DB79">
        <f t="shared" si="19"/>
        <v>2.31</v>
      </c>
      <c r="DC79">
        <f t="shared" si="20"/>
        <v>0</v>
      </c>
    </row>
    <row r="80" spans="1:107" x14ac:dyDescent="0.2">
      <c r="A80">
        <f>ROW(Source!A42)</f>
        <v>42</v>
      </c>
      <c r="B80">
        <v>50121127</v>
      </c>
      <c r="C80">
        <v>50121349</v>
      </c>
      <c r="D80">
        <v>29107963</v>
      </c>
      <c r="E80">
        <v>1</v>
      </c>
      <c r="F80">
        <v>1</v>
      </c>
      <c r="G80">
        <v>1</v>
      </c>
      <c r="H80">
        <v>3</v>
      </c>
      <c r="I80" t="s">
        <v>419</v>
      </c>
      <c r="J80" t="s">
        <v>420</v>
      </c>
      <c r="K80" t="s">
        <v>421</v>
      </c>
      <c r="L80">
        <v>1346</v>
      </c>
      <c r="N80">
        <v>1009</v>
      </c>
      <c r="O80" t="s">
        <v>281</v>
      </c>
      <c r="P80" t="s">
        <v>281</v>
      </c>
      <c r="Q80">
        <v>1</v>
      </c>
      <c r="W80">
        <v>0</v>
      </c>
      <c r="X80">
        <v>-2113933962</v>
      </c>
      <c r="Y80">
        <v>0.06</v>
      </c>
      <c r="AA80">
        <v>77.56</v>
      </c>
      <c r="AB80">
        <v>0</v>
      </c>
      <c r="AC80">
        <v>0</v>
      </c>
      <c r="AD80">
        <v>0</v>
      </c>
      <c r="AE80">
        <v>37.29</v>
      </c>
      <c r="AF80">
        <v>0</v>
      </c>
      <c r="AG80">
        <v>0</v>
      </c>
      <c r="AH80">
        <v>0</v>
      </c>
      <c r="AI80">
        <v>2.08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0.06</v>
      </c>
      <c r="AU80" t="s">
        <v>3</v>
      </c>
      <c r="AV80">
        <v>0</v>
      </c>
      <c r="AW80">
        <v>2</v>
      </c>
      <c r="AX80">
        <v>50121380</v>
      </c>
      <c r="AY80">
        <v>1</v>
      </c>
      <c r="AZ80">
        <v>0</v>
      </c>
      <c r="BA80">
        <v>82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Y80*Source!I42</f>
        <v>5.9999999999999995E-4</v>
      </c>
      <c r="CY80">
        <f t="shared" si="16"/>
        <v>77.56</v>
      </c>
      <c r="CZ80">
        <f t="shared" si="17"/>
        <v>37.29</v>
      </c>
      <c r="DA80">
        <f t="shared" si="18"/>
        <v>2.08</v>
      </c>
      <c r="DB80">
        <f t="shared" si="19"/>
        <v>2.2400000000000002</v>
      </c>
      <c r="DC80">
        <f t="shared" si="20"/>
        <v>0</v>
      </c>
    </row>
    <row r="81" spans="1:107" x14ac:dyDescent="0.2">
      <c r="A81">
        <f>ROW(Source!A42)</f>
        <v>42</v>
      </c>
      <c r="B81">
        <v>50121127</v>
      </c>
      <c r="C81">
        <v>50121349</v>
      </c>
      <c r="D81">
        <v>29149246</v>
      </c>
      <c r="E81">
        <v>1</v>
      </c>
      <c r="F81">
        <v>1</v>
      </c>
      <c r="G81">
        <v>1</v>
      </c>
      <c r="H81">
        <v>3</v>
      </c>
      <c r="I81" t="s">
        <v>422</v>
      </c>
      <c r="J81" t="s">
        <v>423</v>
      </c>
      <c r="K81" t="s">
        <v>424</v>
      </c>
      <c r="L81">
        <v>1346</v>
      </c>
      <c r="N81">
        <v>1009</v>
      </c>
      <c r="O81" t="s">
        <v>281</v>
      </c>
      <c r="P81" t="s">
        <v>281</v>
      </c>
      <c r="Q81">
        <v>1</v>
      </c>
      <c r="W81">
        <v>0</v>
      </c>
      <c r="X81">
        <v>-823040862</v>
      </c>
      <c r="Y81">
        <v>8.9999999999999998E-4</v>
      </c>
      <c r="AA81">
        <v>7.31</v>
      </c>
      <c r="AB81">
        <v>0</v>
      </c>
      <c r="AC81">
        <v>0</v>
      </c>
      <c r="AD81">
        <v>0</v>
      </c>
      <c r="AE81">
        <v>2.15</v>
      </c>
      <c r="AF81">
        <v>0</v>
      </c>
      <c r="AG81">
        <v>0</v>
      </c>
      <c r="AH81">
        <v>0</v>
      </c>
      <c r="AI81">
        <v>3.4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8.9999999999999998E-4</v>
      </c>
      <c r="AU81" t="s">
        <v>3</v>
      </c>
      <c r="AV81">
        <v>0</v>
      </c>
      <c r="AW81">
        <v>2</v>
      </c>
      <c r="AX81">
        <v>50121367</v>
      </c>
      <c r="AY81">
        <v>1</v>
      </c>
      <c r="AZ81">
        <v>0</v>
      </c>
      <c r="BA81">
        <v>86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Y81*Source!I42</f>
        <v>9.0000000000000002E-6</v>
      </c>
      <c r="CY81">
        <f t="shared" si="16"/>
        <v>7.31</v>
      </c>
      <c r="CZ81">
        <f t="shared" si="17"/>
        <v>2.15</v>
      </c>
      <c r="DA81">
        <f t="shared" si="18"/>
        <v>3.4</v>
      </c>
      <c r="DB81">
        <f t="shared" si="19"/>
        <v>0</v>
      </c>
      <c r="DC81">
        <f t="shared" si="20"/>
        <v>0</v>
      </c>
    </row>
    <row r="82" spans="1:107" x14ac:dyDescent="0.2">
      <c r="A82">
        <f>ROW(Source!A42)</f>
        <v>42</v>
      </c>
      <c r="B82">
        <v>50121127</v>
      </c>
      <c r="C82">
        <v>50121349</v>
      </c>
      <c r="D82">
        <v>29150040</v>
      </c>
      <c r="E82">
        <v>1</v>
      </c>
      <c r="F82">
        <v>1</v>
      </c>
      <c r="G82">
        <v>1</v>
      </c>
      <c r="H82">
        <v>3</v>
      </c>
      <c r="I82" t="s">
        <v>425</v>
      </c>
      <c r="J82" t="s">
        <v>426</v>
      </c>
      <c r="K82" t="s">
        <v>427</v>
      </c>
      <c r="L82">
        <v>1339</v>
      </c>
      <c r="N82">
        <v>1007</v>
      </c>
      <c r="O82" t="s">
        <v>317</v>
      </c>
      <c r="P82" t="s">
        <v>317</v>
      </c>
      <c r="Q82">
        <v>1</v>
      </c>
      <c r="W82">
        <v>0</v>
      </c>
      <c r="X82">
        <v>619799737</v>
      </c>
      <c r="Y82">
        <v>0.25</v>
      </c>
      <c r="AA82">
        <v>22.2</v>
      </c>
      <c r="AB82">
        <v>0</v>
      </c>
      <c r="AC82">
        <v>0</v>
      </c>
      <c r="AD82">
        <v>0</v>
      </c>
      <c r="AE82">
        <v>2.44</v>
      </c>
      <c r="AF82">
        <v>0</v>
      </c>
      <c r="AG82">
        <v>0</v>
      </c>
      <c r="AH82">
        <v>0</v>
      </c>
      <c r="AI82">
        <v>9.1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0.25</v>
      </c>
      <c r="AU82" t="s">
        <v>3</v>
      </c>
      <c r="AV82">
        <v>0</v>
      </c>
      <c r="AW82">
        <v>2</v>
      </c>
      <c r="AX82">
        <v>50121368</v>
      </c>
      <c r="AY82">
        <v>1</v>
      </c>
      <c r="AZ82">
        <v>0</v>
      </c>
      <c r="BA82">
        <v>87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Y82*Source!I42</f>
        <v>2.5000000000000001E-3</v>
      </c>
      <c r="CY82">
        <f t="shared" si="16"/>
        <v>22.2</v>
      </c>
      <c r="CZ82">
        <f t="shared" si="17"/>
        <v>2.44</v>
      </c>
      <c r="DA82">
        <f t="shared" si="18"/>
        <v>9.1</v>
      </c>
      <c r="DB82">
        <f t="shared" si="19"/>
        <v>0.61</v>
      </c>
      <c r="DC82">
        <f t="shared" si="20"/>
        <v>0</v>
      </c>
    </row>
    <row r="83" spans="1:107" x14ac:dyDescent="0.2">
      <c r="A83">
        <f>ROW(Source!A45)</f>
        <v>45</v>
      </c>
      <c r="B83">
        <v>50121127</v>
      </c>
      <c r="C83">
        <v>50121385</v>
      </c>
      <c r="D83">
        <v>18410280</v>
      </c>
      <c r="E83">
        <v>1</v>
      </c>
      <c r="F83">
        <v>1</v>
      </c>
      <c r="G83">
        <v>1</v>
      </c>
      <c r="H83">
        <v>1</v>
      </c>
      <c r="I83" t="s">
        <v>428</v>
      </c>
      <c r="J83" t="s">
        <v>3</v>
      </c>
      <c r="K83" t="s">
        <v>429</v>
      </c>
      <c r="L83">
        <v>1369</v>
      </c>
      <c r="N83">
        <v>1013</v>
      </c>
      <c r="O83" t="s">
        <v>271</v>
      </c>
      <c r="P83" t="s">
        <v>271</v>
      </c>
      <c r="Q83">
        <v>1</v>
      </c>
      <c r="W83">
        <v>0</v>
      </c>
      <c r="X83">
        <v>-464685602</v>
      </c>
      <c r="Y83">
        <v>16.29</v>
      </c>
      <c r="AA83">
        <v>0</v>
      </c>
      <c r="AB83">
        <v>0</v>
      </c>
      <c r="AC83">
        <v>0</v>
      </c>
      <c r="AD83">
        <v>316.89999999999998</v>
      </c>
      <c r="AE83">
        <v>0</v>
      </c>
      <c r="AF83">
        <v>0</v>
      </c>
      <c r="AG83">
        <v>0</v>
      </c>
      <c r="AH83">
        <v>316.89999999999998</v>
      </c>
      <c r="AI83">
        <v>1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16.29</v>
      </c>
      <c r="AU83" t="s">
        <v>3</v>
      </c>
      <c r="AV83">
        <v>1</v>
      </c>
      <c r="AW83">
        <v>2</v>
      </c>
      <c r="AX83">
        <v>50121394</v>
      </c>
      <c r="AY83">
        <v>2</v>
      </c>
      <c r="AZ83">
        <v>131072</v>
      </c>
      <c r="BA83">
        <v>88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Y83*Source!I45</f>
        <v>16.29</v>
      </c>
      <c r="CY83">
        <f>AD83</f>
        <v>316.89999999999998</v>
      </c>
      <c r="CZ83">
        <f>AH83</f>
        <v>316.89999999999998</v>
      </c>
      <c r="DA83">
        <f>AL83</f>
        <v>1</v>
      </c>
      <c r="DB83">
        <f t="shared" si="19"/>
        <v>5162.3</v>
      </c>
      <c r="DC83">
        <f t="shared" si="20"/>
        <v>0</v>
      </c>
    </row>
    <row r="84" spans="1:107" x14ac:dyDescent="0.2">
      <c r="A84">
        <f>ROW(Source!A45)</f>
        <v>45</v>
      </c>
      <c r="B84">
        <v>50121127</v>
      </c>
      <c r="C84">
        <v>50121385</v>
      </c>
      <c r="D84">
        <v>121548</v>
      </c>
      <c r="E84">
        <v>1</v>
      </c>
      <c r="F84">
        <v>1</v>
      </c>
      <c r="G84">
        <v>1</v>
      </c>
      <c r="H84">
        <v>1</v>
      </c>
      <c r="I84" t="s">
        <v>28</v>
      </c>
      <c r="J84" t="s">
        <v>3</v>
      </c>
      <c r="K84" t="s">
        <v>282</v>
      </c>
      <c r="L84">
        <v>608254</v>
      </c>
      <c r="N84">
        <v>1013</v>
      </c>
      <c r="O84" t="s">
        <v>283</v>
      </c>
      <c r="P84" t="s">
        <v>283</v>
      </c>
      <c r="Q84">
        <v>1</v>
      </c>
      <c r="W84">
        <v>0</v>
      </c>
      <c r="X84">
        <v>-185737400</v>
      </c>
      <c r="Y84">
        <v>0.01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0.01</v>
      </c>
      <c r="AU84" t="s">
        <v>3</v>
      </c>
      <c r="AV84">
        <v>2</v>
      </c>
      <c r="AW84">
        <v>2</v>
      </c>
      <c r="AX84">
        <v>50121395</v>
      </c>
      <c r="AY84">
        <v>1</v>
      </c>
      <c r="AZ84">
        <v>0</v>
      </c>
      <c r="BA84">
        <v>89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Y84*Source!I45</f>
        <v>0.01</v>
      </c>
      <c r="CY84">
        <f>AD84</f>
        <v>0</v>
      </c>
      <c r="CZ84">
        <f>AH84</f>
        <v>0</v>
      </c>
      <c r="DA84">
        <f>AL84</f>
        <v>1</v>
      </c>
      <c r="DB84">
        <f t="shared" si="19"/>
        <v>0</v>
      </c>
      <c r="DC84">
        <f t="shared" si="20"/>
        <v>0</v>
      </c>
    </row>
    <row r="85" spans="1:107" x14ac:dyDescent="0.2">
      <c r="A85">
        <f>ROW(Source!A45)</f>
        <v>45</v>
      </c>
      <c r="B85">
        <v>50121127</v>
      </c>
      <c r="C85">
        <v>50121385</v>
      </c>
      <c r="D85">
        <v>29172556</v>
      </c>
      <c r="E85">
        <v>1</v>
      </c>
      <c r="F85">
        <v>1</v>
      </c>
      <c r="G85">
        <v>1</v>
      </c>
      <c r="H85">
        <v>2</v>
      </c>
      <c r="I85" t="s">
        <v>430</v>
      </c>
      <c r="J85" t="s">
        <v>431</v>
      </c>
      <c r="K85" t="s">
        <v>432</v>
      </c>
      <c r="L85">
        <v>1368</v>
      </c>
      <c r="N85">
        <v>1011</v>
      </c>
      <c r="O85" t="s">
        <v>287</v>
      </c>
      <c r="P85" t="s">
        <v>287</v>
      </c>
      <c r="Q85">
        <v>1</v>
      </c>
      <c r="W85">
        <v>0</v>
      </c>
      <c r="X85">
        <v>344519037</v>
      </c>
      <c r="Y85">
        <v>0.01</v>
      </c>
      <c r="AA85">
        <v>0</v>
      </c>
      <c r="AB85">
        <v>466.71</v>
      </c>
      <c r="AC85">
        <v>449.82</v>
      </c>
      <c r="AD85">
        <v>0</v>
      </c>
      <c r="AE85">
        <v>0</v>
      </c>
      <c r="AF85">
        <v>31.26</v>
      </c>
      <c r="AG85">
        <v>13.5</v>
      </c>
      <c r="AH85">
        <v>0</v>
      </c>
      <c r="AI85">
        <v>1</v>
      </c>
      <c r="AJ85">
        <v>14.93</v>
      </c>
      <c r="AK85">
        <v>33.32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0.01</v>
      </c>
      <c r="AU85" t="s">
        <v>3</v>
      </c>
      <c r="AV85">
        <v>0</v>
      </c>
      <c r="AW85">
        <v>2</v>
      </c>
      <c r="AX85">
        <v>50121396</v>
      </c>
      <c r="AY85">
        <v>1</v>
      </c>
      <c r="AZ85">
        <v>0</v>
      </c>
      <c r="BA85">
        <v>90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Y85*Source!I45</f>
        <v>0.01</v>
      </c>
      <c r="CY85">
        <f>AB85</f>
        <v>466.71</v>
      </c>
      <c r="CZ85">
        <f>AF85</f>
        <v>31.26</v>
      </c>
      <c r="DA85">
        <f>AJ85</f>
        <v>14.93</v>
      </c>
      <c r="DB85">
        <f t="shared" si="19"/>
        <v>0.31</v>
      </c>
      <c r="DC85">
        <f t="shared" si="20"/>
        <v>0.14000000000000001</v>
      </c>
    </row>
    <row r="86" spans="1:107" x14ac:dyDescent="0.2">
      <c r="A86">
        <f>ROW(Source!A45)</f>
        <v>45</v>
      </c>
      <c r="B86">
        <v>50121127</v>
      </c>
      <c r="C86">
        <v>50121385</v>
      </c>
      <c r="D86">
        <v>29173472</v>
      </c>
      <c r="E86">
        <v>1</v>
      </c>
      <c r="F86">
        <v>1</v>
      </c>
      <c r="G86">
        <v>1</v>
      </c>
      <c r="H86">
        <v>2</v>
      </c>
      <c r="I86" t="s">
        <v>433</v>
      </c>
      <c r="J86" t="s">
        <v>434</v>
      </c>
      <c r="K86" t="s">
        <v>435</v>
      </c>
      <c r="L86">
        <v>1368</v>
      </c>
      <c r="N86">
        <v>1011</v>
      </c>
      <c r="O86" t="s">
        <v>287</v>
      </c>
      <c r="P86" t="s">
        <v>287</v>
      </c>
      <c r="Q86">
        <v>1</v>
      </c>
      <c r="W86">
        <v>0</v>
      </c>
      <c r="X86">
        <v>-1937814132</v>
      </c>
      <c r="Y86">
        <v>6.08</v>
      </c>
      <c r="AA86">
        <v>0</v>
      </c>
      <c r="AB86">
        <v>12.75</v>
      </c>
      <c r="AC86">
        <v>0</v>
      </c>
      <c r="AD86">
        <v>0</v>
      </c>
      <c r="AE86">
        <v>0</v>
      </c>
      <c r="AF86">
        <v>3</v>
      </c>
      <c r="AG86">
        <v>0</v>
      </c>
      <c r="AH86">
        <v>0</v>
      </c>
      <c r="AI86">
        <v>1</v>
      </c>
      <c r="AJ86">
        <v>4.25</v>
      </c>
      <c r="AK86">
        <v>33.32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6.08</v>
      </c>
      <c r="AU86" t="s">
        <v>3</v>
      </c>
      <c r="AV86">
        <v>0</v>
      </c>
      <c r="AW86">
        <v>2</v>
      </c>
      <c r="AX86">
        <v>50121397</v>
      </c>
      <c r="AY86">
        <v>1</v>
      </c>
      <c r="AZ86">
        <v>0</v>
      </c>
      <c r="BA86">
        <v>91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Y86*Source!I45</f>
        <v>6.08</v>
      </c>
      <c r="CY86">
        <f>AB86</f>
        <v>12.75</v>
      </c>
      <c r="CZ86">
        <f>AF86</f>
        <v>3</v>
      </c>
      <c r="DA86">
        <f>AJ86</f>
        <v>4.25</v>
      </c>
      <c r="DB86">
        <f t="shared" si="19"/>
        <v>18.239999999999998</v>
      </c>
      <c r="DC86">
        <f t="shared" si="20"/>
        <v>0</v>
      </c>
    </row>
    <row r="87" spans="1:107" x14ac:dyDescent="0.2">
      <c r="A87">
        <f>ROW(Source!A45)</f>
        <v>45</v>
      </c>
      <c r="B87">
        <v>50121127</v>
      </c>
      <c r="C87">
        <v>50121385</v>
      </c>
      <c r="D87">
        <v>29174580</v>
      </c>
      <c r="E87">
        <v>1</v>
      </c>
      <c r="F87">
        <v>1</v>
      </c>
      <c r="G87">
        <v>1</v>
      </c>
      <c r="H87">
        <v>2</v>
      </c>
      <c r="I87" t="s">
        <v>436</v>
      </c>
      <c r="J87" t="s">
        <v>437</v>
      </c>
      <c r="K87" t="s">
        <v>438</v>
      </c>
      <c r="L87">
        <v>1368</v>
      </c>
      <c r="N87">
        <v>1011</v>
      </c>
      <c r="O87" t="s">
        <v>287</v>
      </c>
      <c r="P87" t="s">
        <v>287</v>
      </c>
      <c r="Q87">
        <v>1</v>
      </c>
      <c r="W87">
        <v>0</v>
      </c>
      <c r="X87">
        <v>-991672839</v>
      </c>
      <c r="Y87">
        <v>6.08</v>
      </c>
      <c r="AA87">
        <v>0</v>
      </c>
      <c r="AB87">
        <v>31.87</v>
      </c>
      <c r="AC87">
        <v>0</v>
      </c>
      <c r="AD87">
        <v>0</v>
      </c>
      <c r="AE87">
        <v>0</v>
      </c>
      <c r="AF87">
        <v>2.08</v>
      </c>
      <c r="AG87">
        <v>0</v>
      </c>
      <c r="AH87">
        <v>0</v>
      </c>
      <c r="AI87">
        <v>1</v>
      </c>
      <c r="AJ87">
        <v>15.32</v>
      </c>
      <c r="AK87">
        <v>33.32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6.08</v>
      </c>
      <c r="AU87" t="s">
        <v>3</v>
      </c>
      <c r="AV87">
        <v>0</v>
      </c>
      <c r="AW87">
        <v>2</v>
      </c>
      <c r="AX87">
        <v>50121398</v>
      </c>
      <c r="AY87">
        <v>1</v>
      </c>
      <c r="AZ87">
        <v>0</v>
      </c>
      <c r="BA87">
        <v>92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Y87*Source!I45</f>
        <v>6.08</v>
      </c>
      <c r="CY87">
        <f>AB87</f>
        <v>31.87</v>
      </c>
      <c r="CZ87">
        <f>AF87</f>
        <v>2.08</v>
      </c>
      <c r="DA87">
        <f>AJ87</f>
        <v>15.32</v>
      </c>
      <c r="DB87">
        <f t="shared" si="19"/>
        <v>12.65</v>
      </c>
      <c r="DC87">
        <f t="shared" si="20"/>
        <v>0</v>
      </c>
    </row>
    <row r="88" spans="1:107" x14ac:dyDescent="0.2">
      <c r="A88">
        <f>ROW(Source!A45)</f>
        <v>45</v>
      </c>
      <c r="B88">
        <v>50121127</v>
      </c>
      <c r="C88">
        <v>50121385</v>
      </c>
      <c r="D88">
        <v>29114688</v>
      </c>
      <c r="E88">
        <v>1</v>
      </c>
      <c r="F88">
        <v>1</v>
      </c>
      <c r="G88">
        <v>1</v>
      </c>
      <c r="H88">
        <v>3</v>
      </c>
      <c r="I88" t="s">
        <v>439</v>
      </c>
      <c r="J88" t="s">
        <v>440</v>
      </c>
      <c r="K88" t="s">
        <v>441</v>
      </c>
      <c r="L88">
        <v>1348</v>
      </c>
      <c r="N88">
        <v>1009</v>
      </c>
      <c r="O88" t="s">
        <v>134</v>
      </c>
      <c r="P88" t="s">
        <v>134</v>
      </c>
      <c r="Q88">
        <v>1000</v>
      </c>
      <c r="W88">
        <v>0</v>
      </c>
      <c r="X88">
        <v>546198954</v>
      </c>
      <c r="Y88">
        <v>1E-3</v>
      </c>
      <c r="AA88">
        <v>98197</v>
      </c>
      <c r="AB88">
        <v>0</v>
      </c>
      <c r="AC88">
        <v>0</v>
      </c>
      <c r="AD88">
        <v>0</v>
      </c>
      <c r="AE88">
        <v>12430</v>
      </c>
      <c r="AF88">
        <v>0</v>
      </c>
      <c r="AG88">
        <v>0</v>
      </c>
      <c r="AH88">
        <v>0</v>
      </c>
      <c r="AI88">
        <v>7.9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1E-3</v>
      </c>
      <c r="AU88" t="s">
        <v>3</v>
      </c>
      <c r="AV88">
        <v>0</v>
      </c>
      <c r="AW88">
        <v>2</v>
      </c>
      <c r="AX88">
        <v>50121399</v>
      </c>
      <c r="AY88">
        <v>1</v>
      </c>
      <c r="AZ88">
        <v>0</v>
      </c>
      <c r="BA88">
        <v>93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Y88*Source!I45</f>
        <v>1E-3</v>
      </c>
      <c r="CY88">
        <f>AA88</f>
        <v>98197</v>
      </c>
      <c r="CZ88">
        <f>AE88</f>
        <v>12430</v>
      </c>
      <c r="DA88">
        <f>AI88</f>
        <v>7.9</v>
      </c>
      <c r="DB88">
        <f t="shared" si="19"/>
        <v>12.43</v>
      </c>
      <c r="DC88">
        <f t="shared" si="20"/>
        <v>0</v>
      </c>
    </row>
    <row r="89" spans="1:107" x14ac:dyDescent="0.2">
      <c r="A89">
        <f>ROW(Source!A45)</f>
        <v>45</v>
      </c>
      <c r="B89">
        <v>50121127</v>
      </c>
      <c r="C89">
        <v>50121385</v>
      </c>
      <c r="D89">
        <v>29114472</v>
      </c>
      <c r="E89">
        <v>1</v>
      </c>
      <c r="F89">
        <v>1</v>
      </c>
      <c r="G89">
        <v>1</v>
      </c>
      <c r="H89">
        <v>3</v>
      </c>
      <c r="I89" t="s">
        <v>442</v>
      </c>
      <c r="J89" t="s">
        <v>443</v>
      </c>
      <c r="K89" t="s">
        <v>444</v>
      </c>
      <c r="L89">
        <v>1356</v>
      </c>
      <c r="N89">
        <v>1010</v>
      </c>
      <c r="O89" t="s">
        <v>445</v>
      </c>
      <c r="P89" t="s">
        <v>445</v>
      </c>
      <c r="Q89">
        <v>1000</v>
      </c>
      <c r="W89">
        <v>0</v>
      </c>
      <c r="X89">
        <v>1703397329</v>
      </c>
      <c r="Y89">
        <v>0.2</v>
      </c>
      <c r="AA89">
        <v>184.37</v>
      </c>
      <c r="AB89">
        <v>0</v>
      </c>
      <c r="AC89">
        <v>0</v>
      </c>
      <c r="AD89">
        <v>0</v>
      </c>
      <c r="AE89">
        <v>179</v>
      </c>
      <c r="AF89">
        <v>0</v>
      </c>
      <c r="AG89">
        <v>0</v>
      </c>
      <c r="AH89">
        <v>0</v>
      </c>
      <c r="AI89">
        <v>1.03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0.2</v>
      </c>
      <c r="AU89" t="s">
        <v>3</v>
      </c>
      <c r="AV89">
        <v>0</v>
      </c>
      <c r="AW89">
        <v>2</v>
      </c>
      <c r="AX89">
        <v>50121400</v>
      </c>
      <c r="AY89">
        <v>1</v>
      </c>
      <c r="AZ89">
        <v>0</v>
      </c>
      <c r="BA89">
        <v>94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Y89*Source!I45</f>
        <v>0.2</v>
      </c>
      <c r="CY89">
        <f>AA89</f>
        <v>184.37</v>
      </c>
      <c r="CZ89">
        <f>AE89</f>
        <v>179</v>
      </c>
      <c r="DA89">
        <f>AI89</f>
        <v>1.03</v>
      </c>
      <c r="DB89">
        <f t="shared" si="19"/>
        <v>35.799999999999997</v>
      </c>
      <c r="DC89">
        <f t="shared" si="20"/>
        <v>0</v>
      </c>
    </row>
    <row r="90" spans="1:107" x14ac:dyDescent="0.2">
      <c r="A90">
        <f>ROW(Source!A45)</f>
        <v>45</v>
      </c>
      <c r="B90">
        <v>50121127</v>
      </c>
      <c r="C90">
        <v>50121385</v>
      </c>
      <c r="D90">
        <v>29171808</v>
      </c>
      <c r="E90">
        <v>1</v>
      </c>
      <c r="F90">
        <v>1</v>
      </c>
      <c r="G90">
        <v>1</v>
      </c>
      <c r="H90">
        <v>3</v>
      </c>
      <c r="I90" t="s">
        <v>272</v>
      </c>
      <c r="J90" t="s">
        <v>273</v>
      </c>
      <c r="K90" t="s">
        <v>274</v>
      </c>
      <c r="L90">
        <v>1374</v>
      </c>
      <c r="N90">
        <v>1013</v>
      </c>
      <c r="O90" t="s">
        <v>275</v>
      </c>
      <c r="P90" t="s">
        <v>275</v>
      </c>
      <c r="Q90">
        <v>1</v>
      </c>
      <c r="W90">
        <v>0</v>
      </c>
      <c r="X90">
        <v>-915781824</v>
      </c>
      <c r="Y90">
        <v>3.1</v>
      </c>
      <c r="AA90">
        <v>1</v>
      </c>
      <c r="AB90">
        <v>0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3.1</v>
      </c>
      <c r="AU90" t="s">
        <v>3</v>
      </c>
      <c r="AV90">
        <v>0</v>
      </c>
      <c r="AW90">
        <v>2</v>
      </c>
      <c r="AX90">
        <v>50121401</v>
      </c>
      <c r="AY90">
        <v>1</v>
      </c>
      <c r="AZ90">
        <v>0</v>
      </c>
      <c r="BA90">
        <v>95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Y90*Source!I45</f>
        <v>3.1</v>
      </c>
      <c r="CY90">
        <f>AA90</f>
        <v>1</v>
      </c>
      <c r="CZ90">
        <f>AE90</f>
        <v>1</v>
      </c>
      <c r="DA90">
        <f>AI90</f>
        <v>1</v>
      </c>
      <c r="DB90">
        <f t="shared" si="19"/>
        <v>3.1</v>
      </c>
      <c r="DC90">
        <f t="shared" si="20"/>
        <v>0</v>
      </c>
    </row>
    <row r="91" spans="1:107" x14ac:dyDescent="0.2">
      <c r="A91">
        <f>ROW(Source!A47)</f>
        <v>47</v>
      </c>
      <c r="B91">
        <v>50121127</v>
      </c>
      <c r="C91">
        <v>50121403</v>
      </c>
      <c r="D91">
        <v>29362762</v>
      </c>
      <c r="E91">
        <v>1</v>
      </c>
      <c r="F91">
        <v>1</v>
      </c>
      <c r="G91">
        <v>1</v>
      </c>
      <c r="H91">
        <v>1</v>
      </c>
      <c r="I91" t="s">
        <v>309</v>
      </c>
      <c r="J91" t="s">
        <v>3</v>
      </c>
      <c r="K91" t="s">
        <v>310</v>
      </c>
      <c r="L91">
        <v>1369</v>
      </c>
      <c r="N91">
        <v>1013</v>
      </c>
      <c r="O91" t="s">
        <v>271</v>
      </c>
      <c r="P91" t="s">
        <v>271</v>
      </c>
      <c r="Q91">
        <v>1</v>
      </c>
      <c r="W91">
        <v>0</v>
      </c>
      <c r="X91">
        <v>604758886</v>
      </c>
      <c r="Y91">
        <v>22.6</v>
      </c>
      <c r="AA91">
        <v>0</v>
      </c>
      <c r="AB91">
        <v>0</v>
      </c>
      <c r="AC91">
        <v>0</v>
      </c>
      <c r="AD91">
        <v>320.57</v>
      </c>
      <c r="AE91">
        <v>0</v>
      </c>
      <c r="AF91">
        <v>0</v>
      </c>
      <c r="AG91">
        <v>0</v>
      </c>
      <c r="AH91">
        <v>320.57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22.6</v>
      </c>
      <c r="AU91" t="s">
        <v>3</v>
      </c>
      <c r="AV91">
        <v>1</v>
      </c>
      <c r="AW91">
        <v>2</v>
      </c>
      <c r="AX91">
        <v>50121411</v>
      </c>
      <c r="AY91">
        <v>2</v>
      </c>
      <c r="AZ91">
        <v>131072</v>
      </c>
      <c r="BA91">
        <v>96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Y91*Source!I47</f>
        <v>22.6</v>
      </c>
      <c r="CY91">
        <f>AD91</f>
        <v>320.57</v>
      </c>
      <c r="CZ91">
        <f>AH91</f>
        <v>320.57</v>
      </c>
      <c r="DA91">
        <f>AL91</f>
        <v>1</v>
      </c>
      <c r="DB91">
        <f t="shared" si="19"/>
        <v>7244.88</v>
      </c>
      <c r="DC91">
        <f t="shared" si="20"/>
        <v>0</v>
      </c>
    </row>
    <row r="92" spans="1:107" x14ac:dyDescent="0.2">
      <c r="A92">
        <f>ROW(Source!A47)</f>
        <v>47</v>
      </c>
      <c r="B92">
        <v>50121127</v>
      </c>
      <c r="C92">
        <v>50121403</v>
      </c>
      <c r="D92">
        <v>121548</v>
      </c>
      <c r="E92">
        <v>1</v>
      </c>
      <c r="F92">
        <v>1</v>
      </c>
      <c r="G92">
        <v>1</v>
      </c>
      <c r="H92">
        <v>1</v>
      </c>
      <c r="I92" t="s">
        <v>28</v>
      </c>
      <c r="J92" t="s">
        <v>3</v>
      </c>
      <c r="K92" t="s">
        <v>282</v>
      </c>
      <c r="L92">
        <v>608254</v>
      </c>
      <c r="N92">
        <v>1013</v>
      </c>
      <c r="O92" t="s">
        <v>283</v>
      </c>
      <c r="P92" t="s">
        <v>283</v>
      </c>
      <c r="Q92">
        <v>1</v>
      </c>
      <c r="W92">
        <v>0</v>
      </c>
      <c r="X92">
        <v>-185737400</v>
      </c>
      <c r="Y92">
        <v>8.73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8.73</v>
      </c>
      <c r="AU92" t="s">
        <v>3</v>
      </c>
      <c r="AV92">
        <v>2</v>
      </c>
      <c r="AW92">
        <v>2</v>
      </c>
      <c r="AX92">
        <v>50121412</v>
      </c>
      <c r="AY92">
        <v>1</v>
      </c>
      <c r="AZ92">
        <v>0</v>
      </c>
      <c r="BA92">
        <v>97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Y92*Source!I47</f>
        <v>8.73</v>
      </c>
      <c r="CY92">
        <f>AD92</f>
        <v>0</v>
      </c>
      <c r="CZ92">
        <f>AH92</f>
        <v>0</v>
      </c>
      <c r="DA92">
        <f>AL92</f>
        <v>1</v>
      </c>
      <c r="DB92">
        <f t="shared" si="19"/>
        <v>0</v>
      </c>
      <c r="DC92">
        <f t="shared" si="20"/>
        <v>0</v>
      </c>
    </row>
    <row r="93" spans="1:107" x14ac:dyDescent="0.2">
      <c r="A93">
        <f>ROW(Source!A47)</f>
        <v>47</v>
      </c>
      <c r="B93">
        <v>50121127</v>
      </c>
      <c r="C93">
        <v>50121403</v>
      </c>
      <c r="D93">
        <v>29172362</v>
      </c>
      <c r="E93">
        <v>1</v>
      </c>
      <c r="F93">
        <v>1</v>
      </c>
      <c r="G93">
        <v>1</v>
      </c>
      <c r="H93">
        <v>2</v>
      </c>
      <c r="I93" t="s">
        <v>284</v>
      </c>
      <c r="J93" t="s">
        <v>285</v>
      </c>
      <c r="K93" t="s">
        <v>286</v>
      </c>
      <c r="L93">
        <v>1368</v>
      </c>
      <c r="N93">
        <v>1011</v>
      </c>
      <c r="O93" t="s">
        <v>287</v>
      </c>
      <c r="P93" t="s">
        <v>287</v>
      </c>
      <c r="Q93">
        <v>1</v>
      </c>
      <c r="W93">
        <v>0</v>
      </c>
      <c r="X93">
        <v>783836208</v>
      </c>
      <c r="Y93">
        <v>7.3</v>
      </c>
      <c r="AA93">
        <v>0</v>
      </c>
      <c r="AB93">
        <v>1113.56</v>
      </c>
      <c r="AC93">
        <v>449.82</v>
      </c>
      <c r="AD93">
        <v>0</v>
      </c>
      <c r="AE93">
        <v>0</v>
      </c>
      <c r="AF93">
        <v>134.65</v>
      </c>
      <c r="AG93">
        <v>13.5</v>
      </c>
      <c r="AH93">
        <v>0</v>
      </c>
      <c r="AI93">
        <v>1</v>
      </c>
      <c r="AJ93">
        <v>8.27</v>
      </c>
      <c r="AK93">
        <v>33.32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7.3</v>
      </c>
      <c r="AU93" t="s">
        <v>3</v>
      </c>
      <c r="AV93">
        <v>0</v>
      </c>
      <c r="AW93">
        <v>2</v>
      </c>
      <c r="AX93">
        <v>50121413</v>
      </c>
      <c r="AY93">
        <v>1</v>
      </c>
      <c r="AZ93">
        <v>0</v>
      </c>
      <c r="BA93">
        <v>98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Y93*Source!I47</f>
        <v>7.3</v>
      </c>
      <c r="CY93">
        <f>AB93</f>
        <v>1113.56</v>
      </c>
      <c r="CZ93">
        <f>AF93</f>
        <v>134.65</v>
      </c>
      <c r="DA93">
        <f>AJ93</f>
        <v>8.27</v>
      </c>
      <c r="DB93">
        <f t="shared" si="19"/>
        <v>982.95</v>
      </c>
      <c r="DC93">
        <f t="shared" si="20"/>
        <v>98.55</v>
      </c>
    </row>
    <row r="94" spans="1:107" x14ac:dyDescent="0.2">
      <c r="A94">
        <f>ROW(Source!A47)</f>
        <v>47</v>
      </c>
      <c r="B94">
        <v>50121127</v>
      </c>
      <c r="C94">
        <v>50121403</v>
      </c>
      <c r="D94">
        <v>29172714</v>
      </c>
      <c r="E94">
        <v>1</v>
      </c>
      <c r="F94">
        <v>1</v>
      </c>
      <c r="G94">
        <v>1</v>
      </c>
      <c r="H94">
        <v>2</v>
      </c>
      <c r="I94" t="s">
        <v>446</v>
      </c>
      <c r="J94" t="s">
        <v>447</v>
      </c>
      <c r="K94" t="s">
        <v>448</v>
      </c>
      <c r="L94">
        <v>1368</v>
      </c>
      <c r="N94">
        <v>1011</v>
      </c>
      <c r="O94" t="s">
        <v>287</v>
      </c>
      <c r="P94" t="s">
        <v>287</v>
      </c>
      <c r="Q94">
        <v>1</v>
      </c>
      <c r="W94">
        <v>0</v>
      </c>
      <c r="X94">
        <v>-713554161</v>
      </c>
      <c r="Y94">
        <v>1.43</v>
      </c>
      <c r="AA94">
        <v>0</v>
      </c>
      <c r="AB94">
        <v>853</v>
      </c>
      <c r="AC94">
        <v>335.2</v>
      </c>
      <c r="AD94">
        <v>0</v>
      </c>
      <c r="AE94">
        <v>0</v>
      </c>
      <c r="AF94">
        <v>100</v>
      </c>
      <c r="AG94">
        <v>10.06</v>
      </c>
      <c r="AH94">
        <v>0</v>
      </c>
      <c r="AI94">
        <v>1</v>
      </c>
      <c r="AJ94">
        <v>8.5299999999999994</v>
      </c>
      <c r="AK94">
        <v>33.32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1.43</v>
      </c>
      <c r="AU94" t="s">
        <v>3</v>
      </c>
      <c r="AV94">
        <v>0</v>
      </c>
      <c r="AW94">
        <v>2</v>
      </c>
      <c r="AX94">
        <v>50121414</v>
      </c>
      <c r="AY94">
        <v>1</v>
      </c>
      <c r="AZ94">
        <v>0</v>
      </c>
      <c r="BA94">
        <v>99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Y94*Source!I47</f>
        <v>1.43</v>
      </c>
      <c r="CY94">
        <f>AB94</f>
        <v>853</v>
      </c>
      <c r="CZ94">
        <f>AF94</f>
        <v>100</v>
      </c>
      <c r="DA94">
        <f>AJ94</f>
        <v>8.5299999999999994</v>
      </c>
      <c r="DB94">
        <f t="shared" si="19"/>
        <v>143</v>
      </c>
      <c r="DC94">
        <f t="shared" si="20"/>
        <v>14.39</v>
      </c>
    </row>
    <row r="95" spans="1:107" x14ac:dyDescent="0.2">
      <c r="A95">
        <f>ROW(Source!A47)</f>
        <v>47</v>
      </c>
      <c r="B95">
        <v>50121127</v>
      </c>
      <c r="C95">
        <v>50121403</v>
      </c>
      <c r="D95">
        <v>29174913</v>
      </c>
      <c r="E95">
        <v>1</v>
      </c>
      <c r="F95">
        <v>1</v>
      </c>
      <c r="G95">
        <v>1</v>
      </c>
      <c r="H95">
        <v>2</v>
      </c>
      <c r="I95" t="s">
        <v>297</v>
      </c>
      <c r="J95" t="s">
        <v>298</v>
      </c>
      <c r="K95" t="s">
        <v>299</v>
      </c>
      <c r="L95">
        <v>1368</v>
      </c>
      <c r="N95">
        <v>1011</v>
      </c>
      <c r="O95" t="s">
        <v>287</v>
      </c>
      <c r="P95" t="s">
        <v>287</v>
      </c>
      <c r="Q95">
        <v>1</v>
      </c>
      <c r="W95">
        <v>0</v>
      </c>
      <c r="X95">
        <v>1230759911</v>
      </c>
      <c r="Y95">
        <v>7.3</v>
      </c>
      <c r="AA95">
        <v>0</v>
      </c>
      <c r="AB95">
        <v>932.72</v>
      </c>
      <c r="AC95">
        <v>386.51</v>
      </c>
      <c r="AD95">
        <v>0</v>
      </c>
      <c r="AE95">
        <v>0</v>
      </c>
      <c r="AF95">
        <v>87.17</v>
      </c>
      <c r="AG95">
        <v>11.6</v>
      </c>
      <c r="AH95">
        <v>0</v>
      </c>
      <c r="AI95">
        <v>1</v>
      </c>
      <c r="AJ95">
        <v>10.7</v>
      </c>
      <c r="AK95">
        <v>33.32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7.3</v>
      </c>
      <c r="AU95" t="s">
        <v>3</v>
      </c>
      <c r="AV95">
        <v>0</v>
      </c>
      <c r="AW95">
        <v>2</v>
      </c>
      <c r="AX95">
        <v>50121415</v>
      </c>
      <c r="AY95">
        <v>1</v>
      </c>
      <c r="AZ95">
        <v>0</v>
      </c>
      <c r="BA95">
        <v>100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Y95*Source!I47</f>
        <v>7.3</v>
      </c>
      <c r="CY95">
        <f>AB95</f>
        <v>932.72</v>
      </c>
      <c r="CZ95">
        <f>AF95</f>
        <v>87.17</v>
      </c>
      <c r="DA95">
        <f>AJ95</f>
        <v>10.7</v>
      </c>
      <c r="DB95">
        <f t="shared" si="19"/>
        <v>636.34</v>
      </c>
      <c r="DC95">
        <f t="shared" si="20"/>
        <v>84.68</v>
      </c>
    </row>
    <row r="96" spans="1:107" x14ac:dyDescent="0.2">
      <c r="A96">
        <f>ROW(Source!A47)</f>
        <v>47</v>
      </c>
      <c r="B96">
        <v>50121127</v>
      </c>
      <c r="C96">
        <v>50121403</v>
      </c>
      <c r="D96">
        <v>29171808</v>
      </c>
      <c r="E96">
        <v>1</v>
      </c>
      <c r="F96">
        <v>1</v>
      </c>
      <c r="G96">
        <v>1</v>
      </c>
      <c r="H96">
        <v>3</v>
      </c>
      <c r="I96" t="s">
        <v>272</v>
      </c>
      <c r="J96" t="s">
        <v>273</v>
      </c>
      <c r="K96" t="s">
        <v>274</v>
      </c>
      <c r="L96">
        <v>1374</v>
      </c>
      <c r="N96">
        <v>1013</v>
      </c>
      <c r="O96" t="s">
        <v>275</v>
      </c>
      <c r="P96" t="s">
        <v>275</v>
      </c>
      <c r="Q96">
        <v>1</v>
      </c>
      <c r="W96">
        <v>0</v>
      </c>
      <c r="X96">
        <v>-915781824</v>
      </c>
      <c r="Y96">
        <v>4.3499999999999996</v>
      </c>
      <c r="AA96">
        <v>1</v>
      </c>
      <c r="AB96">
        <v>0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3</v>
      </c>
      <c r="AT96">
        <v>4.3499999999999996</v>
      </c>
      <c r="AU96" t="s">
        <v>3</v>
      </c>
      <c r="AV96">
        <v>0</v>
      </c>
      <c r="AW96">
        <v>2</v>
      </c>
      <c r="AX96">
        <v>50121416</v>
      </c>
      <c r="AY96">
        <v>1</v>
      </c>
      <c r="AZ96">
        <v>0</v>
      </c>
      <c r="BA96">
        <v>101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Y96*Source!I47</f>
        <v>4.3499999999999996</v>
      </c>
      <c r="CY96">
        <f>AA96</f>
        <v>1</v>
      </c>
      <c r="CZ96">
        <f>AE96</f>
        <v>1</v>
      </c>
      <c r="DA96">
        <f>AI96</f>
        <v>1</v>
      </c>
      <c r="DB96">
        <f t="shared" si="19"/>
        <v>4.3499999999999996</v>
      </c>
      <c r="DC96">
        <f t="shared" si="20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50121196</v>
      </c>
      <c r="C1">
        <v>50121193</v>
      </c>
      <c r="D1">
        <v>29365789</v>
      </c>
      <c r="E1">
        <v>1</v>
      </c>
      <c r="F1">
        <v>1</v>
      </c>
      <c r="G1">
        <v>1</v>
      </c>
      <c r="H1">
        <v>1</v>
      </c>
      <c r="I1" t="s">
        <v>269</v>
      </c>
      <c r="J1" t="s">
        <v>3</v>
      </c>
      <c r="K1" t="s">
        <v>270</v>
      </c>
      <c r="L1">
        <v>1369</v>
      </c>
      <c r="N1">
        <v>1013</v>
      </c>
      <c r="O1" t="s">
        <v>271</v>
      </c>
      <c r="P1" t="s">
        <v>271</v>
      </c>
      <c r="Q1">
        <v>1</v>
      </c>
      <c r="X1">
        <v>4.12</v>
      </c>
      <c r="Y1">
        <v>0</v>
      </c>
      <c r="Z1">
        <v>0</v>
      </c>
      <c r="AA1">
        <v>0</v>
      </c>
      <c r="AB1">
        <v>8.5299999999999994</v>
      </c>
      <c r="AC1">
        <v>0</v>
      </c>
      <c r="AD1">
        <v>1</v>
      </c>
      <c r="AE1">
        <v>1</v>
      </c>
      <c r="AF1" t="s">
        <v>3</v>
      </c>
      <c r="AG1">
        <v>4.12</v>
      </c>
      <c r="AH1">
        <v>2</v>
      </c>
      <c r="AI1">
        <v>50121194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50121197</v>
      </c>
      <c r="C2">
        <v>50121193</v>
      </c>
      <c r="D2">
        <v>29171807</v>
      </c>
      <c r="E2">
        <v>1</v>
      </c>
      <c r="F2">
        <v>1</v>
      </c>
      <c r="G2">
        <v>1</v>
      </c>
      <c r="H2">
        <v>3</v>
      </c>
      <c r="I2" t="s">
        <v>449</v>
      </c>
      <c r="J2" t="s">
        <v>450</v>
      </c>
      <c r="K2" t="s">
        <v>451</v>
      </c>
      <c r="L2">
        <v>1348</v>
      </c>
      <c r="N2">
        <v>1009</v>
      </c>
      <c r="O2" t="s">
        <v>134</v>
      </c>
      <c r="P2" t="s">
        <v>134</v>
      </c>
      <c r="Q2">
        <v>1000</v>
      </c>
      <c r="X2">
        <v>4.0000000000000002E-4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 t="s">
        <v>3</v>
      </c>
      <c r="AG2">
        <v>4.0000000000000002E-4</v>
      </c>
      <c r="AH2">
        <v>3</v>
      </c>
      <c r="AI2">
        <v>-1</v>
      </c>
      <c r="AJ2" t="s">
        <v>3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50121198</v>
      </c>
      <c r="C3">
        <v>50121193</v>
      </c>
      <c r="D3">
        <v>29171808</v>
      </c>
      <c r="E3">
        <v>1</v>
      </c>
      <c r="F3">
        <v>1</v>
      </c>
      <c r="G3">
        <v>1</v>
      </c>
      <c r="H3">
        <v>3</v>
      </c>
      <c r="I3" t="s">
        <v>272</v>
      </c>
      <c r="J3" t="s">
        <v>273</v>
      </c>
      <c r="K3" t="s">
        <v>274</v>
      </c>
      <c r="L3">
        <v>1374</v>
      </c>
      <c r="N3">
        <v>1013</v>
      </c>
      <c r="O3" t="s">
        <v>275</v>
      </c>
      <c r="P3" t="s">
        <v>275</v>
      </c>
      <c r="Q3">
        <v>1</v>
      </c>
      <c r="X3">
        <v>0.7</v>
      </c>
      <c r="Y3">
        <v>1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0.7</v>
      </c>
      <c r="AH3">
        <v>2</v>
      </c>
      <c r="AI3">
        <v>50121195</v>
      </c>
      <c r="AJ3">
        <v>2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ROW(Source!A26)</f>
        <v>26</v>
      </c>
      <c r="B4">
        <v>50121204</v>
      </c>
      <c r="C4">
        <v>50121200</v>
      </c>
      <c r="D4">
        <v>29364679</v>
      </c>
      <c r="E4">
        <v>1</v>
      </c>
      <c r="F4">
        <v>1</v>
      </c>
      <c r="G4">
        <v>1</v>
      </c>
      <c r="H4">
        <v>1</v>
      </c>
      <c r="I4" t="s">
        <v>276</v>
      </c>
      <c r="J4" t="s">
        <v>3</v>
      </c>
      <c r="K4" t="s">
        <v>277</v>
      </c>
      <c r="L4">
        <v>1369</v>
      </c>
      <c r="N4">
        <v>1013</v>
      </c>
      <c r="O4" t="s">
        <v>271</v>
      </c>
      <c r="P4" t="s">
        <v>271</v>
      </c>
      <c r="Q4">
        <v>1</v>
      </c>
      <c r="X4">
        <v>1.03</v>
      </c>
      <c r="Y4">
        <v>0</v>
      </c>
      <c r="Z4">
        <v>0</v>
      </c>
      <c r="AA4">
        <v>0</v>
      </c>
      <c r="AB4">
        <v>327.81</v>
      </c>
      <c r="AC4">
        <v>0</v>
      </c>
      <c r="AD4">
        <v>1</v>
      </c>
      <c r="AE4">
        <v>1</v>
      </c>
      <c r="AF4" t="s">
        <v>3</v>
      </c>
      <c r="AG4">
        <v>1.03</v>
      </c>
      <c r="AH4">
        <v>2</v>
      </c>
      <c r="AI4">
        <v>50121201</v>
      </c>
      <c r="AJ4">
        <v>3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ROW(Source!A26)</f>
        <v>26</v>
      </c>
      <c r="B5">
        <v>50121205</v>
      </c>
      <c r="C5">
        <v>50121200</v>
      </c>
      <c r="D5">
        <v>29171661</v>
      </c>
      <c r="E5">
        <v>1</v>
      </c>
      <c r="F5">
        <v>1</v>
      </c>
      <c r="G5">
        <v>1</v>
      </c>
      <c r="H5">
        <v>3</v>
      </c>
      <c r="I5" t="s">
        <v>278</v>
      </c>
      <c r="J5" t="s">
        <v>279</v>
      </c>
      <c r="K5" t="s">
        <v>280</v>
      </c>
      <c r="L5">
        <v>1346</v>
      </c>
      <c r="N5">
        <v>1009</v>
      </c>
      <c r="O5" t="s">
        <v>281</v>
      </c>
      <c r="P5" t="s">
        <v>281</v>
      </c>
      <c r="Q5">
        <v>1</v>
      </c>
      <c r="X5">
        <v>4.2000000000000003E-2</v>
      </c>
      <c r="Y5">
        <v>26.52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4.2000000000000003E-2</v>
      </c>
      <c r="AH5">
        <v>2</v>
      </c>
      <c r="AI5">
        <v>50121202</v>
      </c>
      <c r="AJ5">
        <v>4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ROW(Source!A26)</f>
        <v>26</v>
      </c>
      <c r="B6">
        <v>50121206</v>
      </c>
      <c r="C6">
        <v>50121200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272</v>
      </c>
      <c r="J6" t="s">
        <v>273</v>
      </c>
      <c r="K6" t="s">
        <v>274</v>
      </c>
      <c r="L6">
        <v>1374</v>
      </c>
      <c r="N6">
        <v>1013</v>
      </c>
      <c r="O6" t="s">
        <v>275</v>
      </c>
      <c r="P6" t="s">
        <v>275</v>
      </c>
      <c r="Q6">
        <v>1</v>
      </c>
      <c r="X6">
        <v>0.2</v>
      </c>
      <c r="Y6">
        <v>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0.2</v>
      </c>
      <c r="AH6">
        <v>2</v>
      </c>
      <c r="AI6">
        <v>50121203</v>
      </c>
      <c r="AJ6">
        <v>5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ROW(Source!A29)</f>
        <v>29</v>
      </c>
      <c r="B7">
        <v>50121221</v>
      </c>
      <c r="C7">
        <v>50121209</v>
      </c>
      <c r="D7">
        <v>29364679</v>
      </c>
      <c r="E7">
        <v>1</v>
      </c>
      <c r="F7">
        <v>1</v>
      </c>
      <c r="G7">
        <v>1</v>
      </c>
      <c r="H7">
        <v>1</v>
      </c>
      <c r="I7" t="s">
        <v>276</v>
      </c>
      <c r="J7" t="s">
        <v>3</v>
      </c>
      <c r="K7" t="s">
        <v>277</v>
      </c>
      <c r="L7">
        <v>1369</v>
      </c>
      <c r="N7">
        <v>1013</v>
      </c>
      <c r="O7" t="s">
        <v>271</v>
      </c>
      <c r="P7" t="s">
        <v>271</v>
      </c>
      <c r="Q7">
        <v>1</v>
      </c>
      <c r="X7">
        <v>2.37</v>
      </c>
      <c r="Y7">
        <v>0</v>
      </c>
      <c r="Z7">
        <v>0</v>
      </c>
      <c r="AA7">
        <v>0</v>
      </c>
      <c r="AB7">
        <v>327.81</v>
      </c>
      <c r="AC7">
        <v>0</v>
      </c>
      <c r="AD7">
        <v>1</v>
      </c>
      <c r="AE7">
        <v>1</v>
      </c>
      <c r="AF7" t="s">
        <v>3</v>
      </c>
      <c r="AG7">
        <v>2.37</v>
      </c>
      <c r="AH7">
        <v>2</v>
      </c>
      <c r="AI7">
        <v>50121210</v>
      </c>
      <c r="AJ7">
        <v>6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ROW(Source!A29)</f>
        <v>29</v>
      </c>
      <c r="B8">
        <v>50121222</v>
      </c>
      <c r="C8">
        <v>50121209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28</v>
      </c>
      <c r="J8" t="s">
        <v>3</v>
      </c>
      <c r="K8" t="s">
        <v>282</v>
      </c>
      <c r="L8">
        <v>608254</v>
      </c>
      <c r="N8">
        <v>1013</v>
      </c>
      <c r="O8" t="s">
        <v>283</v>
      </c>
      <c r="P8" t="s">
        <v>283</v>
      </c>
      <c r="Q8">
        <v>1</v>
      </c>
      <c r="X8">
        <v>0.28999999999999998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3</v>
      </c>
      <c r="AG8">
        <v>0.28999999999999998</v>
      </c>
      <c r="AH8">
        <v>2</v>
      </c>
      <c r="AI8">
        <v>50121211</v>
      </c>
      <c r="AJ8">
        <v>7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ROW(Source!A29)</f>
        <v>29</v>
      </c>
      <c r="B9">
        <v>50121223</v>
      </c>
      <c r="C9">
        <v>50121209</v>
      </c>
      <c r="D9">
        <v>29172362</v>
      </c>
      <c r="E9">
        <v>1</v>
      </c>
      <c r="F9">
        <v>1</v>
      </c>
      <c r="G9">
        <v>1</v>
      </c>
      <c r="H9">
        <v>2</v>
      </c>
      <c r="I9" t="s">
        <v>284</v>
      </c>
      <c r="J9" t="s">
        <v>285</v>
      </c>
      <c r="K9" t="s">
        <v>286</v>
      </c>
      <c r="L9">
        <v>1368</v>
      </c>
      <c r="N9">
        <v>1011</v>
      </c>
      <c r="O9" t="s">
        <v>287</v>
      </c>
      <c r="P9" t="s">
        <v>287</v>
      </c>
      <c r="Q9">
        <v>1</v>
      </c>
      <c r="X9">
        <v>7.0000000000000007E-2</v>
      </c>
      <c r="Y9">
        <v>0</v>
      </c>
      <c r="Z9">
        <v>134.65</v>
      </c>
      <c r="AA9">
        <v>13.5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7.0000000000000007E-2</v>
      </c>
      <c r="AH9">
        <v>2</v>
      </c>
      <c r="AI9">
        <v>50121212</v>
      </c>
      <c r="AJ9">
        <v>8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ROW(Source!A29)</f>
        <v>29</v>
      </c>
      <c r="B10">
        <v>50121224</v>
      </c>
      <c r="C10">
        <v>50121209</v>
      </c>
      <c r="D10">
        <v>29172657</v>
      </c>
      <c r="E10">
        <v>1</v>
      </c>
      <c r="F10">
        <v>1</v>
      </c>
      <c r="G10">
        <v>1</v>
      </c>
      <c r="H10">
        <v>2</v>
      </c>
      <c r="I10" t="s">
        <v>288</v>
      </c>
      <c r="J10" t="s">
        <v>289</v>
      </c>
      <c r="K10" t="s">
        <v>290</v>
      </c>
      <c r="L10">
        <v>1368</v>
      </c>
      <c r="N10">
        <v>1011</v>
      </c>
      <c r="O10" t="s">
        <v>287</v>
      </c>
      <c r="P10" t="s">
        <v>287</v>
      </c>
      <c r="Q10">
        <v>1</v>
      </c>
      <c r="X10">
        <v>0.71</v>
      </c>
      <c r="Y10">
        <v>0</v>
      </c>
      <c r="Z10">
        <v>8.1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0.71</v>
      </c>
      <c r="AH10">
        <v>2</v>
      </c>
      <c r="AI10">
        <v>50121213</v>
      </c>
      <c r="AJ10">
        <v>9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ROW(Source!A29)</f>
        <v>29</v>
      </c>
      <c r="B11">
        <v>50121225</v>
      </c>
      <c r="C11">
        <v>50121209</v>
      </c>
      <c r="D11">
        <v>29172710</v>
      </c>
      <c r="E11">
        <v>1</v>
      </c>
      <c r="F11">
        <v>1</v>
      </c>
      <c r="G11">
        <v>1</v>
      </c>
      <c r="H11">
        <v>2</v>
      </c>
      <c r="I11" t="s">
        <v>291</v>
      </c>
      <c r="J11" t="s">
        <v>292</v>
      </c>
      <c r="K11" t="s">
        <v>293</v>
      </c>
      <c r="L11">
        <v>1368</v>
      </c>
      <c r="N11">
        <v>1011</v>
      </c>
      <c r="O11" t="s">
        <v>287</v>
      </c>
      <c r="P11" t="s">
        <v>287</v>
      </c>
      <c r="Q11">
        <v>1</v>
      </c>
      <c r="X11">
        <v>0.22</v>
      </c>
      <c r="Y11">
        <v>0</v>
      </c>
      <c r="Z11">
        <v>46.56</v>
      </c>
      <c r="AA11">
        <v>10.06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0.22</v>
      </c>
      <c r="AH11">
        <v>2</v>
      </c>
      <c r="AI11">
        <v>50121214</v>
      </c>
      <c r="AJ11">
        <v>10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ROW(Source!A29)</f>
        <v>29</v>
      </c>
      <c r="B12">
        <v>50121226</v>
      </c>
      <c r="C12">
        <v>50121209</v>
      </c>
      <c r="D12">
        <v>29173040</v>
      </c>
      <c r="E12">
        <v>1</v>
      </c>
      <c r="F12">
        <v>1</v>
      </c>
      <c r="G12">
        <v>1</v>
      </c>
      <c r="H12">
        <v>2</v>
      </c>
      <c r="I12" t="s">
        <v>294</v>
      </c>
      <c r="J12" t="s">
        <v>295</v>
      </c>
      <c r="K12" t="s">
        <v>296</v>
      </c>
      <c r="L12">
        <v>1368</v>
      </c>
      <c r="N12">
        <v>1011</v>
      </c>
      <c r="O12" t="s">
        <v>287</v>
      </c>
      <c r="P12" t="s">
        <v>287</v>
      </c>
      <c r="Q12">
        <v>1</v>
      </c>
      <c r="X12">
        <v>0.22</v>
      </c>
      <c r="Y12">
        <v>0</v>
      </c>
      <c r="Z12">
        <v>2.99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0.22</v>
      </c>
      <c r="AH12">
        <v>2</v>
      </c>
      <c r="AI12">
        <v>50121215</v>
      </c>
      <c r="AJ12">
        <v>11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ROW(Source!A29)</f>
        <v>29</v>
      </c>
      <c r="B13">
        <v>50121227</v>
      </c>
      <c r="C13">
        <v>50121209</v>
      </c>
      <c r="D13">
        <v>29174913</v>
      </c>
      <c r="E13">
        <v>1</v>
      </c>
      <c r="F13">
        <v>1</v>
      </c>
      <c r="G13">
        <v>1</v>
      </c>
      <c r="H13">
        <v>2</v>
      </c>
      <c r="I13" t="s">
        <v>297</v>
      </c>
      <c r="J13" t="s">
        <v>298</v>
      </c>
      <c r="K13" t="s">
        <v>299</v>
      </c>
      <c r="L13">
        <v>1368</v>
      </c>
      <c r="N13">
        <v>1011</v>
      </c>
      <c r="O13" t="s">
        <v>287</v>
      </c>
      <c r="P13" t="s">
        <v>287</v>
      </c>
      <c r="Q13">
        <v>1</v>
      </c>
      <c r="X13">
        <v>7.0000000000000007E-2</v>
      </c>
      <c r="Y13">
        <v>0</v>
      </c>
      <c r="Z13">
        <v>87.17</v>
      </c>
      <c r="AA13">
        <v>11.6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7.0000000000000007E-2</v>
      </c>
      <c r="AH13">
        <v>2</v>
      </c>
      <c r="AI13">
        <v>50121216</v>
      </c>
      <c r="AJ13">
        <v>12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ROW(Source!A29)</f>
        <v>29</v>
      </c>
      <c r="B14">
        <v>50121228</v>
      </c>
      <c r="C14">
        <v>50121209</v>
      </c>
      <c r="D14">
        <v>29113980</v>
      </c>
      <c r="E14">
        <v>1</v>
      </c>
      <c r="F14">
        <v>1</v>
      </c>
      <c r="G14">
        <v>1</v>
      </c>
      <c r="H14">
        <v>3</v>
      </c>
      <c r="I14" t="s">
        <v>300</v>
      </c>
      <c r="J14" t="s">
        <v>301</v>
      </c>
      <c r="K14" t="s">
        <v>302</v>
      </c>
      <c r="L14">
        <v>1346</v>
      </c>
      <c r="N14">
        <v>1009</v>
      </c>
      <c r="O14" t="s">
        <v>281</v>
      </c>
      <c r="P14" t="s">
        <v>281</v>
      </c>
      <c r="Q14">
        <v>1</v>
      </c>
      <c r="X14">
        <v>0.1</v>
      </c>
      <c r="Y14">
        <v>14.31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</v>
      </c>
      <c r="AH14">
        <v>2</v>
      </c>
      <c r="AI14">
        <v>50121217</v>
      </c>
      <c r="AJ14">
        <v>13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ROW(Source!A29)</f>
        <v>29</v>
      </c>
      <c r="B15">
        <v>50121229</v>
      </c>
      <c r="C15">
        <v>50121209</v>
      </c>
      <c r="D15">
        <v>29114246</v>
      </c>
      <c r="E15">
        <v>1</v>
      </c>
      <c r="F15">
        <v>1</v>
      </c>
      <c r="G15">
        <v>1</v>
      </c>
      <c r="H15">
        <v>3</v>
      </c>
      <c r="I15" t="s">
        <v>303</v>
      </c>
      <c r="J15" t="s">
        <v>304</v>
      </c>
      <c r="K15" t="s">
        <v>305</v>
      </c>
      <c r="L15">
        <v>1346</v>
      </c>
      <c r="N15">
        <v>1009</v>
      </c>
      <c r="O15" t="s">
        <v>281</v>
      </c>
      <c r="P15" t="s">
        <v>281</v>
      </c>
      <c r="Q15">
        <v>1</v>
      </c>
      <c r="X15">
        <v>0.1</v>
      </c>
      <c r="Y15">
        <v>9.0399999999999991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0.1</v>
      </c>
      <c r="AH15">
        <v>2</v>
      </c>
      <c r="AI15">
        <v>50121218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ROW(Source!A29)</f>
        <v>29</v>
      </c>
      <c r="B16">
        <v>50121230</v>
      </c>
      <c r="C16">
        <v>50121209</v>
      </c>
      <c r="D16">
        <v>29110426</v>
      </c>
      <c r="E16">
        <v>1</v>
      </c>
      <c r="F16">
        <v>1</v>
      </c>
      <c r="G16">
        <v>1</v>
      </c>
      <c r="H16">
        <v>3</v>
      </c>
      <c r="I16" t="s">
        <v>306</v>
      </c>
      <c r="J16" t="s">
        <v>307</v>
      </c>
      <c r="K16" t="s">
        <v>308</v>
      </c>
      <c r="L16">
        <v>1346</v>
      </c>
      <c r="N16">
        <v>1009</v>
      </c>
      <c r="O16" t="s">
        <v>281</v>
      </c>
      <c r="P16" t="s">
        <v>281</v>
      </c>
      <c r="Q16">
        <v>1</v>
      </c>
      <c r="X16">
        <v>0.02</v>
      </c>
      <c r="Y16">
        <v>28.67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0.02</v>
      </c>
      <c r="AH16">
        <v>2</v>
      </c>
      <c r="AI16">
        <v>50121219</v>
      </c>
      <c r="AJ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ROW(Source!A29)</f>
        <v>29</v>
      </c>
      <c r="B17">
        <v>50121231</v>
      </c>
      <c r="C17">
        <v>50121209</v>
      </c>
      <c r="D17">
        <v>29171808</v>
      </c>
      <c r="E17">
        <v>1</v>
      </c>
      <c r="F17">
        <v>1</v>
      </c>
      <c r="G17">
        <v>1</v>
      </c>
      <c r="H17">
        <v>3</v>
      </c>
      <c r="I17" t="s">
        <v>272</v>
      </c>
      <c r="J17" t="s">
        <v>273</v>
      </c>
      <c r="K17" t="s">
        <v>274</v>
      </c>
      <c r="L17">
        <v>1374</v>
      </c>
      <c r="N17">
        <v>1013</v>
      </c>
      <c r="O17" t="s">
        <v>275</v>
      </c>
      <c r="P17" t="s">
        <v>275</v>
      </c>
      <c r="Q17">
        <v>1</v>
      </c>
      <c r="X17">
        <v>0.47</v>
      </c>
      <c r="Y17">
        <v>1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0.47</v>
      </c>
      <c r="AH17">
        <v>2</v>
      </c>
      <c r="AI17">
        <v>50121220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ROW(Source!A31)</f>
        <v>31</v>
      </c>
      <c r="B18">
        <v>50121244</v>
      </c>
      <c r="C18">
        <v>50121233</v>
      </c>
      <c r="D18">
        <v>29362762</v>
      </c>
      <c r="E18">
        <v>1</v>
      </c>
      <c r="F18">
        <v>1</v>
      </c>
      <c r="G18">
        <v>1</v>
      </c>
      <c r="H18">
        <v>1</v>
      </c>
      <c r="I18" t="s">
        <v>309</v>
      </c>
      <c r="J18" t="s">
        <v>3</v>
      </c>
      <c r="K18" t="s">
        <v>310</v>
      </c>
      <c r="L18">
        <v>1369</v>
      </c>
      <c r="N18">
        <v>1013</v>
      </c>
      <c r="O18" t="s">
        <v>271</v>
      </c>
      <c r="P18" t="s">
        <v>271</v>
      </c>
      <c r="Q18">
        <v>1</v>
      </c>
      <c r="X18">
        <v>229</v>
      </c>
      <c r="Y18">
        <v>0</v>
      </c>
      <c r="Z18">
        <v>0</v>
      </c>
      <c r="AA18">
        <v>0</v>
      </c>
      <c r="AB18">
        <v>317.89999999999998</v>
      </c>
      <c r="AC18">
        <v>0</v>
      </c>
      <c r="AD18">
        <v>1</v>
      </c>
      <c r="AE18">
        <v>1</v>
      </c>
      <c r="AF18" t="s">
        <v>3</v>
      </c>
      <c r="AG18">
        <v>229</v>
      </c>
      <c r="AH18">
        <v>2</v>
      </c>
      <c r="AI18">
        <v>50121234</v>
      </c>
      <c r="AJ18">
        <v>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ROW(Source!A31)</f>
        <v>31</v>
      </c>
      <c r="B19">
        <v>50121245</v>
      </c>
      <c r="C19">
        <v>50121233</v>
      </c>
      <c r="D19">
        <v>121548</v>
      </c>
      <c r="E19">
        <v>1</v>
      </c>
      <c r="F19">
        <v>1</v>
      </c>
      <c r="G19">
        <v>1</v>
      </c>
      <c r="H19">
        <v>1</v>
      </c>
      <c r="I19" t="s">
        <v>28</v>
      </c>
      <c r="J19" t="s">
        <v>3</v>
      </c>
      <c r="K19" t="s">
        <v>282</v>
      </c>
      <c r="L19">
        <v>608254</v>
      </c>
      <c r="N19">
        <v>1013</v>
      </c>
      <c r="O19" t="s">
        <v>283</v>
      </c>
      <c r="P19" t="s">
        <v>283</v>
      </c>
      <c r="Q19">
        <v>1</v>
      </c>
      <c r="X19">
        <v>1.96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2</v>
      </c>
      <c r="AF19" t="s">
        <v>3</v>
      </c>
      <c r="AG19">
        <v>1.96</v>
      </c>
      <c r="AH19">
        <v>2</v>
      </c>
      <c r="AI19">
        <v>50121235</v>
      </c>
      <c r="AJ19">
        <v>18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ROW(Source!A31)</f>
        <v>31</v>
      </c>
      <c r="B20">
        <v>50121246</v>
      </c>
      <c r="C20">
        <v>50121233</v>
      </c>
      <c r="D20">
        <v>29172362</v>
      </c>
      <c r="E20">
        <v>1</v>
      </c>
      <c r="F20">
        <v>1</v>
      </c>
      <c r="G20">
        <v>1</v>
      </c>
      <c r="H20">
        <v>2</v>
      </c>
      <c r="I20" t="s">
        <v>284</v>
      </c>
      <c r="J20" t="s">
        <v>285</v>
      </c>
      <c r="K20" t="s">
        <v>286</v>
      </c>
      <c r="L20">
        <v>1368</v>
      </c>
      <c r="N20">
        <v>1011</v>
      </c>
      <c r="O20" t="s">
        <v>287</v>
      </c>
      <c r="P20" t="s">
        <v>287</v>
      </c>
      <c r="Q20">
        <v>1</v>
      </c>
      <c r="X20">
        <v>1.96</v>
      </c>
      <c r="Y20">
        <v>0</v>
      </c>
      <c r="Z20">
        <v>134.65</v>
      </c>
      <c r="AA20">
        <v>13.5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1.96</v>
      </c>
      <c r="AH20">
        <v>2</v>
      </c>
      <c r="AI20">
        <v>50121236</v>
      </c>
      <c r="AJ20">
        <v>19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ROW(Source!A31)</f>
        <v>31</v>
      </c>
      <c r="B21">
        <v>50121247</v>
      </c>
      <c r="C21">
        <v>50121233</v>
      </c>
      <c r="D21">
        <v>29174913</v>
      </c>
      <c r="E21">
        <v>1</v>
      </c>
      <c r="F21">
        <v>1</v>
      </c>
      <c r="G21">
        <v>1</v>
      </c>
      <c r="H21">
        <v>2</v>
      </c>
      <c r="I21" t="s">
        <v>297</v>
      </c>
      <c r="J21" t="s">
        <v>298</v>
      </c>
      <c r="K21" t="s">
        <v>299</v>
      </c>
      <c r="L21">
        <v>1368</v>
      </c>
      <c r="N21">
        <v>1011</v>
      </c>
      <c r="O21" t="s">
        <v>287</v>
      </c>
      <c r="P21" t="s">
        <v>287</v>
      </c>
      <c r="Q21">
        <v>1</v>
      </c>
      <c r="X21">
        <v>1.96</v>
      </c>
      <c r="Y21">
        <v>0</v>
      </c>
      <c r="Z21">
        <v>87.17</v>
      </c>
      <c r="AA21">
        <v>11.6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1.96</v>
      </c>
      <c r="AH21">
        <v>2</v>
      </c>
      <c r="AI21">
        <v>50121237</v>
      </c>
      <c r="AJ21">
        <v>20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ROW(Source!A31)</f>
        <v>31</v>
      </c>
      <c r="B22">
        <v>50121248</v>
      </c>
      <c r="C22">
        <v>50121233</v>
      </c>
      <c r="D22">
        <v>29107578</v>
      </c>
      <c r="E22">
        <v>1</v>
      </c>
      <c r="F22">
        <v>1</v>
      </c>
      <c r="G22">
        <v>1</v>
      </c>
      <c r="H22">
        <v>3</v>
      </c>
      <c r="I22" t="s">
        <v>311</v>
      </c>
      <c r="J22" t="s">
        <v>312</v>
      </c>
      <c r="K22" t="s">
        <v>313</v>
      </c>
      <c r="L22">
        <v>1348</v>
      </c>
      <c r="N22">
        <v>1009</v>
      </c>
      <c r="O22" t="s">
        <v>134</v>
      </c>
      <c r="P22" t="s">
        <v>134</v>
      </c>
      <c r="Q22">
        <v>1000</v>
      </c>
      <c r="X22">
        <v>8.0000000000000007E-5</v>
      </c>
      <c r="Y22">
        <v>24599.99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8.0000000000000007E-5</v>
      </c>
      <c r="AH22">
        <v>2</v>
      </c>
      <c r="AI22">
        <v>50121238</v>
      </c>
      <c r="AJ22">
        <v>21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ROW(Source!A31)</f>
        <v>31</v>
      </c>
      <c r="B23">
        <v>50121249</v>
      </c>
      <c r="C23">
        <v>50121233</v>
      </c>
      <c r="D23">
        <v>29107441</v>
      </c>
      <c r="E23">
        <v>1</v>
      </c>
      <c r="F23">
        <v>1</v>
      </c>
      <c r="G23">
        <v>1</v>
      </c>
      <c r="H23">
        <v>3</v>
      </c>
      <c r="I23" t="s">
        <v>314</v>
      </c>
      <c r="J23" t="s">
        <v>315</v>
      </c>
      <c r="K23" t="s">
        <v>316</v>
      </c>
      <c r="L23">
        <v>1339</v>
      </c>
      <c r="N23">
        <v>1007</v>
      </c>
      <c r="O23" t="s">
        <v>317</v>
      </c>
      <c r="P23" t="s">
        <v>317</v>
      </c>
      <c r="Q23">
        <v>1</v>
      </c>
      <c r="X23">
        <v>2.2000000000000002</v>
      </c>
      <c r="Y23">
        <v>6.23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2.2000000000000002</v>
      </c>
      <c r="AH23">
        <v>2</v>
      </c>
      <c r="AI23">
        <v>50121239</v>
      </c>
      <c r="AJ23">
        <v>22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ROW(Source!A31)</f>
        <v>31</v>
      </c>
      <c r="B24">
        <v>50121250</v>
      </c>
      <c r="C24">
        <v>50121233</v>
      </c>
      <c r="D24">
        <v>29107430</v>
      </c>
      <c r="E24">
        <v>1</v>
      </c>
      <c r="F24">
        <v>1</v>
      </c>
      <c r="G24">
        <v>1</v>
      </c>
      <c r="H24">
        <v>3</v>
      </c>
      <c r="I24" t="s">
        <v>318</v>
      </c>
      <c r="J24" t="s">
        <v>319</v>
      </c>
      <c r="K24" t="s">
        <v>320</v>
      </c>
      <c r="L24">
        <v>1339</v>
      </c>
      <c r="N24">
        <v>1007</v>
      </c>
      <c r="O24" t="s">
        <v>317</v>
      </c>
      <c r="P24" t="s">
        <v>317</v>
      </c>
      <c r="Q24">
        <v>1</v>
      </c>
      <c r="X24">
        <v>1.9</v>
      </c>
      <c r="Y24">
        <v>38.49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1.9</v>
      </c>
      <c r="AH24">
        <v>2</v>
      </c>
      <c r="AI24">
        <v>50121240</v>
      </c>
      <c r="AJ24">
        <v>23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ROW(Source!A31)</f>
        <v>31</v>
      </c>
      <c r="B25">
        <v>50121251</v>
      </c>
      <c r="C25">
        <v>50121233</v>
      </c>
      <c r="D25">
        <v>29158033</v>
      </c>
      <c r="E25">
        <v>1</v>
      </c>
      <c r="F25">
        <v>1</v>
      </c>
      <c r="G25">
        <v>1</v>
      </c>
      <c r="H25">
        <v>3</v>
      </c>
      <c r="I25" t="s">
        <v>321</v>
      </c>
      <c r="J25" t="s">
        <v>322</v>
      </c>
      <c r="K25" t="s">
        <v>323</v>
      </c>
      <c r="L25">
        <v>1346</v>
      </c>
      <c r="N25">
        <v>1009</v>
      </c>
      <c r="O25" t="s">
        <v>281</v>
      </c>
      <c r="P25" t="s">
        <v>281</v>
      </c>
      <c r="Q25">
        <v>1</v>
      </c>
      <c r="X25">
        <v>0.84</v>
      </c>
      <c r="Y25">
        <v>59.25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0.84</v>
      </c>
      <c r="AH25">
        <v>2</v>
      </c>
      <c r="AI25">
        <v>50121241</v>
      </c>
      <c r="AJ25">
        <v>24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ROW(Source!A31)</f>
        <v>31</v>
      </c>
      <c r="B26">
        <v>50121252</v>
      </c>
      <c r="C26">
        <v>50121233</v>
      </c>
      <c r="D26">
        <v>29171661</v>
      </c>
      <c r="E26">
        <v>1</v>
      </c>
      <c r="F26">
        <v>1</v>
      </c>
      <c r="G26">
        <v>1</v>
      </c>
      <c r="H26">
        <v>3</v>
      </c>
      <c r="I26" t="s">
        <v>278</v>
      </c>
      <c r="J26" t="s">
        <v>279</v>
      </c>
      <c r="K26" t="s">
        <v>280</v>
      </c>
      <c r="L26">
        <v>1346</v>
      </c>
      <c r="N26">
        <v>1009</v>
      </c>
      <c r="O26" t="s">
        <v>281</v>
      </c>
      <c r="P26" t="s">
        <v>281</v>
      </c>
      <c r="Q26">
        <v>1</v>
      </c>
      <c r="X26">
        <v>8.8000000000000007</v>
      </c>
      <c r="Y26">
        <v>26.52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8.8000000000000007</v>
      </c>
      <c r="AH26">
        <v>2</v>
      </c>
      <c r="AI26">
        <v>50121242</v>
      </c>
      <c r="AJ26">
        <v>25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ROW(Source!A31)</f>
        <v>31</v>
      </c>
      <c r="B27">
        <v>50121253</v>
      </c>
      <c r="C27">
        <v>50121233</v>
      </c>
      <c r="D27">
        <v>29171808</v>
      </c>
      <c r="E27">
        <v>1</v>
      </c>
      <c r="F27">
        <v>1</v>
      </c>
      <c r="G27">
        <v>1</v>
      </c>
      <c r="H27">
        <v>3</v>
      </c>
      <c r="I27" t="s">
        <v>272</v>
      </c>
      <c r="J27" t="s">
        <v>273</v>
      </c>
      <c r="K27" t="s">
        <v>274</v>
      </c>
      <c r="L27">
        <v>1374</v>
      </c>
      <c r="N27">
        <v>1013</v>
      </c>
      <c r="O27" t="s">
        <v>275</v>
      </c>
      <c r="P27" t="s">
        <v>275</v>
      </c>
      <c r="Q27">
        <v>1</v>
      </c>
      <c r="X27">
        <v>44.06</v>
      </c>
      <c r="Y27">
        <v>1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44.06</v>
      </c>
      <c r="AH27">
        <v>2</v>
      </c>
      <c r="AI27">
        <v>50121243</v>
      </c>
      <c r="AJ27">
        <v>26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ROW(Source!A33)</f>
        <v>33</v>
      </c>
      <c r="B28">
        <v>50121268</v>
      </c>
      <c r="C28">
        <v>50121255</v>
      </c>
      <c r="D28">
        <v>29361034</v>
      </c>
      <c r="E28">
        <v>1</v>
      </c>
      <c r="F28">
        <v>1</v>
      </c>
      <c r="G28">
        <v>1</v>
      </c>
      <c r="H28">
        <v>1</v>
      </c>
      <c r="I28" t="s">
        <v>324</v>
      </c>
      <c r="J28" t="s">
        <v>3</v>
      </c>
      <c r="K28" t="s">
        <v>325</v>
      </c>
      <c r="L28">
        <v>1369</v>
      </c>
      <c r="N28">
        <v>1013</v>
      </c>
      <c r="O28" t="s">
        <v>271</v>
      </c>
      <c r="P28" t="s">
        <v>271</v>
      </c>
      <c r="Q28">
        <v>1</v>
      </c>
      <c r="X28">
        <v>16.16</v>
      </c>
      <c r="Y28">
        <v>0</v>
      </c>
      <c r="Z28">
        <v>0</v>
      </c>
      <c r="AA28">
        <v>0</v>
      </c>
      <c r="AB28">
        <v>310.63</v>
      </c>
      <c r="AC28">
        <v>0</v>
      </c>
      <c r="AD28">
        <v>1</v>
      </c>
      <c r="AE28">
        <v>1</v>
      </c>
      <c r="AF28" t="s">
        <v>3</v>
      </c>
      <c r="AG28">
        <v>16.16</v>
      </c>
      <c r="AH28">
        <v>2</v>
      </c>
      <c r="AI28">
        <v>50121256</v>
      </c>
      <c r="AJ28">
        <v>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ROW(Source!A33)</f>
        <v>33</v>
      </c>
      <c r="B29">
        <v>50121269</v>
      </c>
      <c r="C29">
        <v>50121255</v>
      </c>
      <c r="D29">
        <v>121548</v>
      </c>
      <c r="E29">
        <v>1</v>
      </c>
      <c r="F29">
        <v>1</v>
      </c>
      <c r="G29">
        <v>1</v>
      </c>
      <c r="H29">
        <v>1</v>
      </c>
      <c r="I29" t="s">
        <v>28</v>
      </c>
      <c r="J29" t="s">
        <v>3</v>
      </c>
      <c r="K29" t="s">
        <v>282</v>
      </c>
      <c r="L29">
        <v>608254</v>
      </c>
      <c r="N29">
        <v>1013</v>
      </c>
      <c r="O29" t="s">
        <v>283</v>
      </c>
      <c r="P29" t="s">
        <v>283</v>
      </c>
      <c r="Q29">
        <v>1</v>
      </c>
      <c r="X29">
        <v>0.18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2</v>
      </c>
      <c r="AF29" t="s">
        <v>3</v>
      </c>
      <c r="AG29">
        <v>0.18</v>
      </c>
      <c r="AH29">
        <v>2</v>
      </c>
      <c r="AI29">
        <v>50121257</v>
      </c>
      <c r="AJ29">
        <v>28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ROW(Source!A33)</f>
        <v>33</v>
      </c>
      <c r="B30">
        <v>50121270</v>
      </c>
      <c r="C30">
        <v>50121255</v>
      </c>
      <c r="D30">
        <v>29172362</v>
      </c>
      <c r="E30">
        <v>1</v>
      </c>
      <c r="F30">
        <v>1</v>
      </c>
      <c r="G30">
        <v>1</v>
      </c>
      <c r="H30">
        <v>2</v>
      </c>
      <c r="I30" t="s">
        <v>284</v>
      </c>
      <c r="J30" t="s">
        <v>285</v>
      </c>
      <c r="K30" t="s">
        <v>286</v>
      </c>
      <c r="L30">
        <v>1368</v>
      </c>
      <c r="N30">
        <v>1011</v>
      </c>
      <c r="O30" t="s">
        <v>287</v>
      </c>
      <c r="P30" t="s">
        <v>287</v>
      </c>
      <c r="Q30">
        <v>1</v>
      </c>
      <c r="X30">
        <v>0.18</v>
      </c>
      <c r="Y30">
        <v>0</v>
      </c>
      <c r="Z30">
        <v>134.65</v>
      </c>
      <c r="AA30">
        <v>13.5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0.18</v>
      </c>
      <c r="AH30">
        <v>2</v>
      </c>
      <c r="AI30">
        <v>50121258</v>
      </c>
      <c r="AJ30">
        <v>29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ROW(Source!A33)</f>
        <v>33</v>
      </c>
      <c r="B31">
        <v>50121271</v>
      </c>
      <c r="C31">
        <v>50121255</v>
      </c>
      <c r="D31">
        <v>29174913</v>
      </c>
      <c r="E31">
        <v>1</v>
      </c>
      <c r="F31">
        <v>1</v>
      </c>
      <c r="G31">
        <v>1</v>
      </c>
      <c r="H31">
        <v>2</v>
      </c>
      <c r="I31" t="s">
        <v>297</v>
      </c>
      <c r="J31" t="s">
        <v>298</v>
      </c>
      <c r="K31" t="s">
        <v>299</v>
      </c>
      <c r="L31">
        <v>1368</v>
      </c>
      <c r="N31">
        <v>1011</v>
      </c>
      <c r="O31" t="s">
        <v>287</v>
      </c>
      <c r="P31" t="s">
        <v>287</v>
      </c>
      <c r="Q31">
        <v>1</v>
      </c>
      <c r="X31">
        <v>0.18</v>
      </c>
      <c r="Y31">
        <v>0</v>
      </c>
      <c r="Z31">
        <v>87.17</v>
      </c>
      <c r="AA31">
        <v>11.6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0.18</v>
      </c>
      <c r="AH31">
        <v>2</v>
      </c>
      <c r="AI31">
        <v>50121259</v>
      </c>
      <c r="AJ31">
        <v>30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ROW(Source!A33)</f>
        <v>33</v>
      </c>
      <c r="B32">
        <v>50121272</v>
      </c>
      <c r="C32">
        <v>50121255</v>
      </c>
      <c r="D32">
        <v>29107914</v>
      </c>
      <c r="E32">
        <v>1</v>
      </c>
      <c r="F32">
        <v>1</v>
      </c>
      <c r="G32">
        <v>1</v>
      </c>
      <c r="H32">
        <v>3</v>
      </c>
      <c r="I32" t="s">
        <v>326</v>
      </c>
      <c r="J32" t="s">
        <v>327</v>
      </c>
      <c r="K32" t="s">
        <v>328</v>
      </c>
      <c r="L32">
        <v>1348</v>
      </c>
      <c r="N32">
        <v>1009</v>
      </c>
      <c r="O32" t="s">
        <v>134</v>
      </c>
      <c r="P32" t="s">
        <v>134</v>
      </c>
      <c r="Q32">
        <v>1000</v>
      </c>
      <c r="X32">
        <v>3.3E-4</v>
      </c>
      <c r="Y32">
        <v>19800.009999999998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3.3E-4</v>
      </c>
      <c r="AH32">
        <v>2</v>
      </c>
      <c r="AI32">
        <v>50121260</v>
      </c>
      <c r="AJ32">
        <v>31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ROW(Source!A33)</f>
        <v>33</v>
      </c>
      <c r="B33">
        <v>50121273</v>
      </c>
      <c r="C33">
        <v>50121255</v>
      </c>
      <c r="D33">
        <v>29111245</v>
      </c>
      <c r="E33">
        <v>1</v>
      </c>
      <c r="F33">
        <v>1</v>
      </c>
      <c r="G33">
        <v>1</v>
      </c>
      <c r="H33">
        <v>3</v>
      </c>
      <c r="I33" t="s">
        <v>329</v>
      </c>
      <c r="J33" t="s">
        <v>330</v>
      </c>
      <c r="K33" t="s">
        <v>331</v>
      </c>
      <c r="L33">
        <v>1348</v>
      </c>
      <c r="N33">
        <v>1009</v>
      </c>
      <c r="O33" t="s">
        <v>134</v>
      </c>
      <c r="P33" t="s">
        <v>134</v>
      </c>
      <c r="Q33">
        <v>1000</v>
      </c>
      <c r="X33">
        <v>1.4E-3</v>
      </c>
      <c r="Y33">
        <v>3960.01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1.4E-3</v>
      </c>
      <c r="AH33">
        <v>2</v>
      </c>
      <c r="AI33">
        <v>50121261</v>
      </c>
      <c r="AJ33">
        <v>32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ROW(Source!A33)</f>
        <v>33</v>
      </c>
      <c r="B34">
        <v>50121274</v>
      </c>
      <c r="C34">
        <v>50121255</v>
      </c>
      <c r="D34">
        <v>29108269</v>
      </c>
      <c r="E34">
        <v>1</v>
      </c>
      <c r="F34">
        <v>1</v>
      </c>
      <c r="G34">
        <v>1</v>
      </c>
      <c r="H34">
        <v>3</v>
      </c>
      <c r="I34" t="s">
        <v>332</v>
      </c>
      <c r="J34" t="s">
        <v>333</v>
      </c>
      <c r="K34" t="s">
        <v>334</v>
      </c>
      <c r="L34">
        <v>1348</v>
      </c>
      <c r="N34">
        <v>1009</v>
      </c>
      <c r="O34" t="s">
        <v>134</v>
      </c>
      <c r="P34" t="s">
        <v>134</v>
      </c>
      <c r="Q34">
        <v>1000</v>
      </c>
      <c r="X34">
        <v>2.9999999999999997E-4</v>
      </c>
      <c r="Y34">
        <v>1820.01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2.9999999999999997E-4</v>
      </c>
      <c r="AH34">
        <v>2</v>
      </c>
      <c r="AI34">
        <v>50121262</v>
      </c>
      <c r="AJ34">
        <v>33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ROW(Source!A33)</f>
        <v>33</v>
      </c>
      <c r="B35">
        <v>50121275</v>
      </c>
      <c r="C35">
        <v>50121255</v>
      </c>
      <c r="D35">
        <v>29110426</v>
      </c>
      <c r="E35">
        <v>1</v>
      </c>
      <c r="F35">
        <v>1</v>
      </c>
      <c r="G35">
        <v>1</v>
      </c>
      <c r="H35">
        <v>3</v>
      </c>
      <c r="I35" t="s">
        <v>306</v>
      </c>
      <c r="J35" t="s">
        <v>307</v>
      </c>
      <c r="K35" t="s">
        <v>308</v>
      </c>
      <c r="L35">
        <v>1346</v>
      </c>
      <c r="N35">
        <v>1009</v>
      </c>
      <c r="O35" t="s">
        <v>281</v>
      </c>
      <c r="P35" t="s">
        <v>281</v>
      </c>
      <c r="Q35">
        <v>1</v>
      </c>
      <c r="X35">
        <v>0.04</v>
      </c>
      <c r="Y35">
        <v>28.67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0.04</v>
      </c>
      <c r="AH35">
        <v>2</v>
      </c>
      <c r="AI35">
        <v>50121263</v>
      </c>
      <c r="AJ35">
        <v>34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ROW(Source!A33)</f>
        <v>33</v>
      </c>
      <c r="B36">
        <v>50121276</v>
      </c>
      <c r="C36">
        <v>50121255</v>
      </c>
      <c r="D36">
        <v>29110838</v>
      </c>
      <c r="E36">
        <v>1</v>
      </c>
      <c r="F36">
        <v>1</v>
      </c>
      <c r="G36">
        <v>1</v>
      </c>
      <c r="H36">
        <v>3</v>
      </c>
      <c r="I36" t="s">
        <v>335</v>
      </c>
      <c r="J36" t="s">
        <v>336</v>
      </c>
      <c r="K36" t="s">
        <v>337</v>
      </c>
      <c r="L36">
        <v>1346</v>
      </c>
      <c r="N36">
        <v>1009</v>
      </c>
      <c r="O36" t="s">
        <v>281</v>
      </c>
      <c r="P36" t="s">
        <v>281</v>
      </c>
      <c r="Q36">
        <v>1</v>
      </c>
      <c r="X36">
        <v>0.16</v>
      </c>
      <c r="Y36">
        <v>30.5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0.16</v>
      </c>
      <c r="AH36">
        <v>2</v>
      </c>
      <c r="AI36">
        <v>50121264</v>
      </c>
      <c r="AJ36">
        <v>35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ROW(Source!A33)</f>
        <v>33</v>
      </c>
      <c r="B37">
        <v>50121277</v>
      </c>
      <c r="C37">
        <v>50121255</v>
      </c>
      <c r="D37">
        <v>29114470</v>
      </c>
      <c r="E37">
        <v>1</v>
      </c>
      <c r="F37">
        <v>1</v>
      </c>
      <c r="G37">
        <v>1</v>
      </c>
      <c r="H37">
        <v>3</v>
      </c>
      <c r="I37" t="s">
        <v>338</v>
      </c>
      <c r="J37" t="s">
        <v>339</v>
      </c>
      <c r="K37" t="s">
        <v>340</v>
      </c>
      <c r="L37">
        <v>1355</v>
      </c>
      <c r="N37">
        <v>1010</v>
      </c>
      <c r="O37" t="s">
        <v>50</v>
      </c>
      <c r="P37" t="s">
        <v>50</v>
      </c>
      <c r="Q37">
        <v>100</v>
      </c>
      <c r="X37">
        <v>0.32</v>
      </c>
      <c r="Y37">
        <v>86.24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0.32</v>
      </c>
      <c r="AH37">
        <v>2</v>
      </c>
      <c r="AI37">
        <v>50121265</v>
      </c>
      <c r="AJ37">
        <v>36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ROW(Source!A33)</f>
        <v>33</v>
      </c>
      <c r="B38">
        <v>50121278</v>
      </c>
      <c r="C38">
        <v>50121255</v>
      </c>
      <c r="D38">
        <v>29149204</v>
      </c>
      <c r="E38">
        <v>1</v>
      </c>
      <c r="F38">
        <v>1</v>
      </c>
      <c r="G38">
        <v>1</v>
      </c>
      <c r="H38">
        <v>3</v>
      </c>
      <c r="I38" t="s">
        <v>341</v>
      </c>
      <c r="J38" t="s">
        <v>342</v>
      </c>
      <c r="K38" t="s">
        <v>343</v>
      </c>
      <c r="L38">
        <v>1348</v>
      </c>
      <c r="N38">
        <v>1009</v>
      </c>
      <c r="O38" t="s">
        <v>134</v>
      </c>
      <c r="P38" t="s">
        <v>134</v>
      </c>
      <c r="Q38">
        <v>1000</v>
      </c>
      <c r="X38">
        <v>2.1000000000000001E-2</v>
      </c>
      <c r="Y38">
        <v>729.98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2.1000000000000001E-2</v>
      </c>
      <c r="AH38">
        <v>2</v>
      </c>
      <c r="AI38">
        <v>50121266</v>
      </c>
      <c r="AJ38">
        <v>37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ROW(Source!A33)</f>
        <v>33</v>
      </c>
      <c r="B39">
        <v>50121279</v>
      </c>
      <c r="C39">
        <v>50121255</v>
      </c>
      <c r="D39">
        <v>29171808</v>
      </c>
      <c r="E39">
        <v>1</v>
      </c>
      <c r="F39">
        <v>1</v>
      </c>
      <c r="G39">
        <v>1</v>
      </c>
      <c r="H39">
        <v>3</v>
      </c>
      <c r="I39" t="s">
        <v>272</v>
      </c>
      <c r="J39" t="s">
        <v>273</v>
      </c>
      <c r="K39" t="s">
        <v>274</v>
      </c>
      <c r="L39">
        <v>1374</v>
      </c>
      <c r="N39">
        <v>1013</v>
      </c>
      <c r="O39" t="s">
        <v>275</v>
      </c>
      <c r="P39" t="s">
        <v>275</v>
      </c>
      <c r="Q39">
        <v>1</v>
      </c>
      <c r="X39">
        <v>3.04</v>
      </c>
      <c r="Y39">
        <v>1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3.04</v>
      </c>
      <c r="AH39">
        <v>2</v>
      </c>
      <c r="AI39">
        <v>50121267</v>
      </c>
      <c r="AJ39">
        <v>38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ROW(Source!A36)</f>
        <v>36</v>
      </c>
      <c r="B40">
        <v>50121299</v>
      </c>
      <c r="C40">
        <v>50121282</v>
      </c>
      <c r="D40">
        <v>29372988</v>
      </c>
      <c r="E40">
        <v>1</v>
      </c>
      <c r="F40">
        <v>1</v>
      </c>
      <c r="G40">
        <v>1</v>
      </c>
      <c r="H40">
        <v>1</v>
      </c>
      <c r="I40" t="s">
        <v>344</v>
      </c>
      <c r="J40" t="s">
        <v>3</v>
      </c>
      <c r="K40" t="s">
        <v>345</v>
      </c>
      <c r="L40">
        <v>1369</v>
      </c>
      <c r="N40">
        <v>1013</v>
      </c>
      <c r="O40" t="s">
        <v>271</v>
      </c>
      <c r="P40" t="s">
        <v>271</v>
      </c>
      <c r="Q40">
        <v>1</v>
      </c>
      <c r="X40">
        <v>10.1</v>
      </c>
      <c r="Y40">
        <v>0</v>
      </c>
      <c r="Z40">
        <v>0</v>
      </c>
      <c r="AA40">
        <v>0</v>
      </c>
      <c r="AB40">
        <v>369.56</v>
      </c>
      <c r="AC40">
        <v>0</v>
      </c>
      <c r="AD40">
        <v>1</v>
      </c>
      <c r="AE40">
        <v>1</v>
      </c>
      <c r="AF40" t="s">
        <v>3</v>
      </c>
      <c r="AG40">
        <v>10.1</v>
      </c>
      <c r="AH40">
        <v>2</v>
      </c>
      <c r="AI40">
        <v>50121283</v>
      </c>
      <c r="AJ40">
        <v>39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ROW(Source!A36)</f>
        <v>36</v>
      </c>
      <c r="B41">
        <v>50121300</v>
      </c>
      <c r="C41">
        <v>50121282</v>
      </c>
      <c r="D41">
        <v>121548</v>
      </c>
      <c r="E41">
        <v>1</v>
      </c>
      <c r="F41">
        <v>1</v>
      </c>
      <c r="G41">
        <v>1</v>
      </c>
      <c r="H41">
        <v>1</v>
      </c>
      <c r="I41" t="s">
        <v>28</v>
      </c>
      <c r="J41" t="s">
        <v>3</v>
      </c>
      <c r="K41" t="s">
        <v>282</v>
      </c>
      <c r="L41">
        <v>608254</v>
      </c>
      <c r="N41">
        <v>1013</v>
      </c>
      <c r="O41" t="s">
        <v>283</v>
      </c>
      <c r="P41" t="s">
        <v>283</v>
      </c>
      <c r="Q41">
        <v>1</v>
      </c>
      <c r="X41">
        <v>0.44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2</v>
      </c>
      <c r="AF41" t="s">
        <v>3</v>
      </c>
      <c r="AG41">
        <v>0.44</v>
      </c>
      <c r="AH41">
        <v>2</v>
      </c>
      <c r="AI41">
        <v>50121284</v>
      </c>
      <c r="AJ41">
        <v>40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ROW(Source!A36)</f>
        <v>36</v>
      </c>
      <c r="B42">
        <v>50121301</v>
      </c>
      <c r="C42">
        <v>50121282</v>
      </c>
      <c r="D42">
        <v>29172479</v>
      </c>
      <c r="E42">
        <v>1</v>
      </c>
      <c r="F42">
        <v>1</v>
      </c>
      <c r="G42">
        <v>1</v>
      </c>
      <c r="H42">
        <v>2</v>
      </c>
      <c r="I42" t="s">
        <v>346</v>
      </c>
      <c r="J42" t="s">
        <v>347</v>
      </c>
      <c r="K42" t="s">
        <v>348</v>
      </c>
      <c r="L42">
        <v>1368</v>
      </c>
      <c r="N42">
        <v>1011</v>
      </c>
      <c r="O42" t="s">
        <v>287</v>
      </c>
      <c r="P42" t="s">
        <v>287</v>
      </c>
      <c r="Q42">
        <v>1</v>
      </c>
      <c r="X42">
        <v>0.44</v>
      </c>
      <c r="Y42">
        <v>0</v>
      </c>
      <c r="Z42">
        <v>99.89</v>
      </c>
      <c r="AA42">
        <v>10.06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0.44</v>
      </c>
      <c r="AH42">
        <v>2</v>
      </c>
      <c r="AI42">
        <v>50121285</v>
      </c>
      <c r="AJ42">
        <v>41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ROW(Source!A36)</f>
        <v>36</v>
      </c>
      <c r="B43">
        <v>50121302</v>
      </c>
      <c r="C43">
        <v>50121282</v>
      </c>
      <c r="D43">
        <v>29110546</v>
      </c>
      <c r="E43">
        <v>1</v>
      </c>
      <c r="F43">
        <v>1</v>
      </c>
      <c r="G43">
        <v>1</v>
      </c>
      <c r="H43">
        <v>3</v>
      </c>
      <c r="I43" t="s">
        <v>349</v>
      </c>
      <c r="J43" t="s">
        <v>350</v>
      </c>
      <c r="K43" t="s">
        <v>351</v>
      </c>
      <c r="L43">
        <v>1346</v>
      </c>
      <c r="N43">
        <v>1009</v>
      </c>
      <c r="O43" t="s">
        <v>281</v>
      </c>
      <c r="P43" t="s">
        <v>281</v>
      </c>
      <c r="Q43">
        <v>1</v>
      </c>
      <c r="X43">
        <v>0.03</v>
      </c>
      <c r="Y43">
        <v>35.630000000000003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0.03</v>
      </c>
      <c r="AH43">
        <v>2</v>
      </c>
      <c r="AI43">
        <v>50121286</v>
      </c>
      <c r="AJ43">
        <v>42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ROW(Source!A36)</f>
        <v>36</v>
      </c>
      <c r="B44">
        <v>50121303</v>
      </c>
      <c r="C44">
        <v>50121282</v>
      </c>
      <c r="D44">
        <v>29110439</v>
      </c>
      <c r="E44">
        <v>1</v>
      </c>
      <c r="F44">
        <v>1</v>
      </c>
      <c r="G44">
        <v>1</v>
      </c>
      <c r="H44">
        <v>3</v>
      </c>
      <c r="I44" t="s">
        <v>352</v>
      </c>
      <c r="J44" t="s">
        <v>353</v>
      </c>
      <c r="K44" t="s">
        <v>354</v>
      </c>
      <c r="L44">
        <v>1348</v>
      </c>
      <c r="N44">
        <v>1009</v>
      </c>
      <c r="O44" t="s">
        <v>134</v>
      </c>
      <c r="P44" t="s">
        <v>134</v>
      </c>
      <c r="Q44">
        <v>1000</v>
      </c>
      <c r="X44">
        <v>2.0000000000000002E-5</v>
      </c>
      <c r="Y44">
        <v>15481.01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2.0000000000000002E-5</v>
      </c>
      <c r="AH44">
        <v>2</v>
      </c>
      <c r="AI44">
        <v>50121287</v>
      </c>
      <c r="AJ44">
        <v>43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ROW(Source!A36)</f>
        <v>36</v>
      </c>
      <c r="B45">
        <v>50121304</v>
      </c>
      <c r="C45">
        <v>50121282</v>
      </c>
      <c r="D45">
        <v>29107468</v>
      </c>
      <c r="E45">
        <v>1</v>
      </c>
      <c r="F45">
        <v>1</v>
      </c>
      <c r="G45">
        <v>1</v>
      </c>
      <c r="H45">
        <v>3</v>
      </c>
      <c r="I45" t="s">
        <v>355</v>
      </c>
      <c r="J45" t="s">
        <v>356</v>
      </c>
      <c r="K45" t="s">
        <v>357</v>
      </c>
      <c r="L45">
        <v>1346</v>
      </c>
      <c r="N45">
        <v>1009</v>
      </c>
      <c r="O45" t="s">
        <v>281</v>
      </c>
      <c r="P45" t="s">
        <v>281</v>
      </c>
      <c r="Q45">
        <v>1</v>
      </c>
      <c r="X45">
        <v>0.01</v>
      </c>
      <c r="Y45">
        <v>12.62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0.01</v>
      </c>
      <c r="AH45">
        <v>2</v>
      </c>
      <c r="AI45">
        <v>50121288</v>
      </c>
      <c r="AJ45">
        <v>44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ROW(Source!A36)</f>
        <v>36</v>
      </c>
      <c r="B46">
        <v>50121305</v>
      </c>
      <c r="C46">
        <v>50121282</v>
      </c>
      <c r="D46">
        <v>29114246</v>
      </c>
      <c r="E46">
        <v>1</v>
      </c>
      <c r="F46">
        <v>1</v>
      </c>
      <c r="G46">
        <v>1</v>
      </c>
      <c r="H46">
        <v>3</v>
      </c>
      <c r="I46" t="s">
        <v>303</v>
      </c>
      <c r="J46" t="s">
        <v>304</v>
      </c>
      <c r="K46" t="s">
        <v>305</v>
      </c>
      <c r="L46">
        <v>1346</v>
      </c>
      <c r="N46">
        <v>1009</v>
      </c>
      <c r="O46" t="s">
        <v>281</v>
      </c>
      <c r="P46" t="s">
        <v>281</v>
      </c>
      <c r="Q46">
        <v>1</v>
      </c>
      <c r="X46">
        <v>0.3</v>
      </c>
      <c r="Y46">
        <v>9.0399999999999991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0.3</v>
      </c>
      <c r="AH46">
        <v>2</v>
      </c>
      <c r="AI46">
        <v>50121289</v>
      </c>
      <c r="AJ46">
        <v>45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ROW(Source!A36)</f>
        <v>36</v>
      </c>
      <c r="B47">
        <v>50121306</v>
      </c>
      <c r="C47">
        <v>50121282</v>
      </c>
      <c r="D47">
        <v>29114480</v>
      </c>
      <c r="E47">
        <v>1</v>
      </c>
      <c r="F47">
        <v>1</v>
      </c>
      <c r="G47">
        <v>1</v>
      </c>
      <c r="H47">
        <v>3</v>
      </c>
      <c r="I47" t="s">
        <v>358</v>
      </c>
      <c r="J47" t="s">
        <v>359</v>
      </c>
      <c r="K47" t="s">
        <v>360</v>
      </c>
      <c r="L47">
        <v>1355</v>
      </c>
      <c r="N47">
        <v>1010</v>
      </c>
      <c r="O47" t="s">
        <v>50</v>
      </c>
      <c r="P47" t="s">
        <v>50</v>
      </c>
      <c r="Q47">
        <v>100</v>
      </c>
      <c r="X47">
        <v>0.1</v>
      </c>
      <c r="Y47">
        <v>83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0.1</v>
      </c>
      <c r="AH47">
        <v>2</v>
      </c>
      <c r="AI47">
        <v>50121290</v>
      </c>
      <c r="AJ47">
        <v>46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ROW(Source!A36)</f>
        <v>36</v>
      </c>
      <c r="B48">
        <v>50121307</v>
      </c>
      <c r="C48">
        <v>50121282</v>
      </c>
      <c r="D48">
        <v>29110831</v>
      </c>
      <c r="E48">
        <v>1</v>
      </c>
      <c r="F48">
        <v>1</v>
      </c>
      <c r="G48">
        <v>1</v>
      </c>
      <c r="H48">
        <v>3</v>
      </c>
      <c r="I48" t="s">
        <v>361</v>
      </c>
      <c r="J48" t="s">
        <v>362</v>
      </c>
      <c r="K48" t="s">
        <v>363</v>
      </c>
      <c r="L48">
        <v>1346</v>
      </c>
      <c r="N48">
        <v>1009</v>
      </c>
      <c r="O48" t="s">
        <v>281</v>
      </c>
      <c r="P48" t="s">
        <v>281</v>
      </c>
      <c r="Q48">
        <v>1</v>
      </c>
      <c r="X48">
        <v>0.02</v>
      </c>
      <c r="Y48">
        <v>91.29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0.02</v>
      </c>
      <c r="AH48">
        <v>2</v>
      </c>
      <c r="AI48">
        <v>50121291</v>
      </c>
      <c r="AJ48">
        <v>47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ROW(Source!A36)</f>
        <v>36</v>
      </c>
      <c r="B49">
        <v>50121308</v>
      </c>
      <c r="C49">
        <v>50121282</v>
      </c>
      <c r="D49">
        <v>29121587</v>
      </c>
      <c r="E49">
        <v>1</v>
      </c>
      <c r="F49">
        <v>1</v>
      </c>
      <c r="G49">
        <v>1</v>
      </c>
      <c r="H49">
        <v>3</v>
      </c>
      <c r="I49" t="s">
        <v>364</v>
      </c>
      <c r="J49" t="s">
        <v>365</v>
      </c>
      <c r="K49" t="s">
        <v>366</v>
      </c>
      <c r="L49">
        <v>1346</v>
      </c>
      <c r="N49">
        <v>1009</v>
      </c>
      <c r="O49" t="s">
        <v>281</v>
      </c>
      <c r="P49" t="s">
        <v>281</v>
      </c>
      <c r="Q49">
        <v>1</v>
      </c>
      <c r="X49">
        <v>0.02</v>
      </c>
      <c r="Y49">
        <v>15.36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0.02</v>
      </c>
      <c r="AH49">
        <v>2</v>
      </c>
      <c r="AI49">
        <v>50121292</v>
      </c>
      <c r="AJ49">
        <v>48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ROW(Source!A36)</f>
        <v>36</v>
      </c>
      <c r="B50">
        <v>50121309</v>
      </c>
      <c r="C50">
        <v>50121282</v>
      </c>
      <c r="D50">
        <v>29149204</v>
      </c>
      <c r="E50">
        <v>1</v>
      </c>
      <c r="F50">
        <v>1</v>
      </c>
      <c r="G50">
        <v>1</v>
      </c>
      <c r="H50">
        <v>3</v>
      </c>
      <c r="I50" t="s">
        <v>341</v>
      </c>
      <c r="J50" t="s">
        <v>342</v>
      </c>
      <c r="K50" t="s">
        <v>343</v>
      </c>
      <c r="L50">
        <v>1348</v>
      </c>
      <c r="N50">
        <v>1009</v>
      </c>
      <c r="O50" t="s">
        <v>134</v>
      </c>
      <c r="P50" t="s">
        <v>134</v>
      </c>
      <c r="Q50">
        <v>1000</v>
      </c>
      <c r="X50">
        <v>2.9999999999999997E-4</v>
      </c>
      <c r="Y50">
        <v>729.98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2.9999999999999997E-4</v>
      </c>
      <c r="AH50">
        <v>2</v>
      </c>
      <c r="AI50">
        <v>50121293</v>
      </c>
      <c r="AJ50">
        <v>49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ROW(Source!A36)</f>
        <v>36</v>
      </c>
      <c r="B51">
        <v>50121310</v>
      </c>
      <c r="C51">
        <v>50121282</v>
      </c>
      <c r="D51">
        <v>29157436</v>
      </c>
      <c r="E51">
        <v>1</v>
      </c>
      <c r="F51">
        <v>1</v>
      </c>
      <c r="G51">
        <v>1</v>
      </c>
      <c r="H51">
        <v>3</v>
      </c>
      <c r="I51" t="s">
        <v>367</v>
      </c>
      <c r="J51" t="s">
        <v>368</v>
      </c>
      <c r="K51" t="s">
        <v>369</v>
      </c>
      <c r="L51">
        <v>1348</v>
      </c>
      <c r="N51">
        <v>1009</v>
      </c>
      <c r="O51" t="s">
        <v>134</v>
      </c>
      <c r="P51" t="s">
        <v>134</v>
      </c>
      <c r="Q51">
        <v>1000</v>
      </c>
      <c r="X51">
        <v>1E-4</v>
      </c>
      <c r="Y51">
        <v>37517.01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1E-4</v>
      </c>
      <c r="AH51">
        <v>2</v>
      </c>
      <c r="AI51">
        <v>50121294</v>
      </c>
      <c r="AJ51">
        <v>50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ROW(Source!A36)</f>
        <v>36</v>
      </c>
      <c r="B52">
        <v>50121311</v>
      </c>
      <c r="C52">
        <v>50121282</v>
      </c>
      <c r="D52">
        <v>29158010</v>
      </c>
      <c r="E52">
        <v>1</v>
      </c>
      <c r="F52">
        <v>1</v>
      </c>
      <c r="G52">
        <v>1</v>
      </c>
      <c r="H52">
        <v>3</v>
      </c>
      <c r="I52" t="s">
        <v>370</v>
      </c>
      <c r="J52" t="s">
        <v>371</v>
      </c>
      <c r="K52" t="s">
        <v>372</v>
      </c>
      <c r="L52">
        <v>1346</v>
      </c>
      <c r="N52">
        <v>1009</v>
      </c>
      <c r="O52" t="s">
        <v>281</v>
      </c>
      <c r="P52" t="s">
        <v>281</v>
      </c>
      <c r="Q52">
        <v>1</v>
      </c>
      <c r="X52">
        <v>0.06</v>
      </c>
      <c r="Y52">
        <v>65.930000000000007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0.06</v>
      </c>
      <c r="AH52">
        <v>2</v>
      </c>
      <c r="AI52">
        <v>50121295</v>
      </c>
      <c r="AJ52">
        <v>51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ROW(Source!A36)</f>
        <v>36</v>
      </c>
      <c r="B53">
        <v>50121312</v>
      </c>
      <c r="C53">
        <v>50121282</v>
      </c>
      <c r="D53">
        <v>29159023</v>
      </c>
      <c r="E53">
        <v>1</v>
      </c>
      <c r="F53">
        <v>1</v>
      </c>
      <c r="G53">
        <v>1</v>
      </c>
      <c r="H53">
        <v>3</v>
      </c>
      <c r="I53" t="s">
        <v>373</v>
      </c>
      <c r="J53" t="s">
        <v>374</v>
      </c>
      <c r="K53" t="s">
        <v>375</v>
      </c>
      <c r="L53">
        <v>1346</v>
      </c>
      <c r="N53">
        <v>1009</v>
      </c>
      <c r="O53" t="s">
        <v>281</v>
      </c>
      <c r="P53" t="s">
        <v>281</v>
      </c>
      <c r="Q53">
        <v>1</v>
      </c>
      <c r="X53">
        <v>0.08</v>
      </c>
      <c r="Y53">
        <v>38.450000000000003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0.08</v>
      </c>
      <c r="AH53">
        <v>2</v>
      </c>
      <c r="AI53">
        <v>50121296</v>
      </c>
      <c r="AJ53">
        <v>52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ROW(Source!A36)</f>
        <v>36</v>
      </c>
      <c r="B54">
        <v>50121313</v>
      </c>
      <c r="C54">
        <v>50121282</v>
      </c>
      <c r="D54">
        <v>29164287</v>
      </c>
      <c r="E54">
        <v>1</v>
      </c>
      <c r="F54">
        <v>1</v>
      </c>
      <c r="G54">
        <v>1</v>
      </c>
      <c r="H54">
        <v>3</v>
      </c>
      <c r="I54" t="s">
        <v>376</v>
      </c>
      <c r="J54" t="s">
        <v>377</v>
      </c>
      <c r="K54" t="s">
        <v>378</v>
      </c>
      <c r="L54">
        <v>1355</v>
      </c>
      <c r="N54">
        <v>1010</v>
      </c>
      <c r="O54" t="s">
        <v>50</v>
      </c>
      <c r="P54" t="s">
        <v>50</v>
      </c>
      <c r="Q54">
        <v>100</v>
      </c>
      <c r="X54">
        <v>0.1</v>
      </c>
      <c r="Y54">
        <v>60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0.1</v>
      </c>
      <c r="AH54">
        <v>2</v>
      </c>
      <c r="AI54">
        <v>50121297</v>
      </c>
      <c r="AJ54">
        <v>53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ROW(Source!A36)</f>
        <v>36</v>
      </c>
      <c r="B55">
        <v>50121314</v>
      </c>
      <c r="C55">
        <v>50121282</v>
      </c>
      <c r="D55">
        <v>29171807</v>
      </c>
      <c r="E55">
        <v>1</v>
      </c>
      <c r="F55">
        <v>1</v>
      </c>
      <c r="G55">
        <v>1</v>
      </c>
      <c r="H55">
        <v>3</v>
      </c>
      <c r="I55" t="s">
        <v>449</v>
      </c>
      <c r="J55" t="s">
        <v>450</v>
      </c>
      <c r="K55" t="s">
        <v>451</v>
      </c>
      <c r="L55">
        <v>1348</v>
      </c>
      <c r="N55">
        <v>1009</v>
      </c>
      <c r="O55" t="s">
        <v>134</v>
      </c>
      <c r="P55" t="s">
        <v>134</v>
      </c>
      <c r="Q55">
        <v>1000</v>
      </c>
      <c r="X55">
        <v>1E-3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 t="s">
        <v>3</v>
      </c>
      <c r="AG55">
        <v>1E-3</v>
      </c>
      <c r="AH55">
        <v>3</v>
      </c>
      <c r="AI55">
        <v>-1</v>
      </c>
      <c r="AJ55" t="s">
        <v>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ROW(Source!A36)</f>
        <v>36</v>
      </c>
      <c r="B56">
        <v>50121315</v>
      </c>
      <c r="C56">
        <v>50121282</v>
      </c>
      <c r="D56">
        <v>29171808</v>
      </c>
      <c r="E56">
        <v>1</v>
      </c>
      <c r="F56">
        <v>1</v>
      </c>
      <c r="G56">
        <v>1</v>
      </c>
      <c r="H56">
        <v>3</v>
      </c>
      <c r="I56" t="s">
        <v>272</v>
      </c>
      <c r="J56" t="s">
        <v>273</v>
      </c>
      <c r="K56" t="s">
        <v>274</v>
      </c>
      <c r="L56">
        <v>1374</v>
      </c>
      <c r="N56">
        <v>1013</v>
      </c>
      <c r="O56" t="s">
        <v>275</v>
      </c>
      <c r="P56" t="s">
        <v>275</v>
      </c>
      <c r="Q56">
        <v>1</v>
      </c>
      <c r="X56">
        <v>2.2400000000000002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2.2400000000000002</v>
      </c>
      <c r="AH56">
        <v>2</v>
      </c>
      <c r="AI56">
        <v>50121298</v>
      </c>
      <c r="AJ56">
        <v>54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ROW(Source!A38)</f>
        <v>38</v>
      </c>
      <c r="B57">
        <v>50121330</v>
      </c>
      <c r="C57">
        <v>50121317</v>
      </c>
      <c r="D57">
        <v>29362762</v>
      </c>
      <c r="E57">
        <v>1</v>
      </c>
      <c r="F57">
        <v>1</v>
      </c>
      <c r="G57">
        <v>1</v>
      </c>
      <c r="H57">
        <v>1</v>
      </c>
      <c r="I57" t="s">
        <v>309</v>
      </c>
      <c r="J57" t="s">
        <v>3</v>
      </c>
      <c r="K57" t="s">
        <v>310</v>
      </c>
      <c r="L57">
        <v>1369</v>
      </c>
      <c r="N57">
        <v>1013</v>
      </c>
      <c r="O57" t="s">
        <v>271</v>
      </c>
      <c r="P57" t="s">
        <v>271</v>
      </c>
      <c r="Q57">
        <v>1</v>
      </c>
      <c r="X57">
        <v>88.3</v>
      </c>
      <c r="Y57">
        <v>0</v>
      </c>
      <c r="Z57">
        <v>0</v>
      </c>
      <c r="AA57">
        <v>0</v>
      </c>
      <c r="AB57">
        <v>9.6199999999999992</v>
      </c>
      <c r="AC57">
        <v>0</v>
      </c>
      <c r="AD57">
        <v>1</v>
      </c>
      <c r="AE57">
        <v>1</v>
      </c>
      <c r="AF57" t="s">
        <v>3</v>
      </c>
      <c r="AG57">
        <v>88.3</v>
      </c>
      <c r="AH57">
        <v>2</v>
      </c>
      <c r="AI57">
        <v>50121318</v>
      </c>
      <c r="AJ57">
        <v>55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ROW(Source!A38)</f>
        <v>38</v>
      </c>
      <c r="B58">
        <v>50121331</v>
      </c>
      <c r="C58">
        <v>50121317</v>
      </c>
      <c r="D58">
        <v>121548</v>
      </c>
      <c r="E58">
        <v>1</v>
      </c>
      <c r="F58">
        <v>1</v>
      </c>
      <c r="G58">
        <v>1</v>
      </c>
      <c r="H58">
        <v>1</v>
      </c>
      <c r="I58" t="s">
        <v>28</v>
      </c>
      <c r="J58" t="s">
        <v>3</v>
      </c>
      <c r="K58" t="s">
        <v>282</v>
      </c>
      <c r="L58">
        <v>608254</v>
      </c>
      <c r="N58">
        <v>1013</v>
      </c>
      <c r="O58" t="s">
        <v>283</v>
      </c>
      <c r="P58" t="s">
        <v>283</v>
      </c>
      <c r="Q58">
        <v>1</v>
      </c>
      <c r="X58">
        <v>1.51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2</v>
      </c>
      <c r="AF58" t="s">
        <v>3</v>
      </c>
      <c r="AG58">
        <v>1.51</v>
      </c>
      <c r="AH58">
        <v>2</v>
      </c>
      <c r="AI58">
        <v>50121319</v>
      </c>
      <c r="AJ58">
        <v>56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ROW(Source!A38)</f>
        <v>38</v>
      </c>
      <c r="B59">
        <v>50121332</v>
      </c>
      <c r="C59">
        <v>50121317</v>
      </c>
      <c r="D59">
        <v>29172362</v>
      </c>
      <c r="E59">
        <v>1</v>
      </c>
      <c r="F59">
        <v>1</v>
      </c>
      <c r="G59">
        <v>1</v>
      </c>
      <c r="H59">
        <v>2</v>
      </c>
      <c r="I59" t="s">
        <v>284</v>
      </c>
      <c r="J59" t="s">
        <v>285</v>
      </c>
      <c r="K59" t="s">
        <v>286</v>
      </c>
      <c r="L59">
        <v>1368</v>
      </c>
      <c r="N59">
        <v>1011</v>
      </c>
      <c r="O59" t="s">
        <v>287</v>
      </c>
      <c r="P59" t="s">
        <v>287</v>
      </c>
      <c r="Q59">
        <v>1</v>
      </c>
      <c r="X59">
        <v>1</v>
      </c>
      <c r="Y59">
        <v>0</v>
      </c>
      <c r="Z59">
        <v>134.65</v>
      </c>
      <c r="AA59">
        <v>13.5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1</v>
      </c>
      <c r="AH59">
        <v>2</v>
      </c>
      <c r="AI59">
        <v>50121320</v>
      </c>
      <c r="AJ59">
        <v>57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ROW(Source!A38)</f>
        <v>38</v>
      </c>
      <c r="B60">
        <v>50121333</v>
      </c>
      <c r="C60">
        <v>50121317</v>
      </c>
      <c r="D60">
        <v>29172515</v>
      </c>
      <c r="E60">
        <v>1</v>
      </c>
      <c r="F60">
        <v>1</v>
      </c>
      <c r="G60">
        <v>1</v>
      </c>
      <c r="H60">
        <v>2</v>
      </c>
      <c r="I60" t="s">
        <v>379</v>
      </c>
      <c r="J60" t="s">
        <v>380</v>
      </c>
      <c r="K60" t="s">
        <v>381</v>
      </c>
      <c r="L60">
        <v>1368</v>
      </c>
      <c r="N60">
        <v>1011</v>
      </c>
      <c r="O60" t="s">
        <v>287</v>
      </c>
      <c r="P60" t="s">
        <v>287</v>
      </c>
      <c r="Q60">
        <v>1</v>
      </c>
      <c r="X60">
        <v>3.89</v>
      </c>
      <c r="Y60">
        <v>0</v>
      </c>
      <c r="Z60">
        <v>6.66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3.89</v>
      </c>
      <c r="AH60">
        <v>2</v>
      </c>
      <c r="AI60">
        <v>50121321</v>
      </c>
      <c r="AJ60">
        <v>58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ROW(Source!A38)</f>
        <v>38</v>
      </c>
      <c r="B61">
        <v>50121334</v>
      </c>
      <c r="C61">
        <v>50121317</v>
      </c>
      <c r="D61">
        <v>29173622</v>
      </c>
      <c r="E61">
        <v>1</v>
      </c>
      <c r="F61">
        <v>1</v>
      </c>
      <c r="G61">
        <v>1</v>
      </c>
      <c r="H61">
        <v>2</v>
      </c>
      <c r="I61" t="s">
        <v>382</v>
      </c>
      <c r="J61" t="s">
        <v>383</v>
      </c>
      <c r="K61" t="s">
        <v>384</v>
      </c>
      <c r="L61">
        <v>1368</v>
      </c>
      <c r="N61">
        <v>1011</v>
      </c>
      <c r="O61" t="s">
        <v>287</v>
      </c>
      <c r="P61" t="s">
        <v>287</v>
      </c>
      <c r="Q61">
        <v>1</v>
      </c>
      <c r="X61">
        <v>0.51</v>
      </c>
      <c r="Y61">
        <v>0</v>
      </c>
      <c r="Z61">
        <v>91.83</v>
      </c>
      <c r="AA61">
        <v>10.06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0.51</v>
      </c>
      <c r="AH61">
        <v>2</v>
      </c>
      <c r="AI61">
        <v>50121322</v>
      </c>
      <c r="AJ61">
        <v>59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ROW(Source!A38)</f>
        <v>38</v>
      </c>
      <c r="B62">
        <v>50121335</v>
      </c>
      <c r="C62">
        <v>50121317</v>
      </c>
      <c r="D62">
        <v>29174913</v>
      </c>
      <c r="E62">
        <v>1</v>
      </c>
      <c r="F62">
        <v>1</v>
      </c>
      <c r="G62">
        <v>1</v>
      </c>
      <c r="H62">
        <v>2</v>
      </c>
      <c r="I62" t="s">
        <v>297</v>
      </c>
      <c r="J62" t="s">
        <v>298</v>
      </c>
      <c r="K62" t="s">
        <v>299</v>
      </c>
      <c r="L62">
        <v>1368</v>
      </c>
      <c r="N62">
        <v>1011</v>
      </c>
      <c r="O62" t="s">
        <v>287</v>
      </c>
      <c r="P62" t="s">
        <v>287</v>
      </c>
      <c r="Q62">
        <v>1</v>
      </c>
      <c r="X62">
        <v>1</v>
      </c>
      <c r="Y62">
        <v>0</v>
      </c>
      <c r="Z62">
        <v>87.17</v>
      </c>
      <c r="AA62">
        <v>11.6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1</v>
      </c>
      <c r="AH62">
        <v>2</v>
      </c>
      <c r="AI62">
        <v>50121323</v>
      </c>
      <c r="AJ62">
        <v>60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ROW(Source!A38)</f>
        <v>38</v>
      </c>
      <c r="B63">
        <v>50121336</v>
      </c>
      <c r="C63">
        <v>50121317</v>
      </c>
      <c r="D63">
        <v>29107578</v>
      </c>
      <c r="E63">
        <v>1</v>
      </c>
      <c r="F63">
        <v>1</v>
      </c>
      <c r="G63">
        <v>1</v>
      </c>
      <c r="H63">
        <v>3</v>
      </c>
      <c r="I63" t="s">
        <v>311</v>
      </c>
      <c r="J63" t="s">
        <v>312</v>
      </c>
      <c r="K63" t="s">
        <v>313</v>
      </c>
      <c r="L63">
        <v>1348</v>
      </c>
      <c r="N63">
        <v>1009</v>
      </c>
      <c r="O63" t="s">
        <v>134</v>
      </c>
      <c r="P63" t="s">
        <v>134</v>
      </c>
      <c r="Q63">
        <v>1000</v>
      </c>
      <c r="X63">
        <v>2.0000000000000002E-5</v>
      </c>
      <c r="Y63">
        <v>24599.99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2.0000000000000002E-5</v>
      </c>
      <c r="AH63">
        <v>2</v>
      </c>
      <c r="AI63">
        <v>50121324</v>
      </c>
      <c r="AJ63">
        <v>61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ROW(Source!A38)</f>
        <v>38</v>
      </c>
      <c r="B64">
        <v>50121337</v>
      </c>
      <c r="C64">
        <v>50121317</v>
      </c>
      <c r="D64">
        <v>29107441</v>
      </c>
      <c r="E64">
        <v>1</v>
      </c>
      <c r="F64">
        <v>1</v>
      </c>
      <c r="G64">
        <v>1</v>
      </c>
      <c r="H64">
        <v>3</v>
      </c>
      <c r="I64" t="s">
        <v>314</v>
      </c>
      <c r="J64" t="s">
        <v>315</v>
      </c>
      <c r="K64" t="s">
        <v>316</v>
      </c>
      <c r="L64">
        <v>1339</v>
      </c>
      <c r="N64">
        <v>1007</v>
      </c>
      <c r="O64" t="s">
        <v>317</v>
      </c>
      <c r="P64" t="s">
        <v>317</v>
      </c>
      <c r="Q64">
        <v>1</v>
      </c>
      <c r="X64">
        <v>0.54</v>
      </c>
      <c r="Y64">
        <v>6.23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0.54</v>
      </c>
      <c r="AH64">
        <v>2</v>
      </c>
      <c r="AI64">
        <v>50121325</v>
      </c>
      <c r="AJ64">
        <v>62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ROW(Source!A38)</f>
        <v>38</v>
      </c>
      <c r="B65">
        <v>50121338</v>
      </c>
      <c r="C65">
        <v>50121317</v>
      </c>
      <c r="D65">
        <v>29107430</v>
      </c>
      <c r="E65">
        <v>1</v>
      </c>
      <c r="F65">
        <v>1</v>
      </c>
      <c r="G65">
        <v>1</v>
      </c>
      <c r="H65">
        <v>3</v>
      </c>
      <c r="I65" t="s">
        <v>318</v>
      </c>
      <c r="J65" t="s">
        <v>319</v>
      </c>
      <c r="K65" t="s">
        <v>320</v>
      </c>
      <c r="L65">
        <v>1339</v>
      </c>
      <c r="N65">
        <v>1007</v>
      </c>
      <c r="O65" t="s">
        <v>317</v>
      </c>
      <c r="P65" t="s">
        <v>317</v>
      </c>
      <c r="Q65">
        <v>1</v>
      </c>
      <c r="X65">
        <v>0.47</v>
      </c>
      <c r="Y65">
        <v>38.49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0.47</v>
      </c>
      <c r="AH65">
        <v>2</v>
      </c>
      <c r="AI65">
        <v>50121326</v>
      </c>
      <c r="AJ65">
        <v>63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ROW(Source!A38)</f>
        <v>38</v>
      </c>
      <c r="B66">
        <v>50121339</v>
      </c>
      <c r="C66">
        <v>50121317</v>
      </c>
      <c r="D66">
        <v>29150041</v>
      </c>
      <c r="E66">
        <v>1</v>
      </c>
      <c r="F66">
        <v>1</v>
      </c>
      <c r="G66">
        <v>1</v>
      </c>
      <c r="H66">
        <v>3</v>
      </c>
      <c r="I66" t="s">
        <v>385</v>
      </c>
      <c r="J66" t="s">
        <v>386</v>
      </c>
      <c r="K66" t="s">
        <v>387</v>
      </c>
      <c r="L66">
        <v>1339</v>
      </c>
      <c r="N66">
        <v>1007</v>
      </c>
      <c r="O66" t="s">
        <v>317</v>
      </c>
      <c r="P66" t="s">
        <v>317</v>
      </c>
      <c r="Q66">
        <v>1</v>
      </c>
      <c r="X66">
        <v>0.81</v>
      </c>
      <c r="Y66">
        <v>3.14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0.81</v>
      </c>
      <c r="AH66">
        <v>2</v>
      </c>
      <c r="AI66">
        <v>50121327</v>
      </c>
      <c r="AJ66">
        <v>64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ROW(Source!A38)</f>
        <v>38</v>
      </c>
      <c r="B67">
        <v>50121340</v>
      </c>
      <c r="C67">
        <v>50121317</v>
      </c>
      <c r="D67">
        <v>29164345</v>
      </c>
      <c r="E67">
        <v>1</v>
      </c>
      <c r="F67">
        <v>1</v>
      </c>
      <c r="G67">
        <v>1</v>
      </c>
      <c r="H67">
        <v>3</v>
      </c>
      <c r="I67" t="s">
        <v>388</v>
      </c>
      <c r="J67" t="s">
        <v>389</v>
      </c>
      <c r="K67" t="s">
        <v>390</v>
      </c>
      <c r="L67">
        <v>1346</v>
      </c>
      <c r="N67">
        <v>1009</v>
      </c>
      <c r="O67" t="s">
        <v>281</v>
      </c>
      <c r="P67" t="s">
        <v>281</v>
      </c>
      <c r="Q67">
        <v>1</v>
      </c>
      <c r="X67">
        <v>0.21</v>
      </c>
      <c r="Y67">
        <v>86.21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0.21</v>
      </c>
      <c r="AH67">
        <v>2</v>
      </c>
      <c r="AI67">
        <v>50121328</v>
      </c>
      <c r="AJ67">
        <v>65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ROW(Source!A38)</f>
        <v>38</v>
      </c>
      <c r="B68">
        <v>50121341</v>
      </c>
      <c r="C68">
        <v>50121317</v>
      </c>
      <c r="D68">
        <v>29171808</v>
      </c>
      <c r="E68">
        <v>1</v>
      </c>
      <c r="F68">
        <v>1</v>
      </c>
      <c r="G68">
        <v>1</v>
      </c>
      <c r="H68">
        <v>3</v>
      </c>
      <c r="I68" t="s">
        <v>272</v>
      </c>
      <c r="J68" t="s">
        <v>273</v>
      </c>
      <c r="K68" t="s">
        <v>274</v>
      </c>
      <c r="L68">
        <v>1374</v>
      </c>
      <c r="N68">
        <v>1013</v>
      </c>
      <c r="O68" t="s">
        <v>275</v>
      </c>
      <c r="P68" t="s">
        <v>275</v>
      </c>
      <c r="Q68">
        <v>1</v>
      </c>
      <c r="X68">
        <v>16.989999999999998</v>
      </c>
      <c r="Y68">
        <v>1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16.989999999999998</v>
      </c>
      <c r="AH68">
        <v>2</v>
      </c>
      <c r="AI68">
        <v>50121329</v>
      </c>
      <c r="AJ68">
        <v>66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ROW(Source!A41)</f>
        <v>41</v>
      </c>
      <c r="B69">
        <v>50121347</v>
      </c>
      <c r="C69">
        <v>50121344</v>
      </c>
      <c r="D69">
        <v>18407150</v>
      </c>
      <c r="E69">
        <v>1</v>
      </c>
      <c r="F69">
        <v>1</v>
      </c>
      <c r="G69">
        <v>1</v>
      </c>
      <c r="H69">
        <v>1</v>
      </c>
      <c r="I69" t="s">
        <v>391</v>
      </c>
      <c r="J69" t="s">
        <v>3</v>
      </c>
      <c r="K69" t="s">
        <v>392</v>
      </c>
      <c r="L69">
        <v>1369</v>
      </c>
      <c r="N69">
        <v>1013</v>
      </c>
      <c r="O69" t="s">
        <v>271</v>
      </c>
      <c r="P69" t="s">
        <v>271</v>
      </c>
      <c r="Q69">
        <v>1</v>
      </c>
      <c r="X69">
        <v>7.57</v>
      </c>
      <c r="Y69">
        <v>0</v>
      </c>
      <c r="Z69">
        <v>0</v>
      </c>
      <c r="AA69">
        <v>0</v>
      </c>
      <c r="AB69">
        <v>281.88</v>
      </c>
      <c r="AC69">
        <v>0</v>
      </c>
      <c r="AD69">
        <v>1</v>
      </c>
      <c r="AE69">
        <v>1</v>
      </c>
      <c r="AF69" t="s">
        <v>3</v>
      </c>
      <c r="AG69">
        <v>7.57</v>
      </c>
      <c r="AH69">
        <v>2</v>
      </c>
      <c r="AI69">
        <v>50121345</v>
      </c>
      <c r="AJ69">
        <v>67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ROW(Source!A41)</f>
        <v>41</v>
      </c>
      <c r="B70">
        <v>50121348</v>
      </c>
      <c r="C70">
        <v>50121344</v>
      </c>
      <c r="D70">
        <v>29174582</v>
      </c>
      <c r="E70">
        <v>1</v>
      </c>
      <c r="F70">
        <v>1</v>
      </c>
      <c r="G70">
        <v>1</v>
      </c>
      <c r="H70">
        <v>2</v>
      </c>
      <c r="I70" t="s">
        <v>393</v>
      </c>
      <c r="J70" t="s">
        <v>394</v>
      </c>
      <c r="K70" t="s">
        <v>395</v>
      </c>
      <c r="L70">
        <v>1368</v>
      </c>
      <c r="N70">
        <v>1011</v>
      </c>
      <c r="O70" t="s">
        <v>287</v>
      </c>
      <c r="P70" t="s">
        <v>287</v>
      </c>
      <c r="Q70">
        <v>1</v>
      </c>
      <c r="X70">
        <v>5.91</v>
      </c>
      <c r="Y70">
        <v>0</v>
      </c>
      <c r="Z70">
        <v>26.26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5.91</v>
      </c>
      <c r="AH70">
        <v>2</v>
      </c>
      <c r="AI70">
        <v>50121346</v>
      </c>
      <c r="AJ70">
        <v>68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ROW(Source!A42)</f>
        <v>42</v>
      </c>
      <c r="B71">
        <v>50121369</v>
      </c>
      <c r="C71">
        <v>50121349</v>
      </c>
      <c r="D71">
        <v>18411117</v>
      </c>
      <c r="E71">
        <v>1</v>
      </c>
      <c r="F71">
        <v>1</v>
      </c>
      <c r="G71">
        <v>1</v>
      </c>
      <c r="H71">
        <v>1</v>
      </c>
      <c r="I71" t="s">
        <v>396</v>
      </c>
      <c r="J71" t="s">
        <v>3</v>
      </c>
      <c r="K71" t="s">
        <v>397</v>
      </c>
      <c r="L71">
        <v>1369</v>
      </c>
      <c r="N71">
        <v>1013</v>
      </c>
      <c r="O71" t="s">
        <v>271</v>
      </c>
      <c r="P71" t="s">
        <v>271</v>
      </c>
      <c r="Q71">
        <v>1</v>
      </c>
      <c r="X71">
        <v>32.97</v>
      </c>
      <c r="Y71">
        <v>0</v>
      </c>
      <c r="Z71">
        <v>0</v>
      </c>
      <c r="AA71">
        <v>0</v>
      </c>
      <c r="AB71">
        <v>9.6199999999999992</v>
      </c>
      <c r="AC71">
        <v>0</v>
      </c>
      <c r="AD71">
        <v>1</v>
      </c>
      <c r="AE71">
        <v>1</v>
      </c>
      <c r="AF71" t="s">
        <v>111</v>
      </c>
      <c r="AG71">
        <v>37.915499999999994</v>
      </c>
      <c r="AH71">
        <v>2</v>
      </c>
      <c r="AI71">
        <v>50121350</v>
      </c>
      <c r="AJ71">
        <v>69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ROW(Source!A42)</f>
        <v>42</v>
      </c>
      <c r="B72">
        <v>50121370</v>
      </c>
      <c r="C72">
        <v>50121349</v>
      </c>
      <c r="D72">
        <v>121548</v>
      </c>
      <c r="E72">
        <v>1</v>
      </c>
      <c r="F72">
        <v>1</v>
      </c>
      <c r="G72">
        <v>1</v>
      </c>
      <c r="H72">
        <v>1</v>
      </c>
      <c r="I72" t="s">
        <v>28</v>
      </c>
      <c r="J72" t="s">
        <v>3</v>
      </c>
      <c r="K72" t="s">
        <v>282</v>
      </c>
      <c r="L72">
        <v>608254</v>
      </c>
      <c r="N72">
        <v>1013</v>
      </c>
      <c r="O72" t="s">
        <v>283</v>
      </c>
      <c r="P72" t="s">
        <v>283</v>
      </c>
      <c r="Q72">
        <v>1</v>
      </c>
      <c r="X72">
        <v>0.15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2</v>
      </c>
      <c r="AF72" t="s">
        <v>110</v>
      </c>
      <c r="AG72">
        <v>0.1875</v>
      </c>
      <c r="AH72">
        <v>2</v>
      </c>
      <c r="AI72">
        <v>50121351</v>
      </c>
      <c r="AJ72">
        <v>70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ROW(Source!A42)</f>
        <v>42</v>
      </c>
      <c r="B73">
        <v>50121371</v>
      </c>
      <c r="C73">
        <v>50121349</v>
      </c>
      <c r="D73">
        <v>29172268</v>
      </c>
      <c r="E73">
        <v>1</v>
      </c>
      <c r="F73">
        <v>1</v>
      </c>
      <c r="G73">
        <v>1</v>
      </c>
      <c r="H73">
        <v>2</v>
      </c>
      <c r="I73" t="s">
        <v>398</v>
      </c>
      <c r="J73" t="s">
        <v>399</v>
      </c>
      <c r="K73" t="s">
        <v>400</v>
      </c>
      <c r="L73">
        <v>1368</v>
      </c>
      <c r="N73">
        <v>1011</v>
      </c>
      <c r="O73" t="s">
        <v>287</v>
      </c>
      <c r="P73" t="s">
        <v>287</v>
      </c>
      <c r="Q73">
        <v>1</v>
      </c>
      <c r="X73">
        <v>0.08</v>
      </c>
      <c r="Y73">
        <v>0</v>
      </c>
      <c r="Z73">
        <v>86.4</v>
      </c>
      <c r="AA73">
        <v>13.5</v>
      </c>
      <c r="AB73">
        <v>0</v>
      </c>
      <c r="AC73">
        <v>0</v>
      </c>
      <c r="AD73">
        <v>1</v>
      </c>
      <c r="AE73">
        <v>0</v>
      </c>
      <c r="AF73" t="s">
        <v>110</v>
      </c>
      <c r="AG73">
        <v>0.1</v>
      </c>
      <c r="AH73">
        <v>2</v>
      </c>
      <c r="AI73">
        <v>50121352</v>
      </c>
      <c r="AJ73">
        <v>71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ROW(Source!A42)</f>
        <v>42</v>
      </c>
      <c r="B74">
        <v>50121372</v>
      </c>
      <c r="C74">
        <v>50121349</v>
      </c>
      <c r="D74">
        <v>29172379</v>
      </c>
      <c r="E74">
        <v>1</v>
      </c>
      <c r="F74">
        <v>1</v>
      </c>
      <c r="G74">
        <v>1</v>
      </c>
      <c r="H74">
        <v>2</v>
      </c>
      <c r="I74" t="s">
        <v>401</v>
      </c>
      <c r="J74" t="s">
        <v>402</v>
      </c>
      <c r="K74" t="s">
        <v>403</v>
      </c>
      <c r="L74">
        <v>1368</v>
      </c>
      <c r="N74">
        <v>1011</v>
      </c>
      <c r="O74" t="s">
        <v>287</v>
      </c>
      <c r="P74" t="s">
        <v>287</v>
      </c>
      <c r="Q74">
        <v>1</v>
      </c>
      <c r="X74">
        <v>7.0000000000000007E-2</v>
      </c>
      <c r="Y74">
        <v>0</v>
      </c>
      <c r="Z74">
        <v>112</v>
      </c>
      <c r="AA74">
        <v>13.5</v>
      </c>
      <c r="AB74">
        <v>0</v>
      </c>
      <c r="AC74">
        <v>0</v>
      </c>
      <c r="AD74">
        <v>1</v>
      </c>
      <c r="AE74">
        <v>0</v>
      </c>
      <c r="AF74" t="s">
        <v>110</v>
      </c>
      <c r="AG74">
        <v>8.7500000000000008E-2</v>
      </c>
      <c r="AH74">
        <v>2</v>
      </c>
      <c r="AI74">
        <v>50121353</v>
      </c>
      <c r="AJ74">
        <v>72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ROW(Source!A42)</f>
        <v>42</v>
      </c>
      <c r="B75">
        <v>50121373</v>
      </c>
      <c r="C75">
        <v>50121349</v>
      </c>
      <c r="D75">
        <v>29172659</v>
      </c>
      <c r="E75">
        <v>1</v>
      </c>
      <c r="F75">
        <v>1</v>
      </c>
      <c r="G75">
        <v>1</v>
      </c>
      <c r="H75">
        <v>2</v>
      </c>
      <c r="I75" t="s">
        <v>404</v>
      </c>
      <c r="J75" t="s">
        <v>405</v>
      </c>
      <c r="K75" t="s">
        <v>406</v>
      </c>
      <c r="L75">
        <v>1368</v>
      </c>
      <c r="N75">
        <v>1011</v>
      </c>
      <c r="O75" t="s">
        <v>287</v>
      </c>
      <c r="P75" t="s">
        <v>287</v>
      </c>
      <c r="Q75">
        <v>1</v>
      </c>
      <c r="X75">
        <v>1.1499999999999999</v>
      </c>
      <c r="Y75">
        <v>0</v>
      </c>
      <c r="Z75">
        <v>1.2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110</v>
      </c>
      <c r="AG75">
        <v>1.4375</v>
      </c>
      <c r="AH75">
        <v>2</v>
      </c>
      <c r="AI75">
        <v>50121354</v>
      </c>
      <c r="AJ75">
        <v>73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ROW(Source!A42)</f>
        <v>42</v>
      </c>
      <c r="B76">
        <v>50121374</v>
      </c>
      <c r="C76">
        <v>50121349</v>
      </c>
      <c r="D76">
        <v>29174913</v>
      </c>
      <c r="E76">
        <v>1</v>
      </c>
      <c r="F76">
        <v>1</v>
      </c>
      <c r="G76">
        <v>1</v>
      </c>
      <c r="H76">
        <v>2</v>
      </c>
      <c r="I76" t="s">
        <v>297</v>
      </c>
      <c r="J76" t="s">
        <v>298</v>
      </c>
      <c r="K76" t="s">
        <v>299</v>
      </c>
      <c r="L76">
        <v>1368</v>
      </c>
      <c r="N76">
        <v>1011</v>
      </c>
      <c r="O76" t="s">
        <v>287</v>
      </c>
      <c r="P76" t="s">
        <v>287</v>
      </c>
      <c r="Q76">
        <v>1</v>
      </c>
      <c r="X76">
        <v>0.35</v>
      </c>
      <c r="Y76">
        <v>0</v>
      </c>
      <c r="Z76">
        <v>87.17</v>
      </c>
      <c r="AA76">
        <v>11.6</v>
      </c>
      <c r="AB76">
        <v>0</v>
      </c>
      <c r="AC76">
        <v>0</v>
      </c>
      <c r="AD76">
        <v>1</v>
      </c>
      <c r="AE76">
        <v>0</v>
      </c>
      <c r="AF76" t="s">
        <v>110</v>
      </c>
      <c r="AG76">
        <v>0.4375</v>
      </c>
      <c r="AH76">
        <v>2</v>
      </c>
      <c r="AI76">
        <v>50121355</v>
      </c>
      <c r="AJ76">
        <v>74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ROW(Source!A42)</f>
        <v>42</v>
      </c>
      <c r="B77">
        <v>50121375</v>
      </c>
      <c r="C77">
        <v>50121349</v>
      </c>
      <c r="D77">
        <v>29107431</v>
      </c>
      <c r="E77">
        <v>1</v>
      </c>
      <c r="F77">
        <v>1</v>
      </c>
      <c r="G77">
        <v>1</v>
      </c>
      <c r="H77">
        <v>3</v>
      </c>
      <c r="I77" t="s">
        <v>407</v>
      </c>
      <c r="J77" t="s">
        <v>408</v>
      </c>
      <c r="K77" t="s">
        <v>409</v>
      </c>
      <c r="L77">
        <v>1348</v>
      </c>
      <c r="N77">
        <v>1009</v>
      </c>
      <c r="O77" t="s">
        <v>134</v>
      </c>
      <c r="P77" t="s">
        <v>134</v>
      </c>
      <c r="Q77">
        <v>1000</v>
      </c>
      <c r="X77">
        <v>1.2999999999999999E-4</v>
      </c>
      <c r="Y77">
        <v>32830.01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1.2999999999999999E-4</v>
      </c>
      <c r="AH77">
        <v>2</v>
      </c>
      <c r="AI77">
        <v>50121356</v>
      </c>
      <c r="AJ77">
        <v>75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ROW(Source!A42)</f>
        <v>42</v>
      </c>
      <c r="B78">
        <v>50121376</v>
      </c>
      <c r="C78">
        <v>50121349</v>
      </c>
      <c r="D78">
        <v>29107441</v>
      </c>
      <c r="E78">
        <v>1</v>
      </c>
      <c r="F78">
        <v>1</v>
      </c>
      <c r="G78">
        <v>1</v>
      </c>
      <c r="H78">
        <v>3</v>
      </c>
      <c r="I78" t="s">
        <v>314</v>
      </c>
      <c r="J78" t="s">
        <v>315</v>
      </c>
      <c r="K78" t="s">
        <v>316</v>
      </c>
      <c r="L78">
        <v>1339</v>
      </c>
      <c r="N78">
        <v>1007</v>
      </c>
      <c r="O78" t="s">
        <v>317</v>
      </c>
      <c r="P78" t="s">
        <v>317</v>
      </c>
      <c r="Q78">
        <v>1</v>
      </c>
      <c r="X78">
        <v>0.28100000000000003</v>
      </c>
      <c r="Y78">
        <v>6.23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0.28100000000000003</v>
      </c>
      <c r="AH78">
        <v>2</v>
      </c>
      <c r="AI78">
        <v>50121357</v>
      </c>
      <c r="AJ78">
        <v>76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ROW(Source!A42)</f>
        <v>42</v>
      </c>
      <c r="B79">
        <v>50121377</v>
      </c>
      <c r="C79">
        <v>50121349</v>
      </c>
      <c r="D79">
        <v>29110398</v>
      </c>
      <c r="E79">
        <v>1</v>
      </c>
      <c r="F79">
        <v>1</v>
      </c>
      <c r="G79">
        <v>1</v>
      </c>
      <c r="H79">
        <v>3</v>
      </c>
      <c r="I79" t="s">
        <v>410</v>
      </c>
      <c r="J79" t="s">
        <v>411</v>
      </c>
      <c r="K79" t="s">
        <v>412</v>
      </c>
      <c r="L79">
        <v>1348</v>
      </c>
      <c r="N79">
        <v>1009</v>
      </c>
      <c r="O79" t="s">
        <v>134</v>
      </c>
      <c r="P79" t="s">
        <v>134</v>
      </c>
      <c r="Q79">
        <v>1000</v>
      </c>
      <c r="X79">
        <v>4.4000000000000002E-4</v>
      </c>
      <c r="Y79">
        <v>15118.99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4.4000000000000002E-4</v>
      </c>
      <c r="AH79">
        <v>2</v>
      </c>
      <c r="AI79">
        <v>50121358</v>
      </c>
      <c r="AJ79">
        <v>77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ROW(Source!A42)</f>
        <v>42</v>
      </c>
      <c r="B80">
        <v>50121378</v>
      </c>
      <c r="C80">
        <v>50121349</v>
      </c>
      <c r="D80">
        <v>29110573</v>
      </c>
      <c r="E80">
        <v>1</v>
      </c>
      <c r="F80">
        <v>1</v>
      </c>
      <c r="G80">
        <v>1</v>
      </c>
      <c r="H80">
        <v>3</v>
      </c>
      <c r="I80" t="s">
        <v>413</v>
      </c>
      <c r="J80" t="s">
        <v>414</v>
      </c>
      <c r="K80" t="s">
        <v>415</v>
      </c>
      <c r="L80">
        <v>1348</v>
      </c>
      <c r="N80">
        <v>1009</v>
      </c>
      <c r="O80" t="s">
        <v>134</v>
      </c>
      <c r="P80" t="s">
        <v>134</v>
      </c>
      <c r="Q80">
        <v>1000</v>
      </c>
      <c r="X80">
        <v>5.2999999999999998E-4</v>
      </c>
      <c r="Y80">
        <v>16950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5.2999999999999998E-4</v>
      </c>
      <c r="AH80">
        <v>2</v>
      </c>
      <c r="AI80">
        <v>50121359</v>
      </c>
      <c r="AJ80">
        <v>78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ROW(Source!A42)</f>
        <v>42</v>
      </c>
      <c r="B81">
        <v>50121379</v>
      </c>
      <c r="C81">
        <v>50121349</v>
      </c>
      <c r="D81">
        <v>29113927</v>
      </c>
      <c r="E81">
        <v>1</v>
      </c>
      <c r="F81">
        <v>1</v>
      </c>
      <c r="G81">
        <v>1</v>
      </c>
      <c r="H81">
        <v>3</v>
      </c>
      <c r="I81" t="s">
        <v>416</v>
      </c>
      <c r="J81" t="s">
        <v>417</v>
      </c>
      <c r="K81" t="s">
        <v>418</v>
      </c>
      <c r="L81">
        <v>1348</v>
      </c>
      <c r="N81">
        <v>1009</v>
      </c>
      <c r="O81" t="s">
        <v>134</v>
      </c>
      <c r="P81" t="s">
        <v>134</v>
      </c>
      <c r="Q81">
        <v>1000</v>
      </c>
      <c r="X81">
        <v>1.7000000000000001E-4</v>
      </c>
      <c r="Y81">
        <v>13559.99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1.7000000000000001E-4</v>
      </c>
      <c r="AH81">
        <v>2</v>
      </c>
      <c r="AI81">
        <v>50121360</v>
      </c>
      <c r="AJ81">
        <v>79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ROW(Source!A42)</f>
        <v>42</v>
      </c>
      <c r="B82">
        <v>50121380</v>
      </c>
      <c r="C82">
        <v>50121349</v>
      </c>
      <c r="D82">
        <v>29107963</v>
      </c>
      <c r="E82">
        <v>1</v>
      </c>
      <c r="F82">
        <v>1</v>
      </c>
      <c r="G82">
        <v>1</v>
      </c>
      <c r="H82">
        <v>3</v>
      </c>
      <c r="I82" t="s">
        <v>419</v>
      </c>
      <c r="J82" t="s">
        <v>420</v>
      </c>
      <c r="K82" t="s">
        <v>421</v>
      </c>
      <c r="L82">
        <v>1346</v>
      </c>
      <c r="N82">
        <v>1009</v>
      </c>
      <c r="O82" t="s">
        <v>281</v>
      </c>
      <c r="P82" t="s">
        <v>281</v>
      </c>
      <c r="Q82">
        <v>1</v>
      </c>
      <c r="X82">
        <v>0.06</v>
      </c>
      <c r="Y82">
        <v>37.29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0.06</v>
      </c>
      <c r="AH82">
        <v>2</v>
      </c>
      <c r="AI82">
        <v>50121361</v>
      </c>
      <c r="AJ82">
        <v>80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ROW(Source!A42)</f>
        <v>42</v>
      </c>
      <c r="B83">
        <v>50121381</v>
      </c>
      <c r="C83">
        <v>50121349</v>
      </c>
      <c r="D83">
        <v>29118038</v>
      </c>
      <c r="E83">
        <v>1</v>
      </c>
      <c r="F83">
        <v>1</v>
      </c>
      <c r="G83">
        <v>1</v>
      </c>
      <c r="H83">
        <v>3</v>
      </c>
      <c r="I83" t="s">
        <v>452</v>
      </c>
      <c r="J83" t="s">
        <v>453</v>
      </c>
      <c r="K83" t="s">
        <v>454</v>
      </c>
      <c r="L83">
        <v>1354</v>
      </c>
      <c r="N83">
        <v>1010</v>
      </c>
      <c r="O83" t="s">
        <v>21</v>
      </c>
      <c r="P83" t="s">
        <v>21</v>
      </c>
      <c r="Q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1</v>
      </c>
      <c r="AD83">
        <v>0</v>
      </c>
      <c r="AE83">
        <v>0</v>
      </c>
      <c r="AF83" t="s">
        <v>3</v>
      </c>
      <c r="AG83">
        <v>0</v>
      </c>
      <c r="AH83">
        <v>3</v>
      </c>
      <c r="AI83">
        <v>-1</v>
      </c>
      <c r="AJ83" t="s">
        <v>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ROW(Source!A42)</f>
        <v>42</v>
      </c>
      <c r="B84">
        <v>50121382</v>
      </c>
      <c r="C84">
        <v>50121349</v>
      </c>
      <c r="D84">
        <v>29139870</v>
      </c>
      <c r="E84">
        <v>1</v>
      </c>
      <c r="F84">
        <v>1</v>
      </c>
      <c r="G84">
        <v>1</v>
      </c>
      <c r="H84">
        <v>3</v>
      </c>
      <c r="I84" t="s">
        <v>455</v>
      </c>
      <c r="J84" t="s">
        <v>456</v>
      </c>
      <c r="K84" t="s">
        <v>457</v>
      </c>
      <c r="L84">
        <v>1346</v>
      </c>
      <c r="N84">
        <v>1009</v>
      </c>
      <c r="O84" t="s">
        <v>281</v>
      </c>
      <c r="P84" t="s">
        <v>281</v>
      </c>
      <c r="Q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>
        <v>0</v>
      </c>
      <c r="AE84">
        <v>0</v>
      </c>
      <c r="AF84" t="s">
        <v>3</v>
      </c>
      <c r="AG84">
        <v>0</v>
      </c>
      <c r="AH84">
        <v>3</v>
      </c>
      <c r="AI84">
        <v>-1</v>
      </c>
      <c r="AJ84" t="s">
        <v>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ROW(Source!A42)</f>
        <v>42</v>
      </c>
      <c r="B85">
        <v>50121366</v>
      </c>
      <c r="C85">
        <v>50121349</v>
      </c>
      <c r="D85">
        <v>29144372</v>
      </c>
      <c r="E85">
        <v>1</v>
      </c>
      <c r="F85">
        <v>1</v>
      </c>
      <c r="G85">
        <v>1</v>
      </c>
      <c r="H85">
        <v>3</v>
      </c>
      <c r="I85" t="s">
        <v>118</v>
      </c>
      <c r="J85" t="s">
        <v>120</v>
      </c>
      <c r="K85" t="s">
        <v>119</v>
      </c>
      <c r="L85">
        <v>1301</v>
      </c>
      <c r="N85">
        <v>1003</v>
      </c>
      <c r="O85" t="s">
        <v>74</v>
      </c>
      <c r="P85" t="s">
        <v>74</v>
      </c>
      <c r="Q85">
        <v>1</v>
      </c>
      <c r="X85">
        <v>100</v>
      </c>
      <c r="Y85">
        <v>19.62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100</v>
      </c>
      <c r="AH85">
        <v>3</v>
      </c>
      <c r="AI85">
        <v>-1</v>
      </c>
      <c r="AJ85" t="s">
        <v>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ROW(Source!A42)</f>
        <v>42</v>
      </c>
      <c r="B86">
        <v>50121367</v>
      </c>
      <c r="C86">
        <v>50121349</v>
      </c>
      <c r="D86">
        <v>29149246</v>
      </c>
      <c r="E86">
        <v>1</v>
      </c>
      <c r="F86">
        <v>1</v>
      </c>
      <c r="G86">
        <v>1</v>
      </c>
      <c r="H86">
        <v>3</v>
      </c>
      <c r="I86" t="s">
        <v>422</v>
      </c>
      <c r="J86" t="s">
        <v>423</v>
      </c>
      <c r="K86" t="s">
        <v>424</v>
      </c>
      <c r="L86">
        <v>1346</v>
      </c>
      <c r="N86">
        <v>1009</v>
      </c>
      <c r="O86" t="s">
        <v>281</v>
      </c>
      <c r="P86" t="s">
        <v>281</v>
      </c>
      <c r="Q86">
        <v>1</v>
      </c>
      <c r="X86">
        <v>8.9999999999999998E-4</v>
      </c>
      <c r="Y86">
        <v>2.15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8.9999999999999998E-4</v>
      </c>
      <c r="AH86">
        <v>2</v>
      </c>
      <c r="AI86">
        <v>50121364</v>
      </c>
      <c r="AJ86">
        <v>81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ROW(Source!A42)</f>
        <v>42</v>
      </c>
      <c r="B87">
        <v>50121368</v>
      </c>
      <c r="C87">
        <v>50121349</v>
      </c>
      <c r="D87">
        <v>29150040</v>
      </c>
      <c r="E87">
        <v>1</v>
      </c>
      <c r="F87">
        <v>1</v>
      </c>
      <c r="G87">
        <v>1</v>
      </c>
      <c r="H87">
        <v>3</v>
      </c>
      <c r="I87" t="s">
        <v>425</v>
      </c>
      <c r="J87" t="s">
        <v>426</v>
      </c>
      <c r="K87" t="s">
        <v>427</v>
      </c>
      <c r="L87">
        <v>1339</v>
      </c>
      <c r="N87">
        <v>1007</v>
      </c>
      <c r="O87" t="s">
        <v>317</v>
      </c>
      <c r="P87" t="s">
        <v>317</v>
      </c>
      <c r="Q87">
        <v>1</v>
      </c>
      <c r="X87">
        <v>0.25</v>
      </c>
      <c r="Y87">
        <v>2.44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0.25</v>
      </c>
      <c r="AH87">
        <v>2</v>
      </c>
      <c r="AI87">
        <v>50121365</v>
      </c>
      <c r="AJ87">
        <v>82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ROW(Source!A45)</f>
        <v>45</v>
      </c>
      <c r="B88">
        <v>50121394</v>
      </c>
      <c r="C88">
        <v>50121385</v>
      </c>
      <c r="D88">
        <v>18410280</v>
      </c>
      <c r="E88">
        <v>1</v>
      </c>
      <c r="F88">
        <v>1</v>
      </c>
      <c r="G88">
        <v>1</v>
      </c>
      <c r="H88">
        <v>1</v>
      </c>
      <c r="I88" t="s">
        <v>428</v>
      </c>
      <c r="J88" t="s">
        <v>3</v>
      </c>
      <c r="K88" t="s">
        <v>429</v>
      </c>
      <c r="L88">
        <v>1369</v>
      </c>
      <c r="N88">
        <v>1013</v>
      </c>
      <c r="O88" t="s">
        <v>271</v>
      </c>
      <c r="P88" t="s">
        <v>271</v>
      </c>
      <c r="Q88">
        <v>1</v>
      </c>
      <c r="X88">
        <v>16.29</v>
      </c>
      <c r="Y88">
        <v>0</v>
      </c>
      <c r="Z88">
        <v>0</v>
      </c>
      <c r="AA88">
        <v>0</v>
      </c>
      <c r="AB88">
        <v>9.51</v>
      </c>
      <c r="AC88">
        <v>0</v>
      </c>
      <c r="AD88">
        <v>1</v>
      </c>
      <c r="AE88">
        <v>1</v>
      </c>
      <c r="AF88" t="s">
        <v>3</v>
      </c>
      <c r="AG88">
        <v>16.29</v>
      </c>
      <c r="AH88">
        <v>2</v>
      </c>
      <c r="AI88">
        <v>50121386</v>
      </c>
      <c r="AJ88">
        <v>83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ROW(Source!A45)</f>
        <v>45</v>
      </c>
      <c r="B89">
        <v>50121395</v>
      </c>
      <c r="C89">
        <v>50121385</v>
      </c>
      <c r="D89">
        <v>121548</v>
      </c>
      <c r="E89">
        <v>1</v>
      </c>
      <c r="F89">
        <v>1</v>
      </c>
      <c r="G89">
        <v>1</v>
      </c>
      <c r="H89">
        <v>1</v>
      </c>
      <c r="I89" t="s">
        <v>28</v>
      </c>
      <c r="J89" t="s">
        <v>3</v>
      </c>
      <c r="K89" t="s">
        <v>282</v>
      </c>
      <c r="L89">
        <v>608254</v>
      </c>
      <c r="N89">
        <v>1013</v>
      </c>
      <c r="O89" t="s">
        <v>283</v>
      </c>
      <c r="P89" t="s">
        <v>283</v>
      </c>
      <c r="Q89">
        <v>1</v>
      </c>
      <c r="X89">
        <v>0.01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2</v>
      </c>
      <c r="AF89" t="s">
        <v>3</v>
      </c>
      <c r="AG89">
        <v>0.01</v>
      </c>
      <c r="AH89">
        <v>2</v>
      </c>
      <c r="AI89">
        <v>50121387</v>
      </c>
      <c r="AJ89">
        <v>84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ROW(Source!A45)</f>
        <v>45</v>
      </c>
      <c r="B90">
        <v>50121396</v>
      </c>
      <c r="C90">
        <v>50121385</v>
      </c>
      <c r="D90">
        <v>29172556</v>
      </c>
      <c r="E90">
        <v>1</v>
      </c>
      <c r="F90">
        <v>1</v>
      </c>
      <c r="G90">
        <v>1</v>
      </c>
      <c r="H90">
        <v>2</v>
      </c>
      <c r="I90" t="s">
        <v>430</v>
      </c>
      <c r="J90" t="s">
        <v>431</v>
      </c>
      <c r="K90" t="s">
        <v>432</v>
      </c>
      <c r="L90">
        <v>1368</v>
      </c>
      <c r="N90">
        <v>1011</v>
      </c>
      <c r="O90" t="s">
        <v>287</v>
      </c>
      <c r="P90" t="s">
        <v>287</v>
      </c>
      <c r="Q90">
        <v>1</v>
      </c>
      <c r="X90">
        <v>0.01</v>
      </c>
      <c r="Y90">
        <v>0</v>
      </c>
      <c r="Z90">
        <v>31.26</v>
      </c>
      <c r="AA90">
        <v>13.5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0.01</v>
      </c>
      <c r="AH90">
        <v>2</v>
      </c>
      <c r="AI90">
        <v>50121388</v>
      </c>
      <c r="AJ90">
        <v>85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ROW(Source!A45)</f>
        <v>45</v>
      </c>
      <c r="B91">
        <v>50121397</v>
      </c>
      <c r="C91">
        <v>50121385</v>
      </c>
      <c r="D91">
        <v>29173472</v>
      </c>
      <c r="E91">
        <v>1</v>
      </c>
      <c r="F91">
        <v>1</v>
      </c>
      <c r="G91">
        <v>1</v>
      </c>
      <c r="H91">
        <v>2</v>
      </c>
      <c r="I91" t="s">
        <v>433</v>
      </c>
      <c r="J91" t="s">
        <v>434</v>
      </c>
      <c r="K91" t="s">
        <v>435</v>
      </c>
      <c r="L91">
        <v>1368</v>
      </c>
      <c r="N91">
        <v>1011</v>
      </c>
      <c r="O91" t="s">
        <v>287</v>
      </c>
      <c r="P91" t="s">
        <v>287</v>
      </c>
      <c r="Q91">
        <v>1</v>
      </c>
      <c r="X91">
        <v>6.08</v>
      </c>
      <c r="Y91">
        <v>0</v>
      </c>
      <c r="Z91">
        <v>3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6.08</v>
      </c>
      <c r="AH91">
        <v>2</v>
      </c>
      <c r="AI91">
        <v>50121389</v>
      </c>
      <c r="AJ91">
        <v>86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ROW(Source!A45)</f>
        <v>45</v>
      </c>
      <c r="B92">
        <v>50121398</v>
      </c>
      <c r="C92">
        <v>50121385</v>
      </c>
      <c r="D92">
        <v>29174580</v>
      </c>
      <c r="E92">
        <v>1</v>
      </c>
      <c r="F92">
        <v>1</v>
      </c>
      <c r="G92">
        <v>1</v>
      </c>
      <c r="H92">
        <v>2</v>
      </c>
      <c r="I92" t="s">
        <v>436</v>
      </c>
      <c r="J92" t="s">
        <v>437</v>
      </c>
      <c r="K92" t="s">
        <v>438</v>
      </c>
      <c r="L92">
        <v>1368</v>
      </c>
      <c r="N92">
        <v>1011</v>
      </c>
      <c r="O92" t="s">
        <v>287</v>
      </c>
      <c r="P92" t="s">
        <v>287</v>
      </c>
      <c r="Q92">
        <v>1</v>
      </c>
      <c r="X92">
        <v>6.08</v>
      </c>
      <c r="Y92">
        <v>0</v>
      </c>
      <c r="Z92">
        <v>2.08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6.08</v>
      </c>
      <c r="AH92">
        <v>2</v>
      </c>
      <c r="AI92">
        <v>50121390</v>
      </c>
      <c r="AJ92">
        <v>87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ROW(Source!A45)</f>
        <v>45</v>
      </c>
      <c r="B93">
        <v>50121399</v>
      </c>
      <c r="C93">
        <v>50121385</v>
      </c>
      <c r="D93">
        <v>29114688</v>
      </c>
      <c r="E93">
        <v>1</v>
      </c>
      <c r="F93">
        <v>1</v>
      </c>
      <c r="G93">
        <v>1</v>
      </c>
      <c r="H93">
        <v>3</v>
      </c>
      <c r="I93" t="s">
        <v>439</v>
      </c>
      <c r="J93" t="s">
        <v>440</v>
      </c>
      <c r="K93" t="s">
        <v>441</v>
      </c>
      <c r="L93">
        <v>1348</v>
      </c>
      <c r="N93">
        <v>1009</v>
      </c>
      <c r="O93" t="s">
        <v>134</v>
      </c>
      <c r="P93" t="s">
        <v>134</v>
      </c>
      <c r="Q93">
        <v>1000</v>
      </c>
      <c r="X93">
        <v>1E-3</v>
      </c>
      <c r="Y93">
        <v>12430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1E-3</v>
      </c>
      <c r="AH93">
        <v>2</v>
      </c>
      <c r="AI93">
        <v>50121391</v>
      </c>
      <c r="AJ93">
        <v>88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ROW(Source!A45)</f>
        <v>45</v>
      </c>
      <c r="B94">
        <v>50121400</v>
      </c>
      <c r="C94">
        <v>50121385</v>
      </c>
      <c r="D94">
        <v>29114472</v>
      </c>
      <c r="E94">
        <v>1</v>
      </c>
      <c r="F94">
        <v>1</v>
      </c>
      <c r="G94">
        <v>1</v>
      </c>
      <c r="H94">
        <v>3</v>
      </c>
      <c r="I94" t="s">
        <v>442</v>
      </c>
      <c r="J94" t="s">
        <v>443</v>
      </c>
      <c r="K94" t="s">
        <v>444</v>
      </c>
      <c r="L94">
        <v>1356</v>
      </c>
      <c r="N94">
        <v>1010</v>
      </c>
      <c r="O94" t="s">
        <v>445</v>
      </c>
      <c r="P94" t="s">
        <v>445</v>
      </c>
      <c r="Q94">
        <v>1000</v>
      </c>
      <c r="X94">
        <v>0.2</v>
      </c>
      <c r="Y94">
        <v>179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0.2</v>
      </c>
      <c r="AH94">
        <v>2</v>
      </c>
      <c r="AI94">
        <v>50121392</v>
      </c>
      <c r="AJ94">
        <v>89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ROW(Source!A45)</f>
        <v>45</v>
      </c>
      <c r="B95">
        <v>50121401</v>
      </c>
      <c r="C95">
        <v>50121385</v>
      </c>
      <c r="D95">
        <v>29171808</v>
      </c>
      <c r="E95">
        <v>1</v>
      </c>
      <c r="F95">
        <v>1</v>
      </c>
      <c r="G95">
        <v>1</v>
      </c>
      <c r="H95">
        <v>3</v>
      </c>
      <c r="I95" t="s">
        <v>272</v>
      </c>
      <c r="J95" t="s">
        <v>273</v>
      </c>
      <c r="K95" t="s">
        <v>274</v>
      </c>
      <c r="L95">
        <v>1374</v>
      </c>
      <c r="N95">
        <v>1013</v>
      </c>
      <c r="O95" t="s">
        <v>275</v>
      </c>
      <c r="P95" t="s">
        <v>275</v>
      </c>
      <c r="Q95">
        <v>1</v>
      </c>
      <c r="X95">
        <v>3.1</v>
      </c>
      <c r="Y95">
        <v>1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3.1</v>
      </c>
      <c r="AH95">
        <v>2</v>
      </c>
      <c r="AI95">
        <v>50121393</v>
      </c>
      <c r="AJ95">
        <v>90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ROW(Source!A47)</f>
        <v>47</v>
      </c>
      <c r="B96">
        <v>50121411</v>
      </c>
      <c r="C96">
        <v>50121403</v>
      </c>
      <c r="D96">
        <v>29362762</v>
      </c>
      <c r="E96">
        <v>1</v>
      </c>
      <c r="F96">
        <v>1</v>
      </c>
      <c r="G96">
        <v>1</v>
      </c>
      <c r="H96">
        <v>1</v>
      </c>
      <c r="I96" t="s">
        <v>309</v>
      </c>
      <c r="J96" t="s">
        <v>3</v>
      </c>
      <c r="K96" t="s">
        <v>310</v>
      </c>
      <c r="L96">
        <v>1369</v>
      </c>
      <c r="N96">
        <v>1013</v>
      </c>
      <c r="O96" t="s">
        <v>271</v>
      </c>
      <c r="P96" t="s">
        <v>271</v>
      </c>
      <c r="Q96">
        <v>1</v>
      </c>
      <c r="X96">
        <v>22.6</v>
      </c>
      <c r="Y96">
        <v>0</v>
      </c>
      <c r="Z96">
        <v>0</v>
      </c>
      <c r="AA96">
        <v>0</v>
      </c>
      <c r="AB96">
        <v>9.6199999999999992</v>
      </c>
      <c r="AC96">
        <v>0</v>
      </c>
      <c r="AD96">
        <v>1</v>
      </c>
      <c r="AE96">
        <v>1</v>
      </c>
      <c r="AF96" t="s">
        <v>3</v>
      </c>
      <c r="AG96">
        <v>22.6</v>
      </c>
      <c r="AH96">
        <v>2</v>
      </c>
      <c r="AI96">
        <v>50121404</v>
      </c>
      <c r="AJ96">
        <v>91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ROW(Source!A47)</f>
        <v>47</v>
      </c>
      <c r="B97">
        <v>50121412</v>
      </c>
      <c r="C97">
        <v>50121403</v>
      </c>
      <c r="D97">
        <v>121548</v>
      </c>
      <c r="E97">
        <v>1</v>
      </c>
      <c r="F97">
        <v>1</v>
      </c>
      <c r="G97">
        <v>1</v>
      </c>
      <c r="H97">
        <v>1</v>
      </c>
      <c r="I97" t="s">
        <v>28</v>
      </c>
      <c r="J97" t="s">
        <v>3</v>
      </c>
      <c r="K97" t="s">
        <v>282</v>
      </c>
      <c r="L97">
        <v>608254</v>
      </c>
      <c r="N97">
        <v>1013</v>
      </c>
      <c r="O97" t="s">
        <v>283</v>
      </c>
      <c r="P97" t="s">
        <v>283</v>
      </c>
      <c r="Q97">
        <v>1</v>
      </c>
      <c r="X97">
        <v>8.73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2</v>
      </c>
      <c r="AF97" t="s">
        <v>3</v>
      </c>
      <c r="AG97">
        <v>8.73</v>
      </c>
      <c r="AH97">
        <v>2</v>
      </c>
      <c r="AI97">
        <v>50121405</v>
      </c>
      <c r="AJ97">
        <v>92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ROW(Source!A47)</f>
        <v>47</v>
      </c>
      <c r="B98">
        <v>50121413</v>
      </c>
      <c r="C98">
        <v>50121403</v>
      </c>
      <c r="D98">
        <v>29172362</v>
      </c>
      <c r="E98">
        <v>1</v>
      </c>
      <c r="F98">
        <v>1</v>
      </c>
      <c r="G98">
        <v>1</v>
      </c>
      <c r="H98">
        <v>2</v>
      </c>
      <c r="I98" t="s">
        <v>284</v>
      </c>
      <c r="J98" t="s">
        <v>285</v>
      </c>
      <c r="K98" t="s">
        <v>286</v>
      </c>
      <c r="L98">
        <v>1368</v>
      </c>
      <c r="N98">
        <v>1011</v>
      </c>
      <c r="O98" t="s">
        <v>287</v>
      </c>
      <c r="P98" t="s">
        <v>287</v>
      </c>
      <c r="Q98">
        <v>1</v>
      </c>
      <c r="X98">
        <v>7.3</v>
      </c>
      <c r="Y98">
        <v>0</v>
      </c>
      <c r="Z98">
        <v>134.65</v>
      </c>
      <c r="AA98">
        <v>13.5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7.3</v>
      </c>
      <c r="AH98">
        <v>2</v>
      </c>
      <c r="AI98">
        <v>50121406</v>
      </c>
      <c r="AJ98">
        <v>93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ROW(Source!A47)</f>
        <v>47</v>
      </c>
      <c r="B99">
        <v>50121414</v>
      </c>
      <c r="C99">
        <v>50121403</v>
      </c>
      <c r="D99">
        <v>29172714</v>
      </c>
      <c r="E99">
        <v>1</v>
      </c>
      <c r="F99">
        <v>1</v>
      </c>
      <c r="G99">
        <v>1</v>
      </c>
      <c r="H99">
        <v>2</v>
      </c>
      <c r="I99" t="s">
        <v>446</v>
      </c>
      <c r="J99" t="s">
        <v>447</v>
      </c>
      <c r="K99" t="s">
        <v>448</v>
      </c>
      <c r="L99">
        <v>1368</v>
      </c>
      <c r="N99">
        <v>1011</v>
      </c>
      <c r="O99" t="s">
        <v>287</v>
      </c>
      <c r="P99" t="s">
        <v>287</v>
      </c>
      <c r="Q99">
        <v>1</v>
      </c>
      <c r="X99">
        <v>1.43</v>
      </c>
      <c r="Y99">
        <v>0</v>
      </c>
      <c r="Z99">
        <v>100</v>
      </c>
      <c r="AA99">
        <v>10.06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1.43</v>
      </c>
      <c r="AH99">
        <v>2</v>
      </c>
      <c r="AI99">
        <v>50121407</v>
      </c>
      <c r="AJ99">
        <v>94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ROW(Source!A47)</f>
        <v>47</v>
      </c>
      <c r="B100">
        <v>50121415</v>
      </c>
      <c r="C100">
        <v>50121403</v>
      </c>
      <c r="D100">
        <v>29174913</v>
      </c>
      <c r="E100">
        <v>1</v>
      </c>
      <c r="F100">
        <v>1</v>
      </c>
      <c r="G100">
        <v>1</v>
      </c>
      <c r="H100">
        <v>2</v>
      </c>
      <c r="I100" t="s">
        <v>297</v>
      </c>
      <c r="J100" t="s">
        <v>298</v>
      </c>
      <c r="K100" t="s">
        <v>299</v>
      </c>
      <c r="L100">
        <v>1368</v>
      </c>
      <c r="N100">
        <v>1011</v>
      </c>
      <c r="O100" t="s">
        <v>287</v>
      </c>
      <c r="P100" t="s">
        <v>287</v>
      </c>
      <c r="Q100">
        <v>1</v>
      </c>
      <c r="X100">
        <v>7.3</v>
      </c>
      <c r="Y100">
        <v>0</v>
      </c>
      <c r="Z100">
        <v>87.17</v>
      </c>
      <c r="AA100">
        <v>11.6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7.3</v>
      </c>
      <c r="AH100">
        <v>2</v>
      </c>
      <c r="AI100">
        <v>50121408</v>
      </c>
      <c r="AJ100">
        <v>95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ROW(Source!A47)</f>
        <v>47</v>
      </c>
      <c r="B101">
        <v>50121416</v>
      </c>
      <c r="C101">
        <v>50121403</v>
      </c>
      <c r="D101">
        <v>29171808</v>
      </c>
      <c r="E101">
        <v>1</v>
      </c>
      <c r="F101">
        <v>1</v>
      </c>
      <c r="G101">
        <v>1</v>
      </c>
      <c r="H101">
        <v>3</v>
      </c>
      <c r="I101" t="s">
        <v>272</v>
      </c>
      <c r="J101" t="s">
        <v>273</v>
      </c>
      <c r="K101" t="s">
        <v>274</v>
      </c>
      <c r="L101">
        <v>1374</v>
      </c>
      <c r="N101">
        <v>1013</v>
      </c>
      <c r="O101" t="s">
        <v>275</v>
      </c>
      <c r="P101" t="s">
        <v>275</v>
      </c>
      <c r="Q101">
        <v>1</v>
      </c>
      <c r="X101">
        <v>4.3499999999999996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4.3499999999999996</v>
      </c>
      <c r="AH101">
        <v>2</v>
      </c>
      <c r="AI101">
        <v>50121410</v>
      </c>
      <c r="AJ101">
        <v>96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Смета 12 гр. ТЕР МО</vt:lpstr>
      <vt:lpstr>RV_DATA</vt:lpstr>
      <vt:lpstr>Расчет стоимости ресурсов</vt:lpstr>
      <vt:lpstr>Дефектная ведомость</vt:lpstr>
      <vt:lpstr>Source</vt:lpstr>
      <vt:lpstr>SourceObSm</vt:lpstr>
      <vt:lpstr>SmtRes</vt:lpstr>
      <vt:lpstr>EtalonRes</vt:lpstr>
      <vt:lpstr>'Дефектная ведомость'!Заголовки_для_печати</vt:lpstr>
      <vt:lpstr>'Расчет стоимости ресурсов'!Заголовки_для_печати</vt:lpstr>
      <vt:lpstr>'Смета 12 гр. ТЕР МО'!Заголовки_для_печати</vt:lpstr>
      <vt:lpstr>'Дефектная ведомость'!Область_печати</vt:lpstr>
      <vt:lpstr>'Расчет стоимости ресурсов'!Область_печати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Максим</cp:lastModifiedBy>
  <dcterms:created xsi:type="dcterms:W3CDTF">2021-06-27T08:01:22Z</dcterms:created>
  <dcterms:modified xsi:type="dcterms:W3CDTF">2021-07-06T13:03:48Z</dcterms:modified>
</cp:coreProperties>
</file>