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12 гр. ТЕР МО'!$40:$40</definedName>
    <definedName name="_xlnm.Print_Area" localSheetId="0">'Смета 12 гр. ТЕР МО'!$A$1:$L$141</definedName>
  </definedNames>
  <calcPr calcId="125725"/>
</workbook>
</file>

<file path=xl/calcChain.xml><?xml version="1.0" encoding="utf-8"?>
<calcChain xmlns="http://schemas.openxmlformats.org/spreadsheetml/2006/main">
  <c r="AF127" i="5"/>
  <c r="I139"/>
  <c r="I136"/>
  <c r="I133"/>
  <c r="D139"/>
  <c r="D136"/>
  <c r="D133"/>
  <c r="C130"/>
  <c r="C129"/>
  <c r="A127"/>
  <c r="A123"/>
  <c r="A119"/>
  <c r="L117"/>
  <c r="Q117" s="1"/>
  <c r="Z117"/>
  <c r="Y117"/>
  <c r="X117"/>
  <c r="W117"/>
  <c r="K116"/>
  <c r="J117" s="1"/>
  <c r="P117" s="1"/>
  <c r="J116"/>
  <c r="H116"/>
  <c r="G117" s="1"/>
  <c r="O117" s="1"/>
  <c r="G116"/>
  <c r="F116"/>
  <c r="V115"/>
  <c r="T115"/>
  <c r="U115"/>
  <c r="S115"/>
  <c r="F115"/>
  <c r="E115"/>
  <c r="D115"/>
  <c r="I115"/>
  <c r="C115"/>
  <c r="B115"/>
  <c r="A115"/>
  <c r="Q114"/>
  <c r="L114"/>
  <c r="Z114"/>
  <c r="Y114"/>
  <c r="X114"/>
  <c r="K113"/>
  <c r="J114" s="1"/>
  <c r="P114" s="1"/>
  <c r="J113"/>
  <c r="H113"/>
  <c r="G114" s="1"/>
  <c r="O114" s="1"/>
  <c r="G113"/>
  <c r="F113"/>
  <c r="V112"/>
  <c r="T112"/>
  <c r="U112"/>
  <c r="S112"/>
  <c r="F112"/>
  <c r="E112"/>
  <c r="D112"/>
  <c r="I112"/>
  <c r="C112"/>
  <c r="B112"/>
  <c r="A112"/>
  <c r="L111"/>
  <c r="Q111" s="1"/>
  <c r="Z111"/>
  <c r="Y111"/>
  <c r="X111"/>
  <c r="L110"/>
  <c r="G110"/>
  <c r="E110"/>
  <c r="J109"/>
  <c r="F109"/>
  <c r="E109"/>
  <c r="J108"/>
  <c r="F108"/>
  <c r="E108"/>
  <c r="K107"/>
  <c r="J107"/>
  <c r="H107"/>
  <c r="G107"/>
  <c r="F107"/>
  <c r="K106"/>
  <c r="J106"/>
  <c r="R106"/>
  <c r="H106"/>
  <c r="G106"/>
  <c r="F106"/>
  <c r="K105"/>
  <c r="J105"/>
  <c r="H105"/>
  <c r="G105"/>
  <c r="F105"/>
  <c r="K104"/>
  <c r="J104"/>
  <c r="H104"/>
  <c r="R104" s="1"/>
  <c r="G104"/>
  <c r="F104"/>
  <c r="C103"/>
  <c r="V102"/>
  <c r="K109" s="1"/>
  <c r="T102"/>
  <c r="K108" s="1"/>
  <c r="U102"/>
  <c r="H109" s="1"/>
  <c r="S102"/>
  <c r="H108" s="1"/>
  <c r="F102"/>
  <c r="E102"/>
  <c r="D102"/>
  <c r="I102"/>
  <c r="C102"/>
  <c r="A102"/>
  <c r="L101"/>
  <c r="Q101" s="1"/>
  <c r="Z101"/>
  <c r="Y101"/>
  <c r="X101"/>
  <c r="H98"/>
  <c r="L100"/>
  <c r="G100"/>
  <c r="E100"/>
  <c r="J99"/>
  <c r="F99"/>
  <c r="E99"/>
  <c r="J98"/>
  <c r="F98"/>
  <c r="E98"/>
  <c r="K97"/>
  <c r="J97"/>
  <c r="H97"/>
  <c r="G97"/>
  <c r="F97"/>
  <c r="K96"/>
  <c r="J96"/>
  <c r="H96"/>
  <c r="R96" s="1"/>
  <c r="G96"/>
  <c r="F96"/>
  <c r="K95"/>
  <c r="J95"/>
  <c r="H95"/>
  <c r="G95"/>
  <c r="F95"/>
  <c r="K94"/>
  <c r="J94"/>
  <c r="R94"/>
  <c r="H94"/>
  <c r="G94"/>
  <c r="F94"/>
  <c r="V93"/>
  <c r="K99" s="1"/>
  <c r="T93"/>
  <c r="K98" s="1"/>
  <c r="U93"/>
  <c r="H99" s="1"/>
  <c r="S93"/>
  <c r="F93"/>
  <c r="E93"/>
  <c r="D93"/>
  <c r="I93"/>
  <c r="C93"/>
  <c r="A93"/>
  <c r="L92"/>
  <c r="Q92" s="1"/>
  <c r="Z92"/>
  <c r="Y92"/>
  <c r="X92"/>
  <c r="K91"/>
  <c r="J91"/>
  <c r="Z91"/>
  <c r="Y91"/>
  <c r="X91"/>
  <c r="H91"/>
  <c r="W91" s="1"/>
  <c r="F91"/>
  <c r="V91"/>
  <c r="T91"/>
  <c r="U91"/>
  <c r="S91"/>
  <c r="E91"/>
  <c r="D91"/>
  <c r="C91"/>
  <c r="B91"/>
  <c r="A91"/>
  <c r="L90"/>
  <c r="G90"/>
  <c r="E90"/>
  <c r="J89"/>
  <c r="F89"/>
  <c r="E89"/>
  <c r="J88"/>
  <c r="F88"/>
  <c r="E88"/>
  <c r="K87"/>
  <c r="J87"/>
  <c r="H87"/>
  <c r="G87"/>
  <c r="F87"/>
  <c r="K86"/>
  <c r="J86"/>
  <c r="H86"/>
  <c r="R86" s="1"/>
  <c r="G86"/>
  <c r="F86"/>
  <c r="K85"/>
  <c r="J85"/>
  <c r="H85"/>
  <c r="G85"/>
  <c r="F85"/>
  <c r="K84"/>
  <c r="J84"/>
  <c r="R84"/>
  <c r="H84"/>
  <c r="G84"/>
  <c r="F84"/>
  <c r="C83"/>
  <c r="V82"/>
  <c r="T82"/>
  <c r="K88" s="1"/>
  <c r="U82"/>
  <c r="S82"/>
  <c r="H88" s="1"/>
  <c r="F82"/>
  <c r="E82"/>
  <c r="D82"/>
  <c r="I82"/>
  <c r="C82"/>
  <c r="A82"/>
  <c r="L81"/>
  <c r="Q81" s="1"/>
  <c r="Z81"/>
  <c r="Y81"/>
  <c r="X81"/>
  <c r="K80"/>
  <c r="J80"/>
  <c r="Z80"/>
  <c r="Y80"/>
  <c r="X80"/>
  <c r="W80"/>
  <c r="H80"/>
  <c r="F80"/>
  <c r="V80"/>
  <c r="T80"/>
  <c r="U80"/>
  <c r="S80"/>
  <c r="E80"/>
  <c r="D80"/>
  <c r="C80"/>
  <c r="B80"/>
  <c r="A80"/>
  <c r="K79"/>
  <c r="J79"/>
  <c r="Z79"/>
  <c r="Y79"/>
  <c r="X79"/>
  <c r="H79"/>
  <c r="W79" s="1"/>
  <c r="F79"/>
  <c r="V79"/>
  <c r="T79"/>
  <c r="U79"/>
  <c r="S79"/>
  <c r="E79"/>
  <c r="D79"/>
  <c r="C79"/>
  <c r="B79"/>
  <c r="A79"/>
  <c r="L78"/>
  <c r="G78"/>
  <c r="E78"/>
  <c r="J77"/>
  <c r="F77"/>
  <c r="E77"/>
  <c r="J76"/>
  <c r="F76"/>
  <c r="E76"/>
  <c r="K75"/>
  <c r="J75"/>
  <c r="H75"/>
  <c r="G75"/>
  <c r="F75"/>
  <c r="K74"/>
  <c r="J74"/>
  <c r="H74"/>
  <c r="R74" s="1"/>
  <c r="G74"/>
  <c r="F74"/>
  <c r="K73"/>
  <c r="J73"/>
  <c r="H73"/>
  <c r="G73"/>
  <c r="F73"/>
  <c r="K72"/>
  <c r="J72"/>
  <c r="H72"/>
  <c r="R72" s="1"/>
  <c r="G72"/>
  <c r="F72"/>
  <c r="C71"/>
  <c r="V70"/>
  <c r="K77" s="1"/>
  <c r="T70"/>
  <c r="U70"/>
  <c r="H77" s="1"/>
  <c r="S70"/>
  <c r="F70"/>
  <c r="E70"/>
  <c r="D70"/>
  <c r="I70"/>
  <c r="C70"/>
  <c r="A70"/>
  <c r="L69"/>
  <c r="Q69" s="1"/>
  <c r="L119" s="1"/>
  <c r="Z69"/>
  <c r="Y69"/>
  <c r="X69"/>
  <c r="K68"/>
  <c r="J68"/>
  <c r="Z68"/>
  <c r="Y68"/>
  <c r="X68"/>
  <c r="H68"/>
  <c r="W68" s="1"/>
  <c r="F68"/>
  <c r="V68"/>
  <c r="T68"/>
  <c r="U68"/>
  <c r="S68"/>
  <c r="E68"/>
  <c r="D68"/>
  <c r="C68"/>
  <c r="B68"/>
  <c r="A68"/>
  <c r="L67"/>
  <c r="G67"/>
  <c r="E67"/>
  <c r="J66"/>
  <c r="E66"/>
  <c r="J65"/>
  <c r="E65"/>
  <c r="K64"/>
  <c r="J64"/>
  <c r="H64"/>
  <c r="G64"/>
  <c r="F64"/>
  <c r="K63"/>
  <c r="J63"/>
  <c r="H63"/>
  <c r="R63" s="1"/>
  <c r="G63"/>
  <c r="F63"/>
  <c r="K62"/>
  <c r="J62"/>
  <c r="H62"/>
  <c r="G62"/>
  <c r="F62"/>
  <c r="K61"/>
  <c r="J61"/>
  <c r="R61"/>
  <c r="H61"/>
  <c r="G61"/>
  <c r="F61"/>
  <c r="C60"/>
  <c r="V59"/>
  <c r="T59"/>
  <c r="K65" s="1"/>
  <c r="U59"/>
  <c r="H66" s="1"/>
  <c r="S59"/>
  <c r="H65" s="1"/>
  <c r="F59"/>
  <c r="E59"/>
  <c r="D59"/>
  <c r="I59"/>
  <c r="C59"/>
  <c r="B59"/>
  <c r="A59"/>
  <c r="A58"/>
  <c r="A54"/>
  <c r="L52"/>
  <c r="Q52" s="1"/>
  <c r="Z52"/>
  <c r="Y52"/>
  <c r="G29" s="1"/>
  <c r="X52"/>
  <c r="H50"/>
  <c r="L51"/>
  <c r="G51"/>
  <c r="E51"/>
  <c r="J50"/>
  <c r="F50"/>
  <c r="E50"/>
  <c r="J49"/>
  <c r="F49"/>
  <c r="E49"/>
  <c r="K48"/>
  <c r="J48"/>
  <c r="H48"/>
  <c r="G48"/>
  <c r="F48"/>
  <c r="K47"/>
  <c r="J47"/>
  <c r="H47"/>
  <c r="R47" s="1"/>
  <c r="G47"/>
  <c r="F47"/>
  <c r="C46"/>
  <c r="V45"/>
  <c r="K50" s="1"/>
  <c r="T45"/>
  <c r="K49" s="1"/>
  <c r="U45"/>
  <c r="S45"/>
  <c r="H49" s="1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1" i="3"/>
  <c r="CY1"/>
  <c r="CZ1"/>
  <c r="DA1"/>
  <c r="DB1"/>
  <c r="DC1"/>
  <c r="A2"/>
  <c r="CY2"/>
  <c r="CZ2"/>
  <c r="DA2"/>
  <c r="DB2"/>
  <c r="DC2"/>
  <c r="A3"/>
  <c r="CY3"/>
  <c r="CZ3"/>
  <c r="DA3"/>
  <c r="DB3"/>
  <c r="DC3"/>
  <c r="A4"/>
  <c r="CY4"/>
  <c r="CZ4"/>
  <c r="DB4" s="1"/>
  <c r="DA4"/>
  <c r="DC4"/>
  <c r="A5"/>
  <c r="CY5"/>
  <c r="CZ5"/>
  <c r="DB5" s="1"/>
  <c r="DA5"/>
  <c r="DC5"/>
  <c r="A6"/>
  <c r="CY6"/>
  <c r="CZ6"/>
  <c r="DA6"/>
  <c r="DB6"/>
  <c r="DC6"/>
  <c r="A7"/>
  <c r="CY7"/>
  <c r="CZ7"/>
  <c r="DA7"/>
  <c r="DB7"/>
  <c r="DC7"/>
  <c r="A8"/>
  <c r="CY8"/>
  <c r="CZ8"/>
  <c r="DB8" s="1"/>
  <c r="DA8"/>
  <c r="DC8"/>
  <c r="A9"/>
  <c r="CY9"/>
  <c r="CZ9"/>
  <c r="DB9" s="1"/>
  <c r="DA9"/>
  <c r="DC9"/>
  <c r="A10"/>
  <c r="CY10"/>
  <c r="CZ10"/>
  <c r="DA10"/>
  <c r="DB10"/>
  <c r="DC10"/>
  <c r="A11"/>
  <c r="CY11"/>
  <c r="CZ11"/>
  <c r="DA11"/>
  <c r="DB11"/>
  <c r="DC11"/>
  <c r="A12"/>
  <c r="CY12"/>
  <c r="CZ12"/>
  <c r="DB12" s="1"/>
  <c r="DA12"/>
  <c r="DC12"/>
  <c r="A13"/>
  <c r="CY13"/>
  <c r="CZ13"/>
  <c r="DB13" s="1"/>
  <c r="DA13"/>
  <c r="DC13"/>
  <c r="A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X29"/>
  <c r="CY29"/>
  <c r="CZ29"/>
  <c r="DB29" s="1"/>
  <c r="DA29"/>
  <c r="DC29"/>
  <c r="A30"/>
  <c r="CX30"/>
  <c r="CY30"/>
  <c r="CZ30"/>
  <c r="DA30"/>
  <c r="DB30"/>
  <c r="DC30"/>
  <c r="A31"/>
  <c r="CX31"/>
  <c r="CY31"/>
  <c r="CZ31"/>
  <c r="DA31"/>
  <c r="DB31"/>
  <c r="DC31"/>
  <c r="A32"/>
  <c r="CX32"/>
  <c r="CY32"/>
  <c r="CZ32"/>
  <c r="DB32" s="1"/>
  <c r="DA32"/>
  <c r="DC32"/>
  <c r="A33"/>
  <c r="CX33"/>
  <c r="CY33"/>
  <c r="CZ33"/>
  <c r="DB33" s="1"/>
  <c r="DA33"/>
  <c r="DC33"/>
  <c r="A34"/>
  <c r="CX34"/>
  <c r="CY34"/>
  <c r="CZ34"/>
  <c r="DA34"/>
  <c r="DB34"/>
  <c r="DC34"/>
  <c r="A35"/>
  <c r="CX35"/>
  <c r="CY35"/>
  <c r="CZ35"/>
  <c r="DA35"/>
  <c r="DB35"/>
  <c r="DC35"/>
  <c r="A36"/>
  <c r="CX36"/>
  <c r="CY36"/>
  <c r="CZ36"/>
  <c r="DB36" s="1"/>
  <c r="DA36"/>
  <c r="DC36"/>
  <c r="A37"/>
  <c r="CX37"/>
  <c r="CY37"/>
  <c r="CZ37"/>
  <c r="DB37" s="1"/>
  <c r="DA37"/>
  <c r="DC37"/>
  <c r="A38"/>
  <c r="CY38"/>
  <c r="CZ38"/>
  <c r="DA38"/>
  <c r="DB38"/>
  <c r="DC38"/>
  <c r="A39"/>
  <c r="CY39"/>
  <c r="CZ39"/>
  <c r="DA39"/>
  <c r="DB39"/>
  <c r="DC39"/>
  <c r="A40"/>
  <c r="CY40"/>
  <c r="CZ40"/>
  <c r="DB40" s="1"/>
  <c r="DA40"/>
  <c r="DC40"/>
  <c r="A41"/>
  <c r="CY41"/>
  <c r="CZ41"/>
  <c r="DB41" s="1"/>
  <c r="DA41"/>
  <c r="DC41"/>
  <c r="A42"/>
  <c r="CY42"/>
  <c r="CZ42"/>
  <c r="DA42"/>
  <c r="DB42"/>
  <c r="DC42"/>
  <c r="A43"/>
  <c r="CY43"/>
  <c r="CZ43"/>
  <c r="DA43"/>
  <c r="DB43"/>
  <c r="DC43"/>
  <c r="A44"/>
  <c r="CY44"/>
  <c r="CZ44"/>
  <c r="DB44" s="1"/>
  <c r="DA44"/>
  <c r="DC44"/>
  <c r="A45"/>
  <c r="CY45"/>
  <c r="CZ45"/>
  <c r="DB45" s="1"/>
  <c r="DA45"/>
  <c r="DC45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CX1" i="3" s="1"/>
  <c r="AC28" i="1"/>
  <c r="AB28" s="1"/>
  <c r="AD28"/>
  <c r="CR28" s="1"/>
  <c r="Q28" s="1"/>
  <c r="AD30" s="1"/>
  <c r="AD26" s="1"/>
  <c r="AE28"/>
  <c r="AF28"/>
  <c r="AG28"/>
  <c r="AH28"/>
  <c r="CV28" s="1"/>
  <c r="U28" s="1"/>
  <c r="AH30" s="1"/>
  <c r="AH26" s="1"/>
  <c r="AI28"/>
  <c r="AJ28"/>
  <c r="CQ28"/>
  <c r="P28" s="1"/>
  <c r="CS28"/>
  <c r="R28" s="1"/>
  <c r="AE30" s="1"/>
  <c r="CT28"/>
  <c r="S28" s="1"/>
  <c r="CU28"/>
  <c r="T28" s="1"/>
  <c r="AG30" s="1"/>
  <c r="CW28"/>
  <c r="V28" s="1"/>
  <c r="CX28"/>
  <c r="W28" s="1"/>
  <c r="AJ30" s="1"/>
  <c r="FR28"/>
  <c r="GL28"/>
  <c r="GO28"/>
  <c r="GP28"/>
  <c r="GV28"/>
  <c r="HC28"/>
  <c r="GX28" s="1"/>
  <c r="B30"/>
  <c r="B26" s="1"/>
  <c r="C30"/>
  <c r="C26" s="1"/>
  <c r="D30"/>
  <c r="D26" s="1"/>
  <c r="F30"/>
  <c r="F26" s="1"/>
  <c r="G30"/>
  <c r="G26" s="1"/>
  <c r="Q30"/>
  <c r="AI30"/>
  <c r="BX30"/>
  <c r="BY30"/>
  <c r="BY26" s="1"/>
  <c r="BZ30"/>
  <c r="AQ30" s="1"/>
  <c r="F40" s="1"/>
  <c r="CC30"/>
  <c r="CC26" s="1"/>
  <c r="CD30"/>
  <c r="AU30" s="1"/>
  <c r="CJ30"/>
  <c r="CJ26" s="1"/>
  <c r="CK30"/>
  <c r="CK26" s="1"/>
  <c r="CL30"/>
  <c r="BC30" s="1"/>
  <c r="CM30"/>
  <c r="BD30" s="1"/>
  <c r="D60"/>
  <c r="B62"/>
  <c r="C62"/>
  <c r="E62"/>
  <c r="G62"/>
  <c r="Z62"/>
  <c r="AA62"/>
  <c r="AM62"/>
  <c r="AN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CK62"/>
  <c r="CL62"/>
  <c r="CN62"/>
  <c r="CO62"/>
  <c r="CP62"/>
  <c r="CQ62"/>
  <c r="CR62"/>
  <c r="CS62"/>
  <c r="CT62"/>
  <c r="CU62"/>
  <c r="CV62"/>
  <c r="CW62"/>
  <c r="CX62"/>
  <c r="CY62"/>
  <c r="CZ62"/>
  <c r="DA62"/>
  <c r="DB62"/>
  <c r="DC62"/>
  <c r="DD62"/>
  <c r="DE62"/>
  <c r="DF62"/>
  <c r="DG62"/>
  <c r="DH62"/>
  <c r="DI62"/>
  <c r="DJ62"/>
  <c r="DK62"/>
  <c r="DL62"/>
  <c r="DM62"/>
  <c r="DN62"/>
  <c r="DO62"/>
  <c r="DP62"/>
  <c r="DQ62"/>
  <c r="DR62"/>
  <c r="DS62"/>
  <c r="DT62"/>
  <c r="DU62"/>
  <c r="DV62"/>
  <c r="DW62"/>
  <c r="DX62"/>
  <c r="DY62"/>
  <c r="DZ62"/>
  <c r="EA62"/>
  <c r="EB62"/>
  <c r="EC62"/>
  <c r="ED62"/>
  <c r="EE62"/>
  <c r="EF62"/>
  <c r="EG62"/>
  <c r="EH62"/>
  <c r="EI62"/>
  <c r="EJ62"/>
  <c r="EK62"/>
  <c r="EL62"/>
  <c r="EM62"/>
  <c r="EN62"/>
  <c r="EO62"/>
  <c r="EP62"/>
  <c r="EQ62"/>
  <c r="ER62"/>
  <c r="ES62"/>
  <c r="ET62"/>
  <c r="EU62"/>
  <c r="EV62"/>
  <c r="EW62"/>
  <c r="EX62"/>
  <c r="EY62"/>
  <c r="EZ62"/>
  <c r="FA62"/>
  <c r="FB62"/>
  <c r="FC62"/>
  <c r="FD62"/>
  <c r="FE62"/>
  <c r="FF62"/>
  <c r="FG62"/>
  <c r="FH62"/>
  <c r="FI62"/>
  <c r="FJ62"/>
  <c r="FK62"/>
  <c r="FL62"/>
  <c r="FM62"/>
  <c r="FN62"/>
  <c r="FO62"/>
  <c r="FP62"/>
  <c r="FQ62"/>
  <c r="FR62"/>
  <c r="FS62"/>
  <c r="FT62"/>
  <c r="FU62"/>
  <c r="FV62"/>
  <c r="FW62"/>
  <c r="FX62"/>
  <c r="FY62"/>
  <c r="FZ62"/>
  <c r="GA62"/>
  <c r="GB62"/>
  <c r="GC62"/>
  <c r="GD62"/>
  <c r="GE62"/>
  <c r="GF62"/>
  <c r="GG62"/>
  <c r="GH62"/>
  <c r="GI62"/>
  <c r="GJ62"/>
  <c r="GK62"/>
  <c r="GL62"/>
  <c r="GM62"/>
  <c r="GN62"/>
  <c r="GO62"/>
  <c r="GP62"/>
  <c r="GQ62"/>
  <c r="GR62"/>
  <c r="GS62"/>
  <c r="GT62"/>
  <c r="GU62"/>
  <c r="GV62"/>
  <c r="GW62"/>
  <c r="GX62"/>
  <c r="C64"/>
  <c r="D64"/>
  <c r="I64"/>
  <c r="R64" s="1"/>
  <c r="AC64"/>
  <c r="CQ64" s="1"/>
  <c r="AE64"/>
  <c r="AD64" s="1"/>
  <c r="CR64" s="1"/>
  <c r="AF64"/>
  <c r="CT64" s="1"/>
  <c r="AG64"/>
  <c r="CU64" s="1"/>
  <c r="AH64"/>
  <c r="AI64"/>
  <c r="AJ64"/>
  <c r="CX64" s="1"/>
  <c r="CS64"/>
  <c r="CV64"/>
  <c r="U64" s="1"/>
  <c r="CW64"/>
  <c r="V64" s="1"/>
  <c r="FR64"/>
  <c r="GL64"/>
  <c r="GO64"/>
  <c r="GP64"/>
  <c r="GV64"/>
  <c r="HC64"/>
  <c r="AC65"/>
  <c r="AE65"/>
  <c r="AF65"/>
  <c r="CT65" s="1"/>
  <c r="AG65"/>
  <c r="AH65"/>
  <c r="AI65"/>
  <c r="CW65" s="1"/>
  <c r="AJ65"/>
  <c r="CX65" s="1"/>
  <c r="CQ65"/>
  <c r="CU65"/>
  <c r="CV65"/>
  <c r="FR65"/>
  <c r="GL65"/>
  <c r="GO65"/>
  <c r="GP65"/>
  <c r="GV65"/>
  <c r="HC65"/>
  <c r="C66"/>
  <c r="D66"/>
  <c r="I66"/>
  <c r="AB66"/>
  <c r="AC66"/>
  <c r="CQ66" s="1"/>
  <c r="P66" s="1"/>
  <c r="AE66"/>
  <c r="AD66" s="1"/>
  <c r="CR66" s="1"/>
  <c r="AF66"/>
  <c r="CT66" s="1"/>
  <c r="AG66"/>
  <c r="CU66" s="1"/>
  <c r="T66" s="1"/>
  <c r="AH66"/>
  <c r="AI66"/>
  <c r="AJ66"/>
  <c r="CX66" s="1"/>
  <c r="CS66"/>
  <c r="R66" s="1"/>
  <c r="CV66"/>
  <c r="U66" s="1"/>
  <c r="CW66"/>
  <c r="V66" s="1"/>
  <c r="FR66"/>
  <c r="GL66"/>
  <c r="GO66"/>
  <c r="GP66"/>
  <c r="GV66"/>
  <c r="HC66"/>
  <c r="GX66" s="1"/>
  <c r="AB67"/>
  <c r="AC67"/>
  <c r="AE67"/>
  <c r="AD67" s="1"/>
  <c r="AF67"/>
  <c r="CT67" s="1"/>
  <c r="AG67"/>
  <c r="AH67"/>
  <c r="AI67"/>
  <c r="AJ67"/>
  <c r="CX67" s="1"/>
  <c r="CQ67"/>
  <c r="CR67"/>
  <c r="CS67"/>
  <c r="CU67"/>
  <c r="CV67"/>
  <c r="CW67"/>
  <c r="FR67"/>
  <c r="GL67"/>
  <c r="GO67"/>
  <c r="GP67"/>
  <c r="GV67"/>
  <c r="HC67"/>
  <c r="AC68"/>
  <c r="AE68"/>
  <c r="CS68" s="1"/>
  <c r="AF68"/>
  <c r="AG68"/>
  <c r="AH68"/>
  <c r="AI68"/>
  <c r="CW68" s="1"/>
  <c r="AJ68"/>
  <c r="CQ68"/>
  <c r="CT68"/>
  <c r="CU68"/>
  <c r="CV68"/>
  <c r="CX68"/>
  <c r="FR68"/>
  <c r="GL68"/>
  <c r="GO68"/>
  <c r="GP68"/>
  <c r="GV68"/>
  <c r="HC68" s="1"/>
  <c r="C69"/>
  <c r="D69"/>
  <c r="I69"/>
  <c r="R69"/>
  <c r="AC69"/>
  <c r="AE69"/>
  <c r="AD69" s="1"/>
  <c r="CR69" s="1"/>
  <c r="Q69" s="1"/>
  <c r="AF69"/>
  <c r="CT69" s="1"/>
  <c r="S69" s="1"/>
  <c r="CY69" s="1"/>
  <c r="X69" s="1"/>
  <c r="AG69"/>
  <c r="AH69"/>
  <c r="AI69"/>
  <c r="CW69" s="1"/>
  <c r="V69" s="1"/>
  <c r="AJ69"/>
  <c r="CX69" s="1"/>
  <c r="W69" s="1"/>
  <c r="CQ69"/>
  <c r="P69" s="1"/>
  <c r="CS69"/>
  <c r="CU69"/>
  <c r="T69" s="1"/>
  <c r="CV69"/>
  <c r="U69" s="1"/>
  <c r="FR69"/>
  <c r="GL69"/>
  <c r="GO69"/>
  <c r="GP69"/>
  <c r="GV69"/>
  <c r="HC69"/>
  <c r="GX69" s="1"/>
  <c r="AC70"/>
  <c r="AE70"/>
  <c r="CS70" s="1"/>
  <c r="AF70"/>
  <c r="AG70"/>
  <c r="AH70"/>
  <c r="CV70" s="1"/>
  <c r="AI70"/>
  <c r="CW70" s="1"/>
  <c r="AJ70"/>
  <c r="CQ70"/>
  <c r="CT70"/>
  <c r="CU70"/>
  <c r="CX70"/>
  <c r="FR70"/>
  <c r="GL70"/>
  <c r="GO70"/>
  <c r="GP70"/>
  <c r="GV70"/>
  <c r="HC70" s="1"/>
  <c r="C71"/>
  <c r="D71"/>
  <c r="R71"/>
  <c r="AC71"/>
  <c r="CQ71" s="1"/>
  <c r="P71" s="1"/>
  <c r="AE71"/>
  <c r="AD71" s="1"/>
  <c r="CR71" s="1"/>
  <c r="Q71" s="1"/>
  <c r="AF71"/>
  <c r="CT71" s="1"/>
  <c r="S71" s="1"/>
  <c r="AG71"/>
  <c r="CU71" s="1"/>
  <c r="T71" s="1"/>
  <c r="AH71"/>
  <c r="AI71"/>
  <c r="AJ71"/>
  <c r="CX71" s="1"/>
  <c r="W71" s="1"/>
  <c r="CS71"/>
  <c r="CV71"/>
  <c r="U71" s="1"/>
  <c r="CW71"/>
  <c r="V71" s="1"/>
  <c r="FR71"/>
  <c r="GL71"/>
  <c r="GO71"/>
  <c r="GP71"/>
  <c r="GV71"/>
  <c r="HC71"/>
  <c r="GX71" s="1"/>
  <c r="C72"/>
  <c r="D72"/>
  <c r="I72"/>
  <c r="CX40" i="3" s="1"/>
  <c r="P72" i="1"/>
  <c r="T72"/>
  <c r="AC72"/>
  <c r="AD72"/>
  <c r="CR72" s="1"/>
  <c r="Q72" s="1"/>
  <c r="AE72"/>
  <c r="AF72"/>
  <c r="AG72"/>
  <c r="AH72"/>
  <c r="CV72" s="1"/>
  <c r="U72" s="1"/>
  <c r="AI72"/>
  <c r="AJ72"/>
  <c r="CQ72"/>
  <c r="CS72"/>
  <c r="R72" s="1"/>
  <c r="CT72"/>
  <c r="S72" s="1"/>
  <c r="CU72"/>
  <c r="CW72"/>
  <c r="V72" s="1"/>
  <c r="CX72"/>
  <c r="W72" s="1"/>
  <c r="FR72"/>
  <c r="GL72"/>
  <c r="GO72"/>
  <c r="GP72"/>
  <c r="GV72"/>
  <c r="HC72" s="1"/>
  <c r="GX72" s="1"/>
  <c r="P73"/>
  <c r="T73"/>
  <c r="AC73"/>
  <c r="AD73"/>
  <c r="CR73" s="1"/>
  <c r="Q73" s="1"/>
  <c r="AE73"/>
  <c r="AF73"/>
  <c r="AG73"/>
  <c r="AH73"/>
  <c r="CV73" s="1"/>
  <c r="U73" s="1"/>
  <c r="AI73"/>
  <c r="AJ73"/>
  <c r="CQ73"/>
  <c r="CS73"/>
  <c r="R73" s="1"/>
  <c r="CT73"/>
  <c r="S73" s="1"/>
  <c r="CU73"/>
  <c r="CW73"/>
  <c r="V73" s="1"/>
  <c r="CX73"/>
  <c r="W73" s="1"/>
  <c r="FR73"/>
  <c r="GL73"/>
  <c r="GO73"/>
  <c r="GP73"/>
  <c r="GV73"/>
  <c r="HC73" s="1"/>
  <c r="GX73" s="1"/>
  <c r="S74"/>
  <c r="AC74"/>
  <c r="CQ74" s="1"/>
  <c r="P74" s="1"/>
  <c r="AD74"/>
  <c r="AE74"/>
  <c r="AF74"/>
  <c r="AG74"/>
  <c r="CU74" s="1"/>
  <c r="T74" s="1"/>
  <c r="AH74"/>
  <c r="AI74"/>
  <c r="AJ74"/>
  <c r="CR74"/>
  <c r="Q74" s="1"/>
  <c r="CP74" s="1"/>
  <c r="O74" s="1"/>
  <c r="CS74"/>
  <c r="R74" s="1"/>
  <c r="CT74"/>
  <c r="CV74"/>
  <c r="U74" s="1"/>
  <c r="CW74"/>
  <c r="V74" s="1"/>
  <c r="CX74"/>
  <c r="W74" s="1"/>
  <c r="FR74"/>
  <c r="GL74"/>
  <c r="GO74"/>
  <c r="GP74"/>
  <c r="GV74"/>
  <c r="HC74"/>
  <c r="GX74" s="1"/>
  <c r="B76"/>
  <c r="C76"/>
  <c r="D76"/>
  <c r="D62" s="1"/>
  <c r="F76"/>
  <c r="F62" s="1"/>
  <c r="G76"/>
  <c r="BX76"/>
  <c r="CK76"/>
  <c r="BB76" s="1"/>
  <c r="BB62" s="1"/>
  <c r="CL76"/>
  <c r="BC76" s="1"/>
  <c r="F89"/>
  <c r="B106"/>
  <c r="B22" s="1"/>
  <c r="C106"/>
  <c r="C22" s="1"/>
  <c r="D106"/>
  <c r="D22" s="1"/>
  <c r="F106"/>
  <c r="F22" s="1"/>
  <c r="G106"/>
  <c r="G22" s="1"/>
  <c r="B136"/>
  <c r="B18" s="1"/>
  <c r="C136"/>
  <c r="C18" s="1"/>
  <c r="D136"/>
  <c r="D18" s="1"/>
  <c r="F136"/>
  <c r="F18" s="1"/>
  <c r="G136"/>
  <c r="G18" s="1"/>
  <c r="J101" i="5" l="1"/>
  <c r="P101" s="1"/>
  <c r="G69"/>
  <c r="O69" s="1"/>
  <c r="K76"/>
  <c r="J81"/>
  <c r="P81" s="1"/>
  <c r="G111"/>
  <c r="O111" s="1"/>
  <c r="G30"/>
  <c r="H76"/>
  <c r="K89"/>
  <c r="J52"/>
  <c r="P52" s="1"/>
  <c r="J54" s="1"/>
  <c r="G28"/>
  <c r="K66"/>
  <c r="H89"/>
  <c r="G92" s="1"/>
  <c r="O92" s="1"/>
  <c r="G119" s="1"/>
  <c r="J69"/>
  <c r="P69" s="1"/>
  <c r="G32"/>
  <c r="G81"/>
  <c r="O81" s="1"/>
  <c r="J111"/>
  <c r="P111" s="1"/>
  <c r="L127"/>
  <c r="L123"/>
  <c r="L54"/>
  <c r="J92"/>
  <c r="P92" s="1"/>
  <c r="G101"/>
  <c r="O101" s="1"/>
  <c r="W69"/>
  <c r="W114"/>
  <c r="W52"/>
  <c r="G52"/>
  <c r="O52" s="1"/>
  <c r="W92"/>
  <c r="W81"/>
  <c r="W101"/>
  <c r="W111"/>
  <c r="GN74" i="1"/>
  <c r="CZ71"/>
  <c r="Y71" s="1"/>
  <c r="CY71"/>
  <c r="X71" s="1"/>
  <c r="CP71"/>
  <c r="O71" s="1"/>
  <c r="CP73"/>
  <c r="O73" s="1"/>
  <c r="U70"/>
  <c r="U68"/>
  <c r="CZ73"/>
  <c r="Y73" s="1"/>
  <c r="CY73"/>
  <c r="X73" s="1"/>
  <c r="AE26"/>
  <c r="R30"/>
  <c r="CZ72"/>
  <c r="Y72" s="1"/>
  <c r="CY72"/>
  <c r="X72" s="1"/>
  <c r="U65"/>
  <c r="CP72"/>
  <c r="O72" s="1"/>
  <c r="AD65"/>
  <c r="CS65"/>
  <c r="AI26"/>
  <c r="V30"/>
  <c r="Q26"/>
  <c r="F42"/>
  <c r="BX62"/>
  <c r="CG76"/>
  <c r="CX12" i="3"/>
  <c r="CX16"/>
  <c r="CX13"/>
  <c r="CX17"/>
  <c r="CX14"/>
  <c r="CX18"/>
  <c r="I68" i="1"/>
  <c r="GX68" s="1"/>
  <c r="I67"/>
  <c r="GX67" s="1"/>
  <c r="CX11" i="3"/>
  <c r="CX15"/>
  <c r="CX19"/>
  <c r="BX26" i="1"/>
  <c r="CG30"/>
  <c r="BC26"/>
  <c r="F46"/>
  <c r="BC106"/>
  <c r="AU26"/>
  <c r="F49"/>
  <c r="AG26"/>
  <c r="T30"/>
  <c r="P67"/>
  <c r="T65"/>
  <c r="P64"/>
  <c r="AO76"/>
  <c r="CP69"/>
  <c r="O69" s="1"/>
  <c r="AB69"/>
  <c r="V67"/>
  <c r="CD76"/>
  <c r="AO30"/>
  <c r="U30"/>
  <c r="AB74"/>
  <c r="AB73"/>
  <c r="AB72"/>
  <c r="W68"/>
  <c r="AD68"/>
  <c r="CR68" s="1"/>
  <c r="Q68" s="1"/>
  <c r="Q66"/>
  <c r="CP66" s="1"/>
  <c r="O66" s="1"/>
  <c r="P65"/>
  <c r="BY76"/>
  <c r="W64"/>
  <c r="S64"/>
  <c r="CX4" i="3"/>
  <c r="CX8"/>
  <c r="CX5"/>
  <c r="CX9"/>
  <c r="CX6"/>
  <c r="CX10"/>
  <c r="I65" i="1"/>
  <c r="GX65" s="1"/>
  <c r="CX3" i="3"/>
  <c r="CX7"/>
  <c r="AJ26" i="1"/>
  <c r="W30"/>
  <c r="F92"/>
  <c r="BC62"/>
  <c r="CZ28"/>
  <c r="Y28" s="1"/>
  <c r="AL30" s="1"/>
  <c r="CY28"/>
  <c r="X28" s="1"/>
  <c r="AK30" s="1"/>
  <c r="AF30"/>
  <c r="CZ74"/>
  <c r="Y74" s="1"/>
  <c r="GM74" s="1"/>
  <c r="HD74" s="1"/>
  <c r="CY74"/>
  <c r="X74" s="1"/>
  <c r="CX20" i="3"/>
  <c r="CX24"/>
  <c r="CX28"/>
  <c r="CX21"/>
  <c r="CX25"/>
  <c r="CX22"/>
  <c r="CX26"/>
  <c r="I70" i="1"/>
  <c r="P70" s="1"/>
  <c r="CX23" i="3"/>
  <c r="CX27"/>
  <c r="BD26" i="1"/>
  <c r="F55"/>
  <c r="AQ26"/>
  <c r="AC30"/>
  <c r="CP28"/>
  <c r="O28" s="1"/>
  <c r="CC76"/>
  <c r="BA30"/>
  <c r="AB71"/>
  <c r="W65"/>
  <c r="S65"/>
  <c r="Q64"/>
  <c r="AD70"/>
  <c r="CR70" s="1"/>
  <c r="Q70" s="1"/>
  <c r="CZ69"/>
  <c r="Y69" s="1"/>
  <c r="S68"/>
  <c r="V68"/>
  <c r="R68"/>
  <c r="W66"/>
  <c r="S66"/>
  <c r="GX64"/>
  <c r="BZ76"/>
  <c r="T64"/>
  <c r="AB64"/>
  <c r="CL26"/>
  <c r="CD26"/>
  <c r="BZ26"/>
  <c r="CX43" i="3"/>
  <c r="CX39"/>
  <c r="BB30" i="1"/>
  <c r="AT30"/>
  <c r="AP30"/>
  <c r="CM26"/>
  <c r="CX42" i="3"/>
  <c r="CX38"/>
  <c r="CX2"/>
  <c r="CI30" i="1"/>
  <c r="CX45" i="3"/>
  <c r="CX41"/>
  <c r="CX44"/>
  <c r="G27" i="5" l="1"/>
  <c r="J119"/>
  <c r="G127"/>
  <c r="G123"/>
  <c r="G54"/>
  <c r="G26"/>
  <c r="J127"/>
  <c r="J123"/>
  <c r="F80" i="1"/>
  <c r="AO62"/>
  <c r="BC22"/>
  <c r="F122"/>
  <c r="BC136"/>
  <c r="AX76"/>
  <c r="CG62"/>
  <c r="F53"/>
  <c r="V26"/>
  <c r="R26"/>
  <c r="F44"/>
  <c r="CZ66"/>
  <c r="Y66" s="1"/>
  <c r="CY66"/>
  <c r="X66" s="1"/>
  <c r="GM66" s="1"/>
  <c r="AC26"/>
  <c r="P30"/>
  <c r="CE30"/>
  <c r="CH30"/>
  <c r="CF30"/>
  <c r="AU76"/>
  <c r="CD62"/>
  <c r="CG26"/>
  <c r="AX30"/>
  <c r="GN73"/>
  <c r="GM73"/>
  <c r="HD73" s="1"/>
  <c r="CM76" s="1"/>
  <c r="AZ30"/>
  <c r="CI26"/>
  <c r="GN28"/>
  <c r="CB30" s="1"/>
  <c r="GM28"/>
  <c r="CA30" s="1"/>
  <c r="AB30"/>
  <c r="AL26"/>
  <c r="Y30"/>
  <c r="AP76"/>
  <c r="BY62"/>
  <c r="CI76"/>
  <c r="AO26"/>
  <c r="F34"/>
  <c r="AO106"/>
  <c r="GN72"/>
  <c r="GM72"/>
  <c r="Q67"/>
  <c r="CP67" s="1"/>
  <c r="O67" s="1"/>
  <c r="T67"/>
  <c r="AG76" s="1"/>
  <c r="CP70"/>
  <c r="O70" s="1"/>
  <c r="V65"/>
  <c r="S70"/>
  <c r="R65"/>
  <c r="T70"/>
  <c r="GX70"/>
  <c r="AT26"/>
  <c r="F48"/>
  <c r="AT76"/>
  <c r="CC62"/>
  <c r="AF26"/>
  <c r="S30"/>
  <c r="CZ64"/>
  <c r="Y64" s="1"/>
  <c r="CY64"/>
  <c r="X64" s="1"/>
  <c r="GN71"/>
  <c r="GM71"/>
  <c r="F39"/>
  <c r="AP26"/>
  <c r="AP106"/>
  <c r="CY65"/>
  <c r="X65" s="1"/>
  <c r="CZ65"/>
  <c r="Y65" s="1"/>
  <c r="BA26"/>
  <c r="F50"/>
  <c r="GM69"/>
  <c r="GN69"/>
  <c r="T26"/>
  <c r="F51"/>
  <c r="AB65"/>
  <c r="CR65"/>
  <c r="Q65" s="1"/>
  <c r="AD76" s="1"/>
  <c r="CY68"/>
  <c r="X68" s="1"/>
  <c r="CZ68"/>
  <c r="Y68" s="1"/>
  <c r="F43"/>
  <c r="BB26"/>
  <c r="BB106"/>
  <c r="AQ76"/>
  <c r="BZ62"/>
  <c r="AK26"/>
  <c r="X30"/>
  <c r="W26"/>
  <c r="F54"/>
  <c r="U26"/>
  <c r="F52"/>
  <c r="AC76"/>
  <c r="CP64"/>
  <c r="O64" s="1"/>
  <c r="AB70"/>
  <c r="CJ76"/>
  <c r="W67"/>
  <c r="S67"/>
  <c r="W70"/>
  <c r="R70"/>
  <c r="AJ76"/>
  <c r="R67"/>
  <c r="AB68"/>
  <c r="V70"/>
  <c r="U67"/>
  <c r="AH76" s="1"/>
  <c r="T68"/>
  <c r="P68"/>
  <c r="CP68" s="1"/>
  <c r="O68" s="1"/>
  <c r="AD62" l="1"/>
  <c r="Q76"/>
  <c r="AG62"/>
  <c r="T76"/>
  <c r="CH76"/>
  <c r="CF76"/>
  <c r="AC62"/>
  <c r="P76"/>
  <c r="CE76"/>
  <c r="AP22"/>
  <c r="AP136"/>
  <c r="F115"/>
  <c r="G16" i="2" s="1"/>
  <c r="G18" s="1"/>
  <c r="S26" i="1"/>
  <c r="F45"/>
  <c r="F110"/>
  <c r="AO22"/>
  <c r="AO136"/>
  <c r="AJ62"/>
  <c r="W76"/>
  <c r="X26"/>
  <c r="F56"/>
  <c r="AT62"/>
  <c r="F94"/>
  <c r="CI62"/>
  <c r="AZ76"/>
  <c r="F37"/>
  <c r="AX26"/>
  <c r="AX106"/>
  <c r="CF26"/>
  <c r="AW30"/>
  <c r="CY67"/>
  <c r="X67" s="1"/>
  <c r="GM67" s="1"/>
  <c r="CZ67"/>
  <c r="Y67" s="1"/>
  <c r="AQ62"/>
  <c r="F86"/>
  <c r="AQ106"/>
  <c r="CY70"/>
  <c r="X70" s="1"/>
  <c r="GM70" s="1"/>
  <c r="CZ70"/>
  <c r="Y70" s="1"/>
  <c r="Y26"/>
  <c r="F57"/>
  <c r="CB26"/>
  <c r="AS30"/>
  <c r="AU62"/>
  <c r="F95"/>
  <c r="AU106"/>
  <c r="P26"/>
  <c r="P106"/>
  <c r="F33"/>
  <c r="BC18"/>
  <c r="F152"/>
  <c r="GN66"/>
  <c r="AL76"/>
  <c r="CP65"/>
  <c r="O65" s="1"/>
  <c r="CJ62"/>
  <c r="BA76"/>
  <c r="AB26"/>
  <c r="O30"/>
  <c r="AZ26"/>
  <c r="F41"/>
  <c r="AZ106"/>
  <c r="AY30"/>
  <c r="CH26"/>
  <c r="AH62"/>
  <c r="U76"/>
  <c r="GN64"/>
  <c r="GM64"/>
  <c r="AB76"/>
  <c r="BB22"/>
  <c r="F119"/>
  <c r="BB136"/>
  <c r="GM68"/>
  <c r="GN68"/>
  <c r="AP62"/>
  <c r="F85"/>
  <c r="AR30"/>
  <c r="CA26"/>
  <c r="CM62"/>
  <c r="BD76"/>
  <c r="AV30"/>
  <c r="CE26"/>
  <c r="F83"/>
  <c r="AX62"/>
  <c r="AI76"/>
  <c r="AF76"/>
  <c r="AT106"/>
  <c r="AE76"/>
  <c r="AI62" l="1"/>
  <c r="V76"/>
  <c r="AV26"/>
  <c r="F35"/>
  <c r="AL62"/>
  <c r="Y76"/>
  <c r="AX22"/>
  <c r="F113"/>
  <c r="AX136"/>
  <c r="AO18"/>
  <c r="F140"/>
  <c r="P62"/>
  <c r="F79"/>
  <c r="F88"/>
  <c r="Q62"/>
  <c r="Q106"/>
  <c r="F98"/>
  <c r="U62"/>
  <c r="U106"/>
  <c r="AZ22"/>
  <c r="AZ136"/>
  <c r="F117"/>
  <c r="AU22"/>
  <c r="AU136"/>
  <c r="F125"/>
  <c r="AZ62"/>
  <c r="F87"/>
  <c r="CE62"/>
  <c r="AV76"/>
  <c r="AV106" s="1"/>
  <c r="AY76"/>
  <c r="CH62"/>
  <c r="GN70"/>
  <c r="GN67"/>
  <c r="CB76" s="1"/>
  <c r="AK76"/>
  <c r="AE62"/>
  <c r="R76"/>
  <c r="BD62"/>
  <c r="BD106"/>
  <c r="F101"/>
  <c r="BB18"/>
  <c r="F149"/>
  <c r="P22"/>
  <c r="P136"/>
  <c r="F109"/>
  <c r="AQ22"/>
  <c r="F116"/>
  <c r="AQ136"/>
  <c r="AP18"/>
  <c r="F145"/>
  <c r="I29" i="5" s="1"/>
  <c r="AR26" i="1"/>
  <c r="F58"/>
  <c r="AB62"/>
  <c r="O76"/>
  <c r="F96"/>
  <c r="BA62"/>
  <c r="BA106"/>
  <c r="AF62"/>
  <c r="S76"/>
  <c r="AT22"/>
  <c r="AT136"/>
  <c r="F124"/>
  <c r="F16" i="2" s="1"/>
  <c r="F18" s="1"/>
  <c r="AY26" i="1"/>
  <c r="F38"/>
  <c r="AY106"/>
  <c r="O26"/>
  <c r="F32"/>
  <c r="O106"/>
  <c r="GM65"/>
  <c r="GN65"/>
  <c r="AS26"/>
  <c r="F47"/>
  <c r="AW26"/>
  <c r="F36"/>
  <c r="F100"/>
  <c r="W62"/>
  <c r="W106"/>
  <c r="CF62"/>
  <c r="AW76"/>
  <c r="T62"/>
  <c r="F97"/>
  <c r="T106"/>
  <c r="CA76"/>
  <c r="AV22" l="1"/>
  <c r="AV136"/>
  <c r="F111"/>
  <c r="CB62"/>
  <c r="AS76"/>
  <c r="AW62"/>
  <c r="F82"/>
  <c r="AT18"/>
  <c r="F154"/>
  <c r="I28" i="5" s="1"/>
  <c r="W22" i="1"/>
  <c r="F130"/>
  <c r="W136"/>
  <c r="S62"/>
  <c r="F91"/>
  <c r="S106"/>
  <c r="AQ18"/>
  <c r="F146"/>
  <c r="P18"/>
  <c r="F139"/>
  <c r="U136"/>
  <c r="U22"/>
  <c r="F128"/>
  <c r="T22"/>
  <c r="F127"/>
  <c r="T136"/>
  <c r="O22"/>
  <c r="F108"/>
  <c r="O136"/>
  <c r="R62"/>
  <c r="F90"/>
  <c r="R106"/>
  <c r="AU18"/>
  <c r="F155"/>
  <c r="F118"/>
  <c r="Q136"/>
  <c r="Q22"/>
  <c r="AW106"/>
  <c r="CA62"/>
  <c r="AR76"/>
  <c r="AY22"/>
  <c r="F114"/>
  <c r="AY136"/>
  <c r="F126"/>
  <c r="BA22"/>
  <c r="BA136"/>
  <c r="AV62"/>
  <c r="F81"/>
  <c r="AZ18"/>
  <c r="F147"/>
  <c r="AX18"/>
  <c r="F143"/>
  <c r="F99"/>
  <c r="V62"/>
  <c r="V106"/>
  <c r="O62"/>
  <c r="F78"/>
  <c r="BD22"/>
  <c r="BD136"/>
  <c r="F131"/>
  <c r="X76"/>
  <c r="AK62"/>
  <c r="F84"/>
  <c r="AY62"/>
  <c r="F103"/>
  <c r="Y62"/>
  <c r="Y106"/>
  <c r="H16" i="2"/>
  <c r="H18" s="1"/>
  <c r="I30" i="5" l="1"/>
  <c r="Y136" i="1"/>
  <c r="Y22"/>
  <c r="F133"/>
  <c r="BA18"/>
  <c r="F156"/>
  <c r="AW22"/>
  <c r="F112"/>
  <c r="AW136"/>
  <c r="F157"/>
  <c r="T18"/>
  <c r="AS62"/>
  <c r="F93"/>
  <c r="AS106"/>
  <c r="F161"/>
  <c r="BD18"/>
  <c r="V22"/>
  <c r="V136"/>
  <c r="F129"/>
  <c r="AY18"/>
  <c r="F144"/>
  <c r="F141"/>
  <c r="AV18"/>
  <c r="AR62"/>
  <c r="F104"/>
  <c r="AR106"/>
  <c r="R22"/>
  <c r="F120"/>
  <c r="R136"/>
  <c r="S22"/>
  <c r="F121"/>
  <c r="J16" i="2" s="1"/>
  <c r="J18" s="1"/>
  <c r="S136" i="1"/>
  <c r="Q18"/>
  <c r="F148"/>
  <c r="X62"/>
  <c r="F102"/>
  <c r="X106"/>
  <c r="O18"/>
  <c r="F138"/>
  <c r="U18"/>
  <c r="F158"/>
  <c r="W18"/>
  <c r="F160"/>
  <c r="I31" i="5" l="1"/>
  <c r="G31" s="1"/>
  <c r="X22" i="1"/>
  <c r="F132"/>
  <c r="X136"/>
  <c r="R18"/>
  <c r="F150"/>
  <c r="AW18"/>
  <c r="F142"/>
  <c r="AR22"/>
  <c r="F134"/>
  <c r="AR136"/>
  <c r="V18"/>
  <c r="F159"/>
  <c r="AS22"/>
  <c r="AS136"/>
  <c r="F123"/>
  <c r="E16" i="2" s="1"/>
  <c r="Y18" i="1"/>
  <c r="F163"/>
  <c r="S18"/>
  <c r="F151"/>
  <c r="I32" i="5" s="1"/>
  <c r="AS18" i="1" l="1"/>
  <c r="F153"/>
  <c r="I27" i="5" s="1"/>
  <c r="AR18" i="1"/>
  <c r="F164"/>
  <c r="E18" i="2"/>
  <c r="I16"/>
  <c r="I18" s="1"/>
  <c r="X18" i="1"/>
  <c r="F162"/>
  <c r="F165" l="1"/>
  <c r="J129" i="5" s="1"/>
  <c r="F166" i="1"/>
  <c r="J130" i="5" l="1"/>
  <c r="I26"/>
</calcChain>
</file>

<file path=xl/sharedStrings.xml><?xml version="1.0" encoding="utf-8"?>
<sst xmlns="http://schemas.openxmlformats.org/spreadsheetml/2006/main" count="1933" uniqueCount="358">
  <si>
    <t>Smeta.RU  (495) 974-1589</t>
  </si>
  <si>
    <t>_PS_</t>
  </si>
  <si>
    <t>Smeta.RU</t>
  </si>
  <si>
    <t/>
  </si>
  <si>
    <t>Новый объект</t>
  </si>
  <si>
    <t>Ильинский Погост ремонт мягкой кровли ОВП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</si>
  <si>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</si>
  <si>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</si>
  <si>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</si>
  <si>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</si>
  <si>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</si>
  <si>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</si>
  <si>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</si>
  <si>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</si>
  <si>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Демонтаж</t>
  </si>
  <si>
    <t>2</t>
  </si>
  <si>
    <t>46-04-008-1</t>
  </si>
  <si>
    <t>Разборка покрытий кровель из рулонных материалов</t>
  </si>
  <si>
    <t>100 м2 покрытия</t>
  </si>
  <si>
    <t>ТЕР Московской обл., 46-04-008-1, приказ Минстроя России №675/пр от 21.09.2015 г.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</si>
  <si>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</si>
  <si>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</si>
  <si>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</si>
  <si>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</si>
  <si>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</si>
  <si>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</si>
  <si>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</si>
  <si>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</si>
  <si>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</si>
  <si>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</si>
  <si>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</si>
  <si>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</si>
  <si>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</si>
  <si>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</si>
  <si>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</si>
  <si>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</si>
  <si>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</si>
  <si>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</si>
  <si>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</si>
  <si>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</si>
  <si>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</si>
  <si>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</si>
  <si>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</si>
  <si>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</si>
  <si>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</si>
  <si>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</si>
  <si>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</si>
  <si>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</si>
  <si>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</si>
  <si>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</si>
  <si>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</si>
  <si>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</si>
  <si>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</si>
  <si>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</si>
  <si>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</si>
  <si>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</si>
  <si>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</si>
  <si>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</si>
  <si>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</si>
  <si>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</si>
  <si>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</si>
  <si>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</si>
  <si>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</si>
  <si>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</si>
  <si>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</si>
  <si>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</si>
  <si>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</si>
  <si>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</si>
  <si>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</si>
  <si>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</si>
  <si>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</si>
  <si>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</si>
  <si>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</si>
  <si>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</si>
  <si>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</si>
  <si>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</si>
  <si>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</si>
  <si>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</si>
  <si>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</si>
  <si>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Ремонт</t>
  </si>
  <si>
    <t>1</t>
  </si>
  <si>
    <t>58-16-3</t>
  </si>
  <si>
    <t>Ремонт цементной стяжки площадью заделки до 1,0 м2</t>
  </si>
  <si>
    <t>100 мест</t>
  </si>
  <si>
    <t>ТЕРр Московской обл., 58-16-3, приказ Минстроя России №675/пр от 21.09.2015 г.</t>
  </si>
  <si>
    <t>Ремонтно-строительные работы</t>
  </si>
  <si>
    <t>Крыши, кровля</t>
  </si>
  <si>
    <t>рФЕР-58</t>
  </si>
  <si>
    <t>1,1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</si>
  <si>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</si>
  <si>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</si>
  <si>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</si>
  <si>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</si>
  <si>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3</t>
  </si>
  <si>
    <t>12-01-002-9</t>
  </si>
  <si>
    <t>Устройство кровель плоских из наплавляемых материалов в два слоя</t>
  </si>
  <si>
    <t>100 м2 кровли</t>
  </si>
  <si>
    <t>ТЕР Московской обл., 12-01-002-9, приказ Минстроя России №675/пр от 21.09.2015 г.</t>
  </si>
  <si>
    <t>)*1,25</t>
  </si>
  <si>
    <t>)*1,15</t>
  </si>
  <si>
    <t>Кровли</t>
  </si>
  <si>
    <t>ФЕР-12</t>
  </si>
  <si>
    <t>Поправка: МДС 81-35.2004, п.4.7</t>
  </si>
  <si>
    <t>3,4</t>
  </si>
  <si>
    <t>цена постовщика</t>
  </si>
  <si>
    <t>материал рулонные кровельные для верхнего слоя техниколь</t>
  </si>
  <si>
    <t>занесена вручную</t>
  </si>
  <si>
    <t>3,5</t>
  </si>
  <si>
    <t>материал рулонный кровельный для нижнего слоя техниколь</t>
  </si>
  <si>
    <t>7</t>
  </si>
  <si>
    <t>12-01-004-1</t>
  </si>
  <si>
    <t>Устройство примыканий рулонных и мастичных кровель к стенам и парапетам высотой до 600 мм без фартуков</t>
  </si>
  <si>
    <t>100 м примыканий</t>
  </si>
  <si>
    <t>ТЕР Московской обл., 12-01-004-1, приказ Минстроя России №675/пр от 21.09.2015 г.</t>
  </si>
  <si>
    <t>7,2</t>
  </si>
  <si>
    <t>рулонные кровельные техниколь</t>
  </si>
  <si>
    <t>12</t>
  </si>
  <si>
    <t>16-07-002-1</t>
  </si>
  <si>
    <t>Установка воронок водосточных</t>
  </si>
  <si>
    <t>1 воронка</t>
  </si>
  <si>
    <t>ТЕР Московской обл., 16-07-002-1, приказ Минстроя России №675/пр от 28.02.2017 № 260/пр</t>
  </si>
  <si>
    <t>Трубопроводы внутренние</t>
  </si>
  <si>
    <t>ФЕР-16</t>
  </si>
  <si>
    <t>13</t>
  </si>
  <si>
    <t>12-01-009-2</t>
  </si>
  <si>
    <t>Устройство желобов подвесных</t>
  </si>
  <si>
    <t>100 М ЖЕЛОБОВ</t>
  </si>
  <si>
    <t>ТЕР Московской обл., 12-01-009-2, приказ Минстроя России №675/пр от 21.09.2015 г.</t>
  </si>
  <si>
    <t>14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</si>
  <si>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</si>
  <si>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</si>
  <si>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</si>
  <si>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</si>
  <si>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</si>
  <si>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</si>
  <si>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</si>
  <si>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16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</si>
  <si>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</si>
  <si>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</si>
  <si>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т03-01-001-40,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</si>
  <si>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</si>
  <si>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</si>
  <si>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</si>
  <si>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</si>
  <si>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</si>
  <si>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</si>
  <si>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</si>
  <si>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</si>
  <si>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</si>
  <si>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</si>
  <si>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</si>
  <si>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</si>
  <si>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</si>
  <si>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</si>
  <si>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</si>
  <si>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</si>
  <si>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</si>
  <si>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</si>
  <si>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</si>
  <si>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</si>
  <si>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</si>
  <si>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</si>
  <si>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</si>
  <si>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</si>
  <si>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</si>
  <si>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</si>
  <si>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</si>
  <si>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</si>
  <si>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</si>
  <si>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</si>
  <si>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</si>
  <si>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</si>
  <si>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</si>
  <si>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</si>
  <si>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</si>
  <si>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</si>
  <si>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</si>
  <si>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</si>
  <si>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</si>
  <si>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</si>
  <si>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</si>
  <si>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</si>
  <si>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</si>
  <si>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</si>
  <si>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</si>
  <si>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</si>
  <si>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</si>
  <si>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</si>
  <si>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</si>
  <si>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</si>
  <si>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</si>
  <si>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</si>
  <si>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</si>
  <si>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</si>
  <si>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</si>
  <si>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</si>
  <si>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</si>
  <si>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</si>
  <si>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</si>
  <si>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</si>
  <si>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</si>
  <si>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</si>
  <si>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</si>
  <si>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</si>
  <si>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</si>
  <si>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</si>
  <si>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</si>
  <si>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</si>
  <si>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</si>
  <si>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</si>
  <si>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</si>
  <si>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</si>
  <si>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2021 г</t>
  </si>
  <si>
    <t>_OBSM_</t>
  </si>
  <si>
    <t>1-1020-90</t>
  </si>
  <si>
    <t>Рабочий строитель среднего разряда 2</t>
  </si>
  <si>
    <t>чел.-ч</t>
  </si>
  <si>
    <t>030403</t>
  </si>
  <si>
    <t>ТСЭМ Московской обл., 030403, приказ Минстроя России №675/пр от 21.09.2015 г.</t>
  </si>
  <si>
    <t>Лебедки электрические тяговым усилием 19,62 кН (2 т)</t>
  </si>
  <si>
    <t>маш.-ч</t>
  </si>
  <si>
    <t>1-1033-90</t>
  </si>
  <si>
    <t>Рабочий строитель среднего разряда 3,3</t>
  </si>
  <si>
    <t>Затраты труда машинистов</t>
  </si>
  <si>
    <t>чел.час</t>
  </si>
  <si>
    <t>030401</t>
  </si>
  <si>
    <t>ТСЭМ Московской обл., 030401, приказ Минстроя России №675/пр от 21.09.2015 г.</t>
  </si>
  <si>
    <t>Лебедки электрические тяговым усилием до 5,79 кН (0,59 т)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</si>
  <si>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</si>
  <si>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</si>
  <si>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</si>
  <si>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</si>
  <si>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</si>
  <si>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</si>
  <si>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101-1305</t>
  </si>
  <si>
    <t>ТССЦ Московской обл., 101-1305, приказ Минстроя России №675/пр от 21.09.2015 г.</t>
  </si>
  <si>
    <t>Портландцемент общестроительного назначения бездобавочный, марки 400</t>
  </si>
  <si>
    <t>402-0004</t>
  </si>
  <si>
    <t>ТССЦ Московской обл., 402-0004, приказ Минстроя России №675/пр от 21.09.2015 г.</t>
  </si>
  <si>
    <t>Раствор готовый кладочный цементный марки 100</t>
  </si>
  <si>
    <t>м3</t>
  </si>
  <si>
    <t>1-1038-90</t>
  </si>
  <si>
    <t>Рабочий строитель среднего разряда 3,8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</si>
  <si>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</si>
  <si>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</si>
  <si>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</si>
  <si>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</si>
  <si>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</si>
  <si>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</si>
  <si>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150401</t>
  </si>
  <si>
    <t>ТСЭМ Московской обл., 150401, приказ Минстроя России №675/пр от 21.09.2015 г.</t>
  </si>
  <si>
    <t>Горелки газопламенные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</si>
  <si>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</si>
  <si>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</si>
  <si>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</si>
  <si>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101-2278</t>
  </si>
  <si>
    <t>ТССЦ Московской обл., 101-2278, приказ Минстроя России №675/пр от 21.09.2015 г.</t>
  </si>
  <si>
    <t>Пропан-бутан, смесь техническая</t>
  </si>
  <si>
    <t>кг</t>
  </si>
  <si>
    <t>1-1036-90</t>
  </si>
  <si>
    <t>Рабочий строитель среднего разряда 3,6</t>
  </si>
  <si>
    <t>121011</t>
  </si>
  <si>
    <t>ТСЭМ Московской обл., 121011, приказ Минстроя России №675/пр от 21.09.2015 г.</t>
  </si>
  <si>
    <t>Котлы битумные передвижные 400 л</t>
  </si>
  <si>
    <t>101-0594</t>
  </si>
  <si>
    <t>ТССЦ Московской обл., 101-0594, приказ Минстроя России №675/пр от 21.09.2015 г.</t>
  </si>
  <si>
    <t>Мастика битумная кровельная горячая</t>
  </si>
  <si>
    <t>1-1041-90</t>
  </si>
  <si>
    <t>Рабочий строитель среднего разряда 4,1</t>
  </si>
  <si>
    <t>ТСЭМ Московской обл., 020129, приказ Минстроя России №675/пр от 28.02.2017 № 264/пр</t>
  </si>
  <si>
    <t>040502</t>
  </si>
  <si>
    <t>ТСЭМ Московской обл., 040502, приказ Минстроя России №675/пр от 28.02.2017 № 264/пр</t>
  </si>
  <si>
    <t>Установки для сварки ручной дуговой (постоянного тока)</t>
  </si>
  <si>
    <t>ТСЭМ Московской обл., 400001, приказ Минстроя России №675/пр от 28.02.2017 № 264/пр</t>
  </si>
  <si>
    <t>101-0311</t>
  </si>
  <si>
    <t>ТССЦ Московской обл., 101-0311, приказ Минстроя России №675/пр от 28.02.2017 № 254/пр</t>
  </si>
  <si>
    <t>Каболка</t>
  </si>
  <si>
    <t>101-1355</t>
  </si>
  <si>
    <t>ТССЦ Московской обл., 101-1355, приказ Минстроя России №675/пр от 28.02.2017 № 254/пр</t>
  </si>
  <si>
    <t>Цемент гипсоглиноземистый расширяющийся</t>
  </si>
  <si>
    <t>101-1522</t>
  </si>
  <si>
    <t>ТССЦ Московской обл., 101-1522, приказ Минстроя России №675/пр от 28.02.2017 № 254/пр</t>
  </si>
  <si>
    <t>Электроды диаметром 5 мм Э42А</t>
  </si>
  <si>
    <t>301-3302</t>
  </si>
  <si>
    <t>ТССЦ Московской обл., 301-3302, приказ Минстроя России №675/пр от 28.02.2017 № 256/пр</t>
  </si>
  <si>
    <t>Воронка водосточная диаметром 100 мм</t>
  </si>
  <si>
    <t>шт.</t>
  </si>
  <si>
    <t>1-1030-90</t>
  </si>
  <si>
    <t>Рабочий строитель среднего разряда 3</t>
  </si>
  <si>
    <t>101-0173</t>
  </si>
  <si>
    <t>ТССЦ Московской обл., 101-0173, приказ Минстроя России №675/пр от 21.09.2015 г.</t>
  </si>
  <si>
    <t>Гвозди проволочные оцинкованные для асбестоцементной кровли 4,5х120 мм</t>
  </si>
  <si>
    <t>101-0788</t>
  </si>
  <si>
    <t>ТССЦ Московской обл., 101-0788, приказ Минстроя России №675/пр от 21.09.2015 г.</t>
  </si>
  <si>
    <t>Поковки оцинкованные, масса 2,825 кг</t>
  </si>
  <si>
    <t>101-1875</t>
  </si>
  <si>
    <t>ТССЦ Московской обл., 101-1875, приказ Минстроя России №675/пр от 21.09.2015 г.</t>
  </si>
  <si>
    <t>Сталь листовая оцинкованная толщиной листа 0,7 мм</t>
  </si>
  <si>
    <t>101-9121</t>
  </si>
  <si>
    <t>ТССЦ Московской обл., 101-9121, приказ Минстроя России №675/пр от 21.09.2015 г.</t>
  </si>
  <si>
    <t>Материалы рулонные кровельные для верхнего слоя</t>
  </si>
  <si>
    <t>м2</t>
  </si>
  <si>
    <t>101-9122</t>
  </si>
  <si>
    <t>ТССЦ Московской обл., 101-9122, приказ Минстроя России №675/пр от 21.09.2015 г.</t>
  </si>
  <si>
    <t>Материалы рулонные кровельные для нижних слоев</t>
  </si>
  <si>
    <t>101-9123</t>
  </si>
  <si>
    <t>ТССЦ Московской обл., 101-9123, приказ Минстроя России №675/пр от 21.09.2015 г.</t>
  </si>
  <si>
    <t>Материалы рулонные кровельные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</si>
  <si>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</si>
  <si>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</si>
  <si>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</si>
  <si>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</si>
  <si>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</si>
  <si>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</si>
  <si>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</si>
  <si>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</si>
  <si>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</si>
  <si>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</si>
  <si>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</si>
  <si>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</si>
  <si>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</si>
  <si>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</si>
  <si>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</si>
  <si>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</si>
  <si>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</si>
  <si>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</si>
  <si>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</si>
  <si>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</si>
  <si>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</si>
  <si>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</si>
  <si>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</si>
  <si>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</si>
  <si>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</si>
  <si>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</si>
  <si>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</si>
  <si>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</si>
  <si>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</si>
  <si>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</si>
  <si>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</si>
  <si>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</si>
  <si>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март 2021 года и Московская область Каталог текущих цен на материалы, март 2021 г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</si>
  <si>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</si>
  <si>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</si>
  <si>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</si>
  <si>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</si>
  <si>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</si>
  <si>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</si>
  <si>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</si>
  <si>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>Материальные ресурсы</t>
  </si>
  <si>
    <r>
      <t>12-01-002-9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</si>
  <si>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12-01-004-1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</si>
  <si>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16-07-002-1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</si>
  <si>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12-01-009-2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</si>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</sst>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0"/>
  <sheetViews>
    <sheetView tabSelected="1" zoomScaleNormal="100" workbookViewId="0">
      <selection activeCell="A55" sqref="A55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1" t="s">
        <v>309</v>
      </c>
      <c r="C3" s="81"/>
      <c r="D3" s="81"/>
      <c r="E3" s="81"/>
      <c r="F3" s="11"/>
      <c r="G3" s="11"/>
      <c r="H3" s="81" t="s">
        <v>310</v>
      </c>
      <c r="I3" s="81"/>
      <c r="J3" s="81"/>
      <c r="K3" s="81"/>
      <c r="L3" s="81"/>
    </row>
    <row r="4" spans="1:12" ht="14.25">
      <c r="A4" s="11"/>
      <c r="B4" s="63"/>
      <c r="C4" s="63"/>
      <c r="D4" s="63"/>
      <c r="E4" s="63"/>
      <c r="F4" s="11"/>
      <c r="G4" s="11"/>
      <c r="H4" s="63"/>
      <c r="I4" s="63"/>
      <c r="J4" s="63"/>
      <c r="K4" s="63"/>
      <c r="L4" s="6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3" t="str">
        <f>CONCATENATE("______________________ ", IF(Source!AL12&lt;&gt;"", Source!AL12, ""))</f>
        <v xml:space="preserve">______________________ </v>
      </c>
      <c r="C6" s="63"/>
      <c r="D6" s="63"/>
      <c r="E6" s="63"/>
      <c r="F6" s="11"/>
      <c r="G6" s="11"/>
      <c r="H6" s="63" t="str">
        <f>CONCATENATE("______________________ ", IF(Source!AH12&lt;&gt;"", Source!AH12, ""))</f>
        <v xml:space="preserve">______________________ </v>
      </c>
      <c r="I6" s="63"/>
      <c r="J6" s="63"/>
      <c r="K6" s="63"/>
      <c r="L6" s="63"/>
    </row>
    <row r="7" spans="1:12" ht="14.25">
      <c r="A7" s="16"/>
      <c r="B7" s="79" t="s">
        <v>311</v>
      </c>
      <c r="C7" s="79"/>
      <c r="D7" s="79"/>
      <c r="E7" s="79"/>
      <c r="F7" s="11"/>
      <c r="G7" s="11"/>
      <c r="H7" s="79" t="s">
        <v>311</v>
      </c>
      <c r="I7" s="79"/>
      <c r="J7" s="79"/>
      <c r="K7" s="79"/>
      <c r="L7" s="79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0" t="s">
        <v>312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4" t="s">
        <v>313</v>
      </c>
      <c r="G13" s="64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Ильинский Погост ремонт мягкой кровли ОВП 2021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314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315</v>
      </c>
      <c r="H25" s="78"/>
      <c r="I25" s="78" t="s">
        <v>316</v>
      </c>
      <c r="J25" s="78"/>
      <c r="K25" s="11"/>
      <c r="L25" s="11"/>
    </row>
    <row r="26" spans="1:12" ht="15">
      <c r="A26" s="11"/>
      <c r="B26" s="11"/>
      <c r="C26" s="70" t="s">
        <v>317</v>
      </c>
      <c r="D26" s="70"/>
      <c r="E26" s="70"/>
      <c r="F26" s="70"/>
      <c r="G26" s="71">
        <f>SUM(O1:O128)/1000</f>
        <v>291.95553999999998</v>
      </c>
      <c r="H26" s="71"/>
      <c r="I26" s="71">
        <f>(Source!F166/1000)</f>
        <v>694.41640000000007</v>
      </c>
      <c r="J26" s="71"/>
      <c r="K26" s="72" t="s">
        <v>318</v>
      </c>
      <c r="L26" s="72"/>
    </row>
    <row r="27" spans="1:12" ht="14.25">
      <c r="A27" s="11"/>
      <c r="B27" s="11"/>
      <c r="C27" s="73" t="s">
        <v>319</v>
      </c>
      <c r="D27" s="73"/>
      <c r="E27" s="73"/>
      <c r="F27" s="73"/>
      <c r="G27" s="71">
        <f>SUM(W1:W128)/1000</f>
        <v>291.95554000000004</v>
      </c>
      <c r="H27" s="71"/>
      <c r="I27" s="71">
        <f>(Source!F153)/1000</f>
        <v>578.68035999999995</v>
      </c>
      <c r="J27" s="71"/>
      <c r="K27" s="72" t="s">
        <v>318</v>
      </c>
      <c r="L27" s="72"/>
    </row>
    <row r="28" spans="1:12" ht="14.25">
      <c r="A28" s="11"/>
      <c r="B28" s="11"/>
      <c r="C28" s="73" t="s">
        <v>320</v>
      </c>
      <c r="D28" s="73"/>
      <c r="E28" s="73"/>
      <c r="F28" s="73"/>
      <c r="G28" s="71">
        <f>SUM(X1:X128)/1000</f>
        <v>0</v>
      </c>
      <c r="H28" s="71"/>
      <c r="I28" s="71">
        <f>(Source!F154)/1000</f>
        <v>0</v>
      </c>
      <c r="J28" s="71"/>
      <c r="K28" s="72" t="s">
        <v>318</v>
      </c>
      <c r="L28" s="72"/>
    </row>
    <row r="29" spans="1:12" ht="14.25">
      <c r="A29" s="11"/>
      <c r="B29" s="11"/>
      <c r="C29" s="73" t="s">
        <v>321</v>
      </c>
      <c r="D29" s="73"/>
      <c r="E29" s="73"/>
      <c r="F29" s="73"/>
      <c r="G29" s="71">
        <f>SUM(Y1:Y128)/1000</f>
        <v>0</v>
      </c>
      <c r="H29" s="71"/>
      <c r="I29" s="71">
        <f>(Source!F145)/1000</f>
        <v>0</v>
      </c>
      <c r="J29" s="71"/>
      <c r="K29" s="72" t="s">
        <v>318</v>
      </c>
      <c r="L29" s="72"/>
    </row>
    <row r="30" spans="1:12" ht="14.25">
      <c r="A30" s="11"/>
      <c r="B30" s="11"/>
      <c r="C30" s="73" t="s">
        <v>322</v>
      </c>
      <c r="D30" s="73"/>
      <c r="E30" s="73"/>
      <c r="F30" s="73"/>
      <c r="G30" s="71">
        <f>SUM(Z1:Z128)/1000</f>
        <v>0</v>
      </c>
      <c r="H30" s="71"/>
      <c r="I30" s="71">
        <f>(Source!F155+Source!F156)/1000</f>
        <v>0</v>
      </c>
      <c r="J30" s="71"/>
      <c r="K30" s="72" t="s">
        <v>318</v>
      </c>
      <c r="L30" s="72"/>
    </row>
    <row r="31" spans="1:12" ht="15">
      <c r="A31" s="11"/>
      <c r="B31" s="11"/>
      <c r="C31" s="70" t="s">
        <v>323</v>
      </c>
      <c r="D31" s="70"/>
      <c r="E31" s="70"/>
      <c r="F31" s="70"/>
      <c r="G31" s="71">
        <f>I31</f>
        <v>293.56704999999994</v>
      </c>
      <c r="H31" s="71"/>
      <c r="I31" s="71">
        <f>(Source!F158+Source!F159)</f>
        <v>293.56704999999994</v>
      </c>
      <c r="J31" s="71"/>
      <c r="K31" s="72" t="s">
        <v>324</v>
      </c>
      <c r="L31" s="72"/>
    </row>
    <row r="32" spans="1:12" ht="15">
      <c r="A32" s="11"/>
      <c r="B32" s="11"/>
      <c r="C32" s="70" t="s">
        <v>325</v>
      </c>
      <c r="D32" s="70"/>
      <c r="E32" s="70"/>
      <c r="F32" s="70"/>
      <c r="G32" s="71">
        <f>SUM(R1:R128)/1000</f>
        <v>2.5725499999999988</v>
      </c>
      <c r="H32" s="71"/>
      <c r="I32" s="71">
        <f>(Source!F151+ Source!F150)/1000</f>
        <v>85.357339999999994</v>
      </c>
      <c r="J32" s="71"/>
      <c r="K32" s="72" t="s">
        <v>318</v>
      </c>
      <c r="L32" s="72"/>
    </row>
    <row r="33" spans="1:22" ht="14.25" hidden="1">
      <c r="A33" s="11"/>
      <c r="B33" s="11"/>
      <c r="C33" s="73" t="s">
        <v>64</v>
      </c>
      <c r="D33" s="73"/>
      <c r="E33" s="73"/>
      <c r="F33" s="73"/>
      <c r="G33" s="71"/>
      <c r="H33" s="71"/>
      <c r="I33" s="71"/>
      <c r="J33" s="71"/>
      <c r="K33" s="23" t="s">
        <v>318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326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327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340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328</v>
      </c>
      <c r="B39" s="28" t="s">
        <v>329</v>
      </c>
      <c r="C39" s="28" t="s">
        <v>330</v>
      </c>
      <c r="D39" s="28" t="s">
        <v>331</v>
      </c>
      <c r="E39" s="28" t="s">
        <v>332</v>
      </c>
      <c r="F39" s="28" t="s">
        <v>333</v>
      </c>
      <c r="G39" s="28" t="s">
        <v>334</v>
      </c>
      <c r="H39" s="28" t="s">
        <v>335</v>
      </c>
      <c r="I39" s="28" t="s">
        <v>336</v>
      </c>
      <c r="J39" s="28" t="s">
        <v>337</v>
      </c>
      <c r="K39" s="28" t="s">
        <v>338</v>
      </c>
      <c r="L39" s="28" t="s">
        <v>339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5" t="str">
        <f>CONCATENATE("Локальная смета: ",IF(Source!G20&lt;&gt;"Новая локальная смета", Source!G20, ""))</f>
        <v xml:space="preserve">Локальная смета: 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4" spans="1:22" ht="16.5">
      <c r="A44" s="65" t="str">
        <f>CONCATENATE("Раздел: ",IF(Source!G24&lt;&gt;"Новый раздел", Source!G24, ""))</f>
        <v>Раздел: Демонтаж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22" ht="42.75">
      <c r="A45" s="23" t="str">
        <f>Source!E28</f>
        <v>2</v>
      </c>
      <c r="B45" s="55" t="str">
        <f>Source!F28</f>
        <v>46-04-008-1</v>
      </c>
      <c r="C45" s="55" t="str">
        <f>Source!G28</f>
        <v>Разборка покрытий кровель из рулонных материалов</v>
      </c>
      <c r="D45" s="37" t="str">
        <f>Source!H28</f>
        <v>100 м2 покрытия</v>
      </c>
      <c r="E45" s="10">
        <f>Source!I28</f>
        <v>6.4749999999999996</v>
      </c>
      <c r="F45" s="38">
        <f>Source!AL28+Source!AM28+Source!AO28</f>
        <v>153.59</v>
      </c>
      <c r="G45" s="39"/>
      <c r="H45" s="40"/>
      <c r="I45" s="39" t="str">
        <f>Source!BO28</f>
        <v>46-04-008-1</v>
      </c>
      <c r="J45" s="39"/>
      <c r="K45" s="40"/>
      <c r="L45" s="41"/>
      <c r="S45">
        <f>ROUND((Source!FX28/100)*((ROUND(Source!AF28*Source!I28, 2)+ROUND(Source!AE28*Source!I28, 2))), 2)</f>
        <v>718.98</v>
      </c>
      <c r="T45">
        <f>Source!X28</f>
        <v>23855.54</v>
      </c>
      <c r="U45">
        <f>ROUND((Source!FY28/100)*((ROUND(Source!AF28*Source!I28, 2)+ROUND(Source!AE28*Source!I28, 2))), 2)</f>
        <v>432.11</v>
      </c>
      <c r="V45">
        <f>Source!Y28</f>
        <v>14457.91</v>
      </c>
    </row>
    <row r="46" spans="1:22">
      <c r="C46" s="31" t="str">
        <f>"Объем: "&amp;Source!I28&amp;"=647,5/"&amp;"100"</f>
        <v>Объем: 6,475=647,5/100</v>
      </c>
    </row>
    <row r="47" spans="1:22" ht="14.25">
      <c r="A47" s="23"/>
      <c r="B47" s="55"/>
      <c r="C47" s="55" t="s">
        <v>341</v>
      </c>
      <c r="D47" s="37"/>
      <c r="E47" s="10"/>
      <c r="F47" s="38">
        <f>Source!AO28</f>
        <v>112.16</v>
      </c>
      <c r="G47" s="39" t="str">
        <f>Source!DG28</f>
        <v/>
      </c>
      <c r="H47" s="40">
        <f>ROUND(Source!AF28*Source!I28, 2)</f>
        <v>726.24</v>
      </c>
      <c r="I47" s="39"/>
      <c r="J47" s="39">
        <f>IF(Source!BA28&lt;&gt; 0, Source!BA28, 1)</f>
        <v>33.18</v>
      </c>
      <c r="K47" s="40">
        <f>Source!S28</f>
        <v>24096.51</v>
      </c>
      <c r="L47" s="41"/>
      <c r="R47">
        <f>H47</f>
        <v>726.24</v>
      </c>
    </row>
    <row r="48" spans="1:22" ht="14.25">
      <c r="A48" s="23"/>
      <c r="B48" s="55"/>
      <c r="C48" s="55" t="s">
        <v>46</v>
      </c>
      <c r="D48" s="37"/>
      <c r="E48" s="10"/>
      <c r="F48" s="38">
        <f>Source!AM28</f>
        <v>41.43</v>
      </c>
      <c r="G48" s="39" t="str">
        <f>Source!DE28</f>
        <v/>
      </c>
      <c r="H48" s="40">
        <f>ROUND(Source!AD28*Source!I28, 2)</f>
        <v>268.26</v>
      </c>
      <c r="I48" s="39"/>
      <c r="J48" s="39">
        <f>IF(Source!BB28&lt;&gt; 0, Source!BB28, 1)</f>
        <v>8.11</v>
      </c>
      <c r="K48" s="40">
        <f>Source!Q28</f>
        <v>2175.58</v>
      </c>
      <c r="L48" s="41"/>
    </row>
    <row r="49" spans="1:26" ht="14.25">
      <c r="A49" s="23"/>
      <c r="B49" s="55"/>
      <c r="C49" s="55" t="s">
        <v>342</v>
      </c>
      <c r="D49" s="37" t="s">
        <v>343</v>
      </c>
      <c r="E49" s="10">
        <f>Source!BZ28</f>
        <v>110</v>
      </c>
      <c r="F49" s="63" t="str">
        <f>CONCATENATE(" )", Source!DL28, Source!FT28, "=", Source!FX28)</f>
        <v xml:space="preserve"> )*0,9=99</v>
      </c>
      <c r="G49" s="64"/>
      <c r="H49" s="40">
        <f>SUM(S45:S51)</f>
        <v>718.98</v>
      </c>
      <c r="I49" s="42"/>
      <c r="J49" s="36">
        <f>Source!AT28</f>
        <v>99</v>
      </c>
      <c r="K49" s="40">
        <f>SUM(T45:T51)</f>
        <v>23855.54</v>
      </c>
      <c r="L49" s="41"/>
    </row>
    <row r="50" spans="1:26" ht="14.25">
      <c r="A50" s="23"/>
      <c r="B50" s="55"/>
      <c r="C50" s="55" t="s">
        <v>344</v>
      </c>
      <c r="D50" s="37" t="s">
        <v>343</v>
      </c>
      <c r="E50" s="10">
        <f>Source!CA28</f>
        <v>70</v>
      </c>
      <c r="F50" s="63" t="str">
        <f>CONCATENATE(" )", Source!DM28, Source!FU28, "=", Source!FY28)</f>
        <v xml:space="preserve"> )*0,85=59,5</v>
      </c>
      <c r="G50" s="64"/>
      <c r="H50" s="40">
        <f>SUM(U45:U51)</f>
        <v>432.11</v>
      </c>
      <c r="I50" s="42"/>
      <c r="J50" s="36">
        <f>Source!AU28</f>
        <v>60</v>
      </c>
      <c r="K50" s="40">
        <f>SUM(V45:V51)</f>
        <v>14457.91</v>
      </c>
      <c r="L50" s="41"/>
    </row>
    <row r="51" spans="1:26" ht="14.25">
      <c r="A51" s="56"/>
      <c r="B51" s="57"/>
      <c r="C51" s="57" t="s">
        <v>345</v>
      </c>
      <c r="D51" s="43" t="s">
        <v>346</v>
      </c>
      <c r="E51" s="44">
        <f>Source!AQ28</f>
        <v>14.38</v>
      </c>
      <c r="F51" s="45"/>
      <c r="G51" s="46" t="str">
        <f>Source!DI28</f>
        <v/>
      </c>
      <c r="H51" s="47"/>
      <c r="I51" s="46"/>
      <c r="J51" s="46"/>
      <c r="K51" s="47"/>
      <c r="L51" s="48">
        <f>Source!U28</f>
        <v>93.110500000000002</v>
      </c>
    </row>
    <row r="52" spans="1:26" ht="15">
      <c r="G52" s="60">
        <f>H47+H48+H49+H50</f>
        <v>2145.59</v>
      </c>
      <c r="H52" s="60"/>
      <c r="J52" s="60">
        <f>K47+K48+K49+K50</f>
        <v>64585.539999999994</v>
      </c>
      <c r="K52" s="60"/>
      <c r="L52" s="49">
        <f>Source!U28</f>
        <v>93.110500000000002</v>
      </c>
      <c r="O52" s="32">
        <f>G52</f>
        <v>2145.59</v>
      </c>
      <c r="P52" s="32">
        <f>J52</f>
        <v>64585.539999999994</v>
      </c>
      <c r="Q52" s="32">
        <f>L52</f>
        <v>93.110500000000002</v>
      </c>
      <c r="W52">
        <f>IF(Source!BI28&lt;=1,H47+H48+H49+H50, 0)</f>
        <v>2145.59</v>
      </c>
      <c r="X52">
        <f>IF(Source!BI28=2,H47+H48+H49+H50, 0)</f>
        <v>0</v>
      </c>
      <c r="Y52">
        <f>IF(Source!BI28=3,H47+H48+H49+H50, 0)</f>
        <v>0</v>
      </c>
      <c r="Z52">
        <f>IF(Source!BI28=4,H47+H48+H49+H50, 0)</f>
        <v>0</v>
      </c>
    </row>
    <row r="54" spans="1:26" ht="15">
      <c r="A54" s="62" t="str">
        <f>CONCATENATE("Итого по разделу: ",IF(Source!G30&lt;&gt;"Новый раздел", Source!G30, ""))</f>
        <v>Итого по разделу: Демонтаж</v>
      </c>
      <c r="B54" s="62"/>
      <c r="C54" s="62"/>
      <c r="D54" s="62"/>
      <c r="E54" s="62"/>
      <c r="F54" s="62"/>
      <c r="G54" s="61">
        <f>SUM(O44:O53)</f>
        <v>2145.59</v>
      </c>
      <c r="H54" s="61"/>
      <c r="I54" s="35"/>
      <c r="J54" s="61">
        <f>SUM(P44:P53)</f>
        <v>64585.539999999994</v>
      </c>
      <c r="K54" s="61"/>
      <c r="L54" s="49">
        <f>SUM(Q44:Q53)</f>
        <v>93.110500000000002</v>
      </c>
    </row>
    <row r="58" spans="1:26" ht="16.5">
      <c r="A58" s="65" t="str">
        <f>CONCATENATE("Раздел: ",IF(Source!G60&lt;&gt;"Новый раздел", Source!G60, ""))</f>
        <v>Раздел: Ремонт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</row>
    <row r="59" spans="1:26" ht="28.5">
      <c r="A59" s="23" t="str">
        <f>Source!E64</f>
        <v>1</v>
      </c>
      <c r="B59" s="55" t="str">
        <f>Source!F64</f>
        <v>58-16-3</v>
      </c>
      <c r="C59" s="55" t="str">
        <f>Source!G64</f>
        <v>Ремонт цементной стяжки площадью заделки до 1,0 м2</v>
      </c>
      <c r="D59" s="37" t="str">
        <f>Source!H64</f>
        <v>100 мест</v>
      </c>
      <c r="E59" s="10">
        <f>Source!I64</f>
        <v>0.2</v>
      </c>
      <c r="F59" s="38">
        <f>Source!AL64+Source!AM64+Source!AO64</f>
        <v>2341.86</v>
      </c>
      <c r="G59" s="39"/>
      <c r="H59" s="40"/>
      <c r="I59" s="39" t="str">
        <f>Source!BO64</f>
        <v>58-16-3</v>
      </c>
      <c r="J59" s="39"/>
      <c r="K59" s="40"/>
      <c r="L59" s="41"/>
      <c r="S59">
        <f>ROUND((Source!FX64/100)*((ROUND(Source!AF64*Source!I64, 2)+ROUND(Source!AE64*Source!I64, 2))), 2)</f>
        <v>193.36</v>
      </c>
      <c r="T59">
        <f>Source!X64</f>
        <v>6415.53</v>
      </c>
      <c r="U59">
        <f>ROUND((Source!FY64/100)*((ROUND(Source!AF64*Source!I64, 2)+ROUND(Source!AE64*Source!I64, 2))), 2)</f>
        <v>151.41999999999999</v>
      </c>
      <c r="V59">
        <f>Source!Y64</f>
        <v>5024.21</v>
      </c>
    </row>
    <row r="60" spans="1:26">
      <c r="C60" s="31" t="str">
        <f>"Объем: "&amp;Source!I64&amp;"=20/"&amp;"100"</f>
        <v>Объем: 0,2=20/100</v>
      </c>
    </row>
    <row r="61" spans="1:26" ht="14.25">
      <c r="A61" s="23"/>
      <c r="B61" s="55"/>
      <c r="C61" s="55" t="s">
        <v>341</v>
      </c>
      <c r="D61" s="37"/>
      <c r="E61" s="10"/>
      <c r="F61" s="38">
        <f>Source!AO64</f>
        <v>1150.9100000000001</v>
      </c>
      <c r="G61" s="39" t="str">
        <f>Source!DG64</f>
        <v/>
      </c>
      <c r="H61" s="40">
        <f>ROUND(Source!AF64*Source!I64, 2)</f>
        <v>230.18</v>
      </c>
      <c r="I61" s="39"/>
      <c r="J61" s="39">
        <f>IF(Source!BA64&lt;&gt; 0, Source!BA64, 1)</f>
        <v>33.18</v>
      </c>
      <c r="K61" s="40">
        <f>Source!S64</f>
        <v>7637.44</v>
      </c>
      <c r="L61" s="41"/>
      <c r="R61">
        <f>H61</f>
        <v>230.18</v>
      </c>
    </row>
    <row r="62" spans="1:26" ht="14.25">
      <c r="A62" s="23"/>
      <c r="B62" s="55"/>
      <c r="C62" s="55" t="s">
        <v>46</v>
      </c>
      <c r="D62" s="37"/>
      <c r="E62" s="10"/>
      <c r="F62" s="38">
        <f>Source!AM64</f>
        <v>69.930000000000007</v>
      </c>
      <c r="G62" s="39" t="str">
        <f>Source!DE64</f>
        <v/>
      </c>
      <c r="H62" s="40">
        <f>ROUND(Source!AD64*Source!I64, 2)</f>
        <v>13.99</v>
      </c>
      <c r="I62" s="39"/>
      <c r="J62" s="39">
        <f>IF(Source!BB64&lt;&gt; 0, Source!BB64, 1)</f>
        <v>11.28</v>
      </c>
      <c r="K62" s="40">
        <f>Source!Q64</f>
        <v>157.76</v>
      </c>
      <c r="L62" s="41"/>
    </row>
    <row r="63" spans="1:26" ht="14.25">
      <c r="A63" s="23"/>
      <c r="B63" s="55"/>
      <c r="C63" s="55" t="s">
        <v>347</v>
      </c>
      <c r="D63" s="37"/>
      <c r="E63" s="10"/>
      <c r="F63" s="38">
        <f>Source!AN64</f>
        <v>13.88</v>
      </c>
      <c r="G63" s="39" t="str">
        <f>Source!DF64</f>
        <v/>
      </c>
      <c r="H63" s="50">
        <f>ROUND(Source!AE64*Source!I64, 2)</f>
        <v>2.78</v>
      </c>
      <c r="I63" s="39"/>
      <c r="J63" s="39">
        <f>IF(Source!BS64&lt;&gt; 0, Source!BS64, 1)</f>
        <v>33.18</v>
      </c>
      <c r="K63" s="50">
        <f>Source!R64</f>
        <v>92.11</v>
      </c>
      <c r="L63" s="41"/>
      <c r="R63">
        <f>H63</f>
        <v>2.78</v>
      </c>
    </row>
    <row r="64" spans="1:26" ht="14.25">
      <c r="A64" s="23"/>
      <c r="B64" s="55"/>
      <c r="C64" s="55" t="s">
        <v>348</v>
      </c>
      <c r="D64" s="37"/>
      <c r="E64" s="10"/>
      <c r="F64" s="38">
        <f>Source!AL64</f>
        <v>1121.02</v>
      </c>
      <c r="G64" s="39" t="str">
        <f>Source!DD64</f>
        <v/>
      </c>
      <c r="H64" s="40">
        <f>ROUND(Source!AC64*Source!I64, 2)</f>
        <v>224.2</v>
      </c>
      <c r="I64" s="39"/>
      <c r="J64" s="39">
        <f>IF(Source!BC64&lt;&gt; 0, Source!BC64, 1)</f>
        <v>6.24</v>
      </c>
      <c r="K64" s="40">
        <f>Source!P64</f>
        <v>1399.03</v>
      </c>
      <c r="L64" s="41"/>
    </row>
    <row r="65" spans="1:26" ht="14.25">
      <c r="A65" s="23"/>
      <c r="B65" s="55"/>
      <c r="C65" s="55" t="s">
        <v>342</v>
      </c>
      <c r="D65" s="37" t="s">
        <v>343</v>
      </c>
      <c r="E65" s="10">
        <f>Source!BZ64</f>
        <v>83</v>
      </c>
      <c r="F65" s="58"/>
      <c r="G65" s="39"/>
      <c r="H65" s="40">
        <f>SUM(S59:S68)</f>
        <v>193.36</v>
      </c>
      <c r="I65" s="42"/>
      <c r="J65" s="36">
        <f>Source!AT64</f>
        <v>83</v>
      </c>
      <c r="K65" s="40">
        <f>SUM(T59:T68)</f>
        <v>6415.53</v>
      </c>
      <c r="L65" s="41"/>
    </row>
    <row r="66" spans="1:26" ht="14.25">
      <c r="A66" s="23"/>
      <c r="B66" s="55"/>
      <c r="C66" s="55" t="s">
        <v>344</v>
      </c>
      <c r="D66" s="37" t="s">
        <v>343</v>
      </c>
      <c r="E66" s="10">
        <f>Source!CA64</f>
        <v>65</v>
      </c>
      <c r="F66" s="58"/>
      <c r="G66" s="39"/>
      <c r="H66" s="40">
        <f>SUM(U59:U68)</f>
        <v>151.41999999999999</v>
      </c>
      <c r="I66" s="42"/>
      <c r="J66" s="36">
        <f>Source!AU64</f>
        <v>65</v>
      </c>
      <c r="K66" s="40">
        <f>SUM(V59:V68)</f>
        <v>5024.21</v>
      </c>
      <c r="L66" s="41"/>
    </row>
    <row r="67" spans="1:26" ht="14.25">
      <c r="A67" s="23"/>
      <c r="B67" s="55"/>
      <c r="C67" s="55" t="s">
        <v>345</v>
      </c>
      <c r="D67" s="37" t="s">
        <v>346</v>
      </c>
      <c r="E67" s="10">
        <f>Source!AQ64</f>
        <v>129.9</v>
      </c>
      <c r="F67" s="38"/>
      <c r="G67" s="39" t="str">
        <f>Source!DI64</f>
        <v/>
      </c>
      <c r="H67" s="40"/>
      <c r="I67" s="39"/>
      <c r="J67" s="39"/>
      <c r="K67" s="40"/>
      <c r="L67" s="51">
        <f>Source!U64</f>
        <v>25.980000000000004</v>
      </c>
    </row>
    <row r="68" spans="1:26" ht="14.25">
      <c r="A68" s="56" t="str">
        <f>Source!E65</f>
        <v>1,1</v>
      </c>
      <c r="B68" s="57" t="str">
        <f>Source!F65</f>
        <v>509-9900</v>
      </c>
      <c r="C68" s="57" t="str">
        <f>Source!G65</f>
        <v>Строительный мусор</v>
      </c>
      <c r="D68" s="43" t="str">
        <f>Source!H65</f>
        <v>т</v>
      </c>
      <c r="E68" s="44">
        <f>Source!I65</f>
        <v>0.29599999999999999</v>
      </c>
      <c r="F68" s="45">
        <f>Source!AL65+Source!AM65+Source!AO65</f>
        <v>0</v>
      </c>
      <c r="G68" s="52" t="s">
        <v>3</v>
      </c>
      <c r="H68" s="47">
        <f>ROUND(Source!AC65*Source!I65, 2)+ROUND(Source!AD65*Source!I65, 2)+ROUND(Source!AF65*Source!I65, 2)</f>
        <v>0</v>
      </c>
      <c r="I68" s="46"/>
      <c r="J68" s="46">
        <f>IF(Source!BC65&lt;&gt; 0, Source!BC65, 1)</f>
        <v>1</v>
      </c>
      <c r="K68" s="47">
        <f>Source!O65</f>
        <v>0</v>
      </c>
      <c r="L68" s="53"/>
      <c r="S68">
        <f>ROUND((Source!FX65/100)*((ROUND(Source!AF65*Source!I65, 2)+ROUND(Source!AE65*Source!I65, 2))), 2)</f>
        <v>0</v>
      </c>
      <c r="T68">
        <f>Source!X65</f>
        <v>0</v>
      </c>
      <c r="U68">
        <f>ROUND((Source!FY65/100)*((ROUND(Source!AF65*Source!I65, 2)+ROUND(Source!AE65*Source!I65, 2))), 2)</f>
        <v>0</v>
      </c>
      <c r="V68">
        <f>Source!Y65</f>
        <v>0</v>
      </c>
      <c r="W68">
        <f>IF(Source!BI65&lt;=1,H68, 0)</f>
        <v>0</v>
      </c>
      <c r="X68">
        <f>IF(Source!BI65=2,H68, 0)</f>
        <v>0</v>
      </c>
      <c r="Y68">
        <f>IF(Source!BI65=3,H68, 0)</f>
        <v>0</v>
      </c>
      <c r="Z68">
        <f>IF(Source!BI65=4,H68, 0)</f>
        <v>0</v>
      </c>
    </row>
    <row r="69" spans="1:26" ht="15">
      <c r="G69" s="60">
        <f>H61+H62+H64+H65+H66+SUM(H68:H68)</f>
        <v>813.15</v>
      </c>
      <c r="H69" s="60"/>
      <c r="J69" s="60">
        <f>K61+K62+K64+K65+K66+SUM(K68:K68)</f>
        <v>20633.969999999998</v>
      </c>
      <c r="K69" s="60"/>
      <c r="L69" s="49">
        <f>Source!U64</f>
        <v>25.980000000000004</v>
      </c>
      <c r="O69" s="32">
        <f>G69</f>
        <v>813.15</v>
      </c>
      <c r="P69" s="32">
        <f>J69</f>
        <v>20633.969999999998</v>
      </c>
      <c r="Q69" s="32">
        <f>L69</f>
        <v>25.980000000000004</v>
      </c>
      <c r="W69">
        <f>IF(Source!BI64&lt;=1,H61+H62+H64+H65+H66, 0)</f>
        <v>813.15</v>
      </c>
      <c r="X69">
        <f>IF(Source!BI64=2,H61+H62+H64+H65+H66, 0)</f>
        <v>0</v>
      </c>
      <c r="Y69">
        <f>IF(Source!BI64=3,H61+H62+H64+H65+H66, 0)</f>
        <v>0</v>
      </c>
      <c r="Z69">
        <f>IF(Source!BI64=4,H61+H62+H64+H65+H66, 0)</f>
        <v>0</v>
      </c>
    </row>
    <row r="70" spans="1:26" ht="79.5">
      <c r="A70" s="23" t="str">
        <f>Source!E66</f>
        <v>3</v>
      </c>
      <c r="B70" s="55" t="s">
        <v>349</v>
      </c>
      <c r="C70" s="55" t="str">
        <f>Source!G66</f>
        <v>Устройство кровель плоских из наплавляемых материалов в два слоя</v>
      </c>
      <c r="D70" s="37" t="str">
        <f>Source!H66</f>
        <v>100 м2 кровли</v>
      </c>
      <c r="E70" s="10">
        <f>Source!I66</f>
        <v>6.4749999999999996</v>
      </c>
      <c r="F70" s="38">
        <f>Source!AL66+Source!AM66+Source!AO66</f>
        <v>359.82</v>
      </c>
      <c r="G70" s="39"/>
      <c r="H70" s="40"/>
      <c r="I70" s="39" t="str">
        <f>Source!BO66</f>
        <v>12-01-002-9</v>
      </c>
      <c r="J70" s="39"/>
      <c r="K70" s="40"/>
      <c r="L70" s="41"/>
      <c r="S70">
        <f>ROUND((Source!FX66/100)*((ROUND(Source!AF66*Source!I66, 2)+ROUND(Source!AE66*Source!I66, 2))), 2)</f>
        <v>1109.0999999999999</v>
      </c>
      <c r="T70">
        <f>Source!X66</f>
        <v>36800.07</v>
      </c>
      <c r="U70">
        <f>ROUND((Source!FY66/100)*((ROUND(Source!AF66*Source!I66, 2)+ROUND(Source!AE66*Source!I66, 2))), 2)</f>
        <v>567.38</v>
      </c>
      <c r="V70">
        <f>Source!Y66</f>
        <v>18740.78</v>
      </c>
    </row>
    <row r="71" spans="1:26">
      <c r="C71" s="31" t="str">
        <f>"Объем: "&amp;Source!I66&amp;"=647,5/"&amp;"100"</f>
        <v>Объем: 6,475=647,5/100</v>
      </c>
    </row>
    <row r="72" spans="1:26" ht="14.25">
      <c r="A72" s="23"/>
      <c r="B72" s="55"/>
      <c r="C72" s="55" t="s">
        <v>341</v>
      </c>
      <c r="D72" s="37"/>
      <c r="E72" s="10"/>
      <c r="F72" s="38">
        <f>Source!AO66</f>
        <v>134.97999999999999</v>
      </c>
      <c r="G72" s="39" t="str">
        <f>Source!DG66</f>
        <v>)*1,15</v>
      </c>
      <c r="H72" s="40">
        <f>ROUND(Source!AF66*Source!I66, 2)</f>
        <v>1005.09</v>
      </c>
      <c r="I72" s="39"/>
      <c r="J72" s="39">
        <f>IF(Source!BA66&lt;&gt; 0, Source!BA66, 1)</f>
        <v>33.18</v>
      </c>
      <c r="K72" s="40">
        <f>Source!S66</f>
        <v>33349.050000000003</v>
      </c>
      <c r="L72" s="41"/>
      <c r="R72">
        <f>H72</f>
        <v>1005.09</v>
      </c>
    </row>
    <row r="73" spans="1:26" ht="14.25">
      <c r="A73" s="23"/>
      <c r="B73" s="55"/>
      <c r="C73" s="55" t="s">
        <v>46</v>
      </c>
      <c r="D73" s="37"/>
      <c r="E73" s="10"/>
      <c r="F73" s="38">
        <f>Source!AM66</f>
        <v>42.51</v>
      </c>
      <c r="G73" s="39" t="str">
        <f>Source!DE66</f>
        <v>)*1,25</v>
      </c>
      <c r="H73" s="40">
        <f>ROUND(Source!AD66*Source!I66, 2)</f>
        <v>344.07</v>
      </c>
      <c r="I73" s="39"/>
      <c r="J73" s="39">
        <f>IF(Source!BB66&lt;&gt; 0, Source!BB66, 1)</f>
        <v>8.31</v>
      </c>
      <c r="K73" s="40">
        <f>Source!Q66</f>
        <v>2859.18</v>
      </c>
      <c r="L73" s="41"/>
    </row>
    <row r="74" spans="1:26" ht="14.25">
      <c r="A74" s="23"/>
      <c r="B74" s="55"/>
      <c r="C74" s="55" t="s">
        <v>347</v>
      </c>
      <c r="D74" s="37"/>
      <c r="E74" s="10"/>
      <c r="F74" s="38">
        <f>Source!AN66</f>
        <v>2.7</v>
      </c>
      <c r="G74" s="39" t="str">
        <f>Source!DF66</f>
        <v>)*1,25</v>
      </c>
      <c r="H74" s="50">
        <f>ROUND(Source!AE66*Source!I66, 2)</f>
        <v>21.85</v>
      </c>
      <c r="I74" s="39"/>
      <c r="J74" s="39">
        <f>IF(Source!BS66&lt;&gt; 0, Source!BS66, 1)</f>
        <v>33.18</v>
      </c>
      <c r="K74" s="50">
        <f>Source!R66</f>
        <v>725.09</v>
      </c>
      <c r="L74" s="41"/>
      <c r="R74">
        <f>H74</f>
        <v>21.85</v>
      </c>
    </row>
    <row r="75" spans="1:26" ht="14.25">
      <c r="A75" s="23"/>
      <c r="B75" s="55"/>
      <c r="C75" s="55" t="s">
        <v>348</v>
      </c>
      <c r="D75" s="37"/>
      <c r="E75" s="10"/>
      <c r="F75" s="38">
        <f>Source!AL66</f>
        <v>182.33</v>
      </c>
      <c r="G75" s="39" t="str">
        <f>Source!DD66</f>
        <v/>
      </c>
      <c r="H75" s="40">
        <f>ROUND(Source!AC66*Source!I66, 2)</f>
        <v>1180.5899999999999</v>
      </c>
      <c r="I75" s="39"/>
      <c r="J75" s="39">
        <f>IF(Source!BC66&lt;&gt; 0, Source!BC66, 1)</f>
        <v>9.1199999999999992</v>
      </c>
      <c r="K75" s="40">
        <f>Source!P66</f>
        <v>10766.95</v>
      </c>
      <c r="L75" s="41"/>
    </row>
    <row r="76" spans="1:26" ht="14.25">
      <c r="A76" s="23"/>
      <c r="B76" s="55"/>
      <c r="C76" s="55" t="s">
        <v>342</v>
      </c>
      <c r="D76" s="37" t="s">
        <v>343</v>
      </c>
      <c r="E76" s="10">
        <f>Source!BZ66</f>
        <v>120</v>
      </c>
      <c r="F76" s="63" t="str">
        <f>CONCATENATE(" )", Source!DL66, Source!FT66, "=", Source!FX66)</f>
        <v xml:space="preserve"> )*0,9=108</v>
      </c>
      <c r="G76" s="64"/>
      <c r="H76" s="40">
        <f>SUM(S70:S80)</f>
        <v>1109.0999999999999</v>
      </c>
      <c r="I76" s="42"/>
      <c r="J76" s="36">
        <f>Source!AT66</f>
        <v>108</v>
      </c>
      <c r="K76" s="40">
        <f>SUM(T70:T80)</f>
        <v>36800.07</v>
      </c>
      <c r="L76" s="41"/>
    </row>
    <row r="77" spans="1:26" ht="14.25">
      <c r="A77" s="23"/>
      <c r="B77" s="55"/>
      <c r="C77" s="55" t="s">
        <v>344</v>
      </c>
      <c r="D77" s="37" t="s">
        <v>343</v>
      </c>
      <c r="E77" s="10">
        <f>Source!CA66</f>
        <v>65</v>
      </c>
      <c r="F77" s="63" t="str">
        <f>CONCATENATE(" )", Source!DM66, Source!FU66, "=", Source!FY66)</f>
        <v xml:space="preserve"> )*0,85=55,25</v>
      </c>
      <c r="G77" s="64"/>
      <c r="H77" s="40">
        <f>SUM(U70:U80)</f>
        <v>567.38</v>
      </c>
      <c r="I77" s="42"/>
      <c r="J77" s="36">
        <f>Source!AU66</f>
        <v>55</v>
      </c>
      <c r="K77" s="40">
        <f>SUM(V70:V80)</f>
        <v>18740.78</v>
      </c>
      <c r="L77" s="41"/>
    </row>
    <row r="78" spans="1:26" ht="14.25">
      <c r="A78" s="23"/>
      <c r="B78" s="55"/>
      <c r="C78" s="55" t="s">
        <v>345</v>
      </c>
      <c r="D78" s="37" t="s">
        <v>346</v>
      </c>
      <c r="E78" s="10">
        <f>Source!AQ66</f>
        <v>14.36</v>
      </c>
      <c r="F78" s="38"/>
      <c r="G78" s="39" t="str">
        <f>Source!DI66</f>
        <v>)*1,15</v>
      </c>
      <c r="H78" s="40"/>
      <c r="I78" s="39"/>
      <c r="J78" s="39"/>
      <c r="K78" s="40"/>
      <c r="L78" s="51">
        <f>Source!U66</f>
        <v>106.92814999999999</v>
      </c>
    </row>
    <row r="79" spans="1:26" ht="42.75">
      <c r="A79" s="23" t="str">
        <f>Source!E67</f>
        <v>3,4</v>
      </c>
      <c r="B79" s="55" t="str">
        <f>Source!F67</f>
        <v>цена постовщика</v>
      </c>
      <c r="C79" s="55" t="str">
        <f>Source!G67</f>
        <v>материал рулонные кровельные для верхнего слоя техниколь</v>
      </c>
      <c r="D79" s="37" t="str">
        <f>Source!H67</f>
        <v/>
      </c>
      <c r="E79" s="10">
        <f>Source!I67</f>
        <v>738.15</v>
      </c>
      <c r="F79" s="38">
        <f>Source!AL67+Source!AM67+Source!AO67</f>
        <v>190</v>
      </c>
      <c r="G79" s="54" t="s">
        <v>3</v>
      </c>
      <c r="H79" s="40">
        <f>ROUND(Source!AC67*Source!I67, 2)+ROUND(Source!AD67*Source!I67, 2)+ROUND(Source!AF67*Source!I67, 2)</f>
        <v>140248.5</v>
      </c>
      <c r="I79" s="39"/>
      <c r="J79" s="39">
        <f>IF(Source!BC67&lt;&gt; 0, Source!BC67, 1)</f>
        <v>1</v>
      </c>
      <c r="K79" s="40">
        <f>Source!O67</f>
        <v>140248.5</v>
      </c>
      <c r="L79" s="41"/>
      <c r="S79">
        <f>ROUND((Source!FX67/100)*((ROUND(Source!AF67*Source!I67, 2)+ROUND(Source!AE67*Source!I67, 2))), 2)</f>
        <v>0</v>
      </c>
      <c r="T79">
        <f>Source!X67</f>
        <v>0</v>
      </c>
      <c r="U79">
        <f>ROUND((Source!FY67/100)*((ROUND(Source!AF67*Source!I67, 2)+ROUND(Source!AE67*Source!I67, 2))), 2)</f>
        <v>0</v>
      </c>
      <c r="V79">
        <f>Source!Y67</f>
        <v>0</v>
      </c>
      <c r="W79">
        <f>IF(Source!BI67&lt;=1,H79, 0)</f>
        <v>140248.5</v>
      </c>
      <c r="X79">
        <f>IF(Source!BI67=2,H79, 0)</f>
        <v>0</v>
      </c>
      <c r="Y79">
        <f>IF(Source!BI67=3,H79, 0)</f>
        <v>0</v>
      </c>
      <c r="Z79">
        <f>IF(Source!BI67=4,H79, 0)</f>
        <v>0</v>
      </c>
    </row>
    <row r="80" spans="1:26" ht="42.75">
      <c r="A80" s="56" t="str">
        <f>Source!E68</f>
        <v>3,5</v>
      </c>
      <c r="B80" s="57" t="str">
        <f>Source!F68</f>
        <v>цена постовщика</v>
      </c>
      <c r="C80" s="57" t="str">
        <f>Source!G68</f>
        <v>материал рулонный кровельный для нижнего слоя техниколь</v>
      </c>
      <c r="D80" s="43" t="str">
        <f>Source!H68</f>
        <v/>
      </c>
      <c r="E80" s="44">
        <f>Source!I68</f>
        <v>751.1</v>
      </c>
      <c r="F80" s="45">
        <f>Source!AL68+Source!AM68+Source!AO68</f>
        <v>152</v>
      </c>
      <c r="G80" s="52" t="s">
        <v>3</v>
      </c>
      <c r="H80" s="47">
        <f>ROUND(Source!AC68*Source!I68, 2)+ROUND(Source!AD68*Source!I68, 2)+ROUND(Source!AF68*Source!I68, 2)</f>
        <v>114167.2</v>
      </c>
      <c r="I80" s="46"/>
      <c r="J80" s="46">
        <f>IF(Source!BC68&lt;&gt; 0, Source!BC68, 1)</f>
        <v>1</v>
      </c>
      <c r="K80" s="47">
        <f>Source!O68</f>
        <v>114167.2</v>
      </c>
      <c r="L80" s="53"/>
      <c r="S80">
        <f>ROUND((Source!FX68/100)*((ROUND(Source!AF68*Source!I68, 2)+ROUND(Source!AE68*Source!I68, 2))), 2)</f>
        <v>0</v>
      </c>
      <c r="T80">
        <f>Source!X68</f>
        <v>0</v>
      </c>
      <c r="U80">
        <f>ROUND((Source!FY68/100)*((ROUND(Source!AF68*Source!I68, 2)+ROUND(Source!AE68*Source!I68, 2))), 2)</f>
        <v>0</v>
      </c>
      <c r="V80">
        <f>Source!Y68</f>
        <v>0</v>
      </c>
      <c r="W80">
        <f>IF(Source!BI68&lt;=1,H80, 0)</f>
        <v>114167.2</v>
      </c>
      <c r="X80">
        <f>IF(Source!BI68=2,H80, 0)</f>
        <v>0</v>
      </c>
      <c r="Y80">
        <f>IF(Source!BI68=3,H80, 0)</f>
        <v>0</v>
      </c>
      <c r="Z80">
        <f>IF(Source!BI68=4,H80, 0)</f>
        <v>0</v>
      </c>
    </row>
    <row r="81" spans="1:26" ht="15">
      <c r="G81" s="60">
        <f>H72+H73+H75+H76+H77+SUM(H79:H80)</f>
        <v>258621.93000000002</v>
      </c>
      <c r="H81" s="60"/>
      <c r="J81" s="60">
        <f>K72+K73+K75+K76+K77+SUM(K79:K80)</f>
        <v>356931.73</v>
      </c>
      <c r="K81" s="60"/>
      <c r="L81" s="49">
        <f>Source!U66</f>
        <v>106.92814999999999</v>
      </c>
      <c r="O81" s="32">
        <f>G81</f>
        <v>258621.93000000002</v>
      </c>
      <c r="P81" s="32">
        <f>J81</f>
        <v>356931.73</v>
      </c>
      <c r="Q81" s="32">
        <f>L81</f>
        <v>106.92814999999999</v>
      </c>
      <c r="W81">
        <f>IF(Source!BI66&lt;=1,H72+H73+H75+H76+H77, 0)</f>
        <v>4206.2299999999996</v>
      </c>
      <c r="X81">
        <f>IF(Source!BI66=2,H72+H73+H75+H76+H77, 0)</f>
        <v>0</v>
      </c>
      <c r="Y81">
        <f>IF(Source!BI66=3,H72+H73+H75+H76+H77, 0)</f>
        <v>0</v>
      </c>
      <c r="Z81">
        <f>IF(Source!BI66=4,H72+H73+H75+H76+H77, 0)</f>
        <v>0</v>
      </c>
    </row>
    <row r="82" spans="1:26" ht="79.5">
      <c r="A82" s="23" t="str">
        <f>Source!E69</f>
        <v>7</v>
      </c>
      <c r="B82" s="55" t="s">
        <v>350</v>
      </c>
      <c r="C82" s="55" t="str">
        <f>Source!G69</f>
        <v>Устройство примыканий рулонных и мастичных кровель к стенам и парапетам высотой до 600 мм без фартуков</v>
      </c>
      <c r="D82" s="37" t="str">
        <f>Source!H69</f>
        <v>100 м примыканий</v>
      </c>
      <c r="E82" s="10">
        <f>Source!I69</f>
        <v>0.4</v>
      </c>
      <c r="F82" s="38">
        <f>Source!AL69+Source!AM69+Source!AO69</f>
        <v>2737.35</v>
      </c>
      <c r="G82" s="39"/>
      <c r="H82" s="40"/>
      <c r="I82" s="39" t="str">
        <f>Source!BO69</f>
        <v>12-01-004-1</v>
      </c>
      <c r="J82" s="39"/>
      <c r="K82" s="40"/>
      <c r="L82" s="41"/>
      <c r="S82">
        <f>ROUND((Source!FX69/100)*((ROUND(Source!AF69*Source!I69, 2)+ROUND(Source!AE69*Source!I69, 2))), 2)</f>
        <v>120.79</v>
      </c>
      <c r="T82">
        <f>Source!X69</f>
        <v>4007.58</v>
      </c>
      <c r="U82">
        <f>ROUND((Source!FY69/100)*((ROUND(Source!AF69*Source!I69, 2)+ROUND(Source!AE69*Source!I69, 2))), 2)</f>
        <v>61.79</v>
      </c>
      <c r="V82">
        <f>Source!Y69</f>
        <v>2040.9</v>
      </c>
    </row>
    <row r="83" spans="1:26">
      <c r="C83" s="31" t="str">
        <f>"Объем: "&amp;Source!I69&amp;"=40/"&amp;"100"</f>
        <v>Объем: 0,4=40/100</v>
      </c>
    </row>
    <row r="84" spans="1:26" ht="14.25">
      <c r="A84" s="23"/>
      <c r="B84" s="55"/>
      <c r="C84" s="55" t="s">
        <v>341</v>
      </c>
      <c r="D84" s="37"/>
      <c r="E84" s="10"/>
      <c r="F84" s="38">
        <f>Source!AO69</f>
        <v>239.6</v>
      </c>
      <c r="G84" s="39" t="str">
        <f>Source!DG69</f>
        <v>)*1,15</v>
      </c>
      <c r="H84" s="40">
        <f>ROUND(Source!AF69*Source!I69, 2)</f>
        <v>110.22</v>
      </c>
      <c r="I84" s="39"/>
      <c r="J84" s="39">
        <f>IF(Source!BA69&lt;&gt; 0, Source!BA69, 1)</f>
        <v>33.18</v>
      </c>
      <c r="K84" s="40">
        <f>Source!S69</f>
        <v>3656.97</v>
      </c>
      <c r="L84" s="41"/>
      <c r="R84">
        <f>H84</f>
        <v>110.22</v>
      </c>
    </row>
    <row r="85" spans="1:26" ht="14.25">
      <c r="A85" s="23"/>
      <c r="B85" s="55"/>
      <c r="C85" s="55" t="s">
        <v>46</v>
      </c>
      <c r="D85" s="37"/>
      <c r="E85" s="10"/>
      <c r="F85" s="38">
        <f>Source!AM69</f>
        <v>181.7</v>
      </c>
      <c r="G85" s="39" t="str">
        <f>Source!DE69</f>
        <v>)*1,25</v>
      </c>
      <c r="H85" s="40">
        <f>ROUND(Source!AD69*Source!I69, 2)</f>
        <v>90.85</v>
      </c>
      <c r="I85" s="39"/>
      <c r="J85" s="39">
        <f>IF(Source!BB69&lt;&gt; 0, Source!BB69, 1)</f>
        <v>5.29</v>
      </c>
      <c r="K85" s="40">
        <f>Source!Q69</f>
        <v>480.6</v>
      </c>
      <c r="L85" s="41"/>
    </row>
    <row r="86" spans="1:26" ht="14.25">
      <c r="A86" s="23"/>
      <c r="B86" s="55"/>
      <c r="C86" s="55" t="s">
        <v>347</v>
      </c>
      <c r="D86" s="37"/>
      <c r="E86" s="10"/>
      <c r="F86" s="38">
        <f>Source!AN69</f>
        <v>3.24</v>
      </c>
      <c r="G86" s="39" t="str">
        <f>Source!DF69</f>
        <v>)*1,25</v>
      </c>
      <c r="H86" s="50">
        <f>ROUND(Source!AE69*Source!I69, 2)</f>
        <v>1.62</v>
      </c>
      <c r="I86" s="39"/>
      <c r="J86" s="39">
        <f>IF(Source!BS69&lt;&gt; 0, Source!BS69, 1)</f>
        <v>33.18</v>
      </c>
      <c r="K86" s="50">
        <f>Source!R69</f>
        <v>53.75</v>
      </c>
      <c r="L86" s="41"/>
      <c r="R86">
        <f>H86</f>
        <v>1.62</v>
      </c>
    </row>
    <row r="87" spans="1:26" ht="14.25">
      <c r="A87" s="23"/>
      <c r="B87" s="55"/>
      <c r="C87" s="55" t="s">
        <v>348</v>
      </c>
      <c r="D87" s="37"/>
      <c r="E87" s="10"/>
      <c r="F87" s="38">
        <f>Source!AL69</f>
        <v>2316.0500000000002</v>
      </c>
      <c r="G87" s="39" t="str">
        <f>Source!DD69</f>
        <v/>
      </c>
      <c r="H87" s="40">
        <f>ROUND(Source!AC69*Source!I69, 2)</f>
        <v>926.42</v>
      </c>
      <c r="I87" s="39"/>
      <c r="J87" s="39">
        <f>IF(Source!BC69&lt;&gt; 0, Source!BC69, 1)</f>
        <v>6.38</v>
      </c>
      <c r="K87" s="40">
        <f>Source!P69</f>
        <v>5910.56</v>
      </c>
      <c r="L87" s="41"/>
    </row>
    <row r="88" spans="1:26" ht="14.25">
      <c r="A88" s="23"/>
      <c r="B88" s="55"/>
      <c r="C88" s="55" t="s">
        <v>342</v>
      </c>
      <c r="D88" s="37" t="s">
        <v>343</v>
      </c>
      <c r="E88" s="10">
        <f>Source!BZ69</f>
        <v>120</v>
      </c>
      <c r="F88" s="63" t="str">
        <f>CONCATENATE(" )", Source!DL69, Source!FT69, "=", Source!FX69)</f>
        <v xml:space="preserve"> )*0,9=108</v>
      </c>
      <c r="G88" s="64"/>
      <c r="H88" s="40">
        <f>SUM(S82:S91)</f>
        <v>120.79</v>
      </c>
      <c r="I88" s="42"/>
      <c r="J88" s="36">
        <f>Source!AT69</f>
        <v>108</v>
      </c>
      <c r="K88" s="40">
        <f>SUM(T82:T91)</f>
        <v>4007.58</v>
      </c>
      <c r="L88" s="41"/>
    </row>
    <row r="89" spans="1:26" ht="14.25">
      <c r="A89" s="23"/>
      <c r="B89" s="55"/>
      <c r="C89" s="55" t="s">
        <v>344</v>
      </c>
      <c r="D89" s="37" t="s">
        <v>343</v>
      </c>
      <c r="E89" s="10">
        <f>Source!CA69</f>
        <v>65</v>
      </c>
      <c r="F89" s="63" t="str">
        <f>CONCATENATE(" )", Source!DM69, Source!FU69, "=", Source!FY69)</f>
        <v xml:space="preserve"> )*0,85=55,25</v>
      </c>
      <c r="G89" s="64"/>
      <c r="H89" s="40">
        <f>SUM(U82:U91)</f>
        <v>61.79</v>
      </c>
      <c r="I89" s="42"/>
      <c r="J89" s="36">
        <f>Source!AU69</f>
        <v>55</v>
      </c>
      <c r="K89" s="40">
        <f>SUM(V82:V91)</f>
        <v>2040.9</v>
      </c>
      <c r="L89" s="41"/>
    </row>
    <row r="90" spans="1:26" ht="14.25">
      <c r="A90" s="23"/>
      <c r="B90" s="55"/>
      <c r="C90" s="55" t="s">
        <v>345</v>
      </c>
      <c r="D90" s="37" t="s">
        <v>346</v>
      </c>
      <c r="E90" s="10">
        <f>Source!AQ69</f>
        <v>26.1</v>
      </c>
      <c r="F90" s="38"/>
      <c r="G90" s="39" t="str">
        <f>Source!DI69</f>
        <v>)*1,15</v>
      </c>
      <c r="H90" s="40"/>
      <c r="I90" s="39"/>
      <c r="J90" s="39"/>
      <c r="K90" s="40"/>
      <c r="L90" s="51">
        <f>Source!U69</f>
        <v>12.006</v>
      </c>
    </row>
    <row r="91" spans="1:26" ht="42.75">
      <c r="A91" s="56" t="str">
        <f>Source!E70</f>
        <v>7,2</v>
      </c>
      <c r="B91" s="57" t="str">
        <f>Source!F70</f>
        <v>цена постовщика</v>
      </c>
      <c r="C91" s="57" t="str">
        <f>Source!G70</f>
        <v>рулонные кровельные техниколь</v>
      </c>
      <c r="D91" s="43" t="str">
        <f>Source!H70</f>
        <v/>
      </c>
      <c r="E91" s="44">
        <f>Source!I70</f>
        <v>100.8</v>
      </c>
      <c r="F91" s="45">
        <f>Source!AL70+Source!AM70+Source!AO70</f>
        <v>190</v>
      </c>
      <c r="G91" s="52" t="s">
        <v>3</v>
      </c>
      <c r="H91" s="47">
        <f>ROUND(Source!AC70*Source!I70, 2)+ROUND(Source!AD70*Source!I70, 2)+ROUND(Source!AF70*Source!I70, 2)</f>
        <v>19152</v>
      </c>
      <c r="I91" s="46"/>
      <c r="J91" s="46">
        <f>IF(Source!BC70&lt;&gt; 0, Source!BC70, 1)</f>
        <v>1</v>
      </c>
      <c r="K91" s="47">
        <f>Source!O70</f>
        <v>19152</v>
      </c>
      <c r="L91" s="53"/>
      <c r="S91">
        <f>ROUND((Source!FX70/100)*((ROUND(Source!AF70*Source!I70, 2)+ROUND(Source!AE70*Source!I70, 2))), 2)</f>
        <v>0</v>
      </c>
      <c r="T91">
        <f>Source!X70</f>
        <v>0</v>
      </c>
      <c r="U91">
        <f>ROUND((Source!FY70/100)*((ROUND(Source!AF70*Source!I70, 2)+ROUND(Source!AE70*Source!I70, 2))), 2)</f>
        <v>0</v>
      </c>
      <c r="V91">
        <f>Source!Y70</f>
        <v>0</v>
      </c>
      <c r="W91">
        <f>IF(Source!BI70&lt;=1,H91, 0)</f>
        <v>19152</v>
      </c>
      <c r="X91">
        <f>IF(Source!BI70=2,H91, 0)</f>
        <v>0</v>
      </c>
      <c r="Y91">
        <f>IF(Source!BI70=3,H91, 0)</f>
        <v>0</v>
      </c>
      <c r="Z91">
        <f>IF(Source!BI70=4,H91, 0)</f>
        <v>0</v>
      </c>
    </row>
    <row r="92" spans="1:26" ht="15">
      <c r="G92" s="60">
        <f>H84+H85+H87+H88+H89+SUM(H91:H91)</f>
        <v>20462.07</v>
      </c>
      <c r="H92" s="60"/>
      <c r="J92" s="60">
        <f>K84+K85+K87+K88+K89+SUM(K91:K91)</f>
        <v>35248.61</v>
      </c>
      <c r="K92" s="60"/>
      <c r="L92" s="49">
        <f>Source!U69</f>
        <v>12.006</v>
      </c>
      <c r="O92" s="32">
        <f>G92</f>
        <v>20462.07</v>
      </c>
      <c r="P92" s="32">
        <f>J92</f>
        <v>35248.61</v>
      </c>
      <c r="Q92" s="32">
        <f>L92</f>
        <v>12.006</v>
      </c>
      <c r="W92">
        <f>IF(Source!BI69&lt;=1,H84+H85+H87+H88+H89, 0)</f>
        <v>1310.07</v>
      </c>
      <c r="X92">
        <f>IF(Source!BI69=2,H84+H85+H87+H88+H89, 0)</f>
        <v>0</v>
      </c>
      <c r="Y92">
        <f>IF(Source!BI69=3,H84+H85+H87+H88+H89, 0)</f>
        <v>0</v>
      </c>
      <c r="Z92">
        <f>IF(Source!BI69=4,H84+H85+H87+H88+H89, 0)</f>
        <v>0</v>
      </c>
    </row>
    <row r="93" spans="1:26" ht="79.5">
      <c r="A93" s="23" t="str">
        <f>Source!E71</f>
        <v>12</v>
      </c>
      <c r="B93" s="55" t="s">
        <v>351</v>
      </c>
      <c r="C93" s="55" t="str">
        <f>Source!G71</f>
        <v>Установка воронок водосточных</v>
      </c>
      <c r="D93" s="37" t="str">
        <f>Source!H71</f>
        <v>1 воронка</v>
      </c>
      <c r="E93" s="10">
        <f>Source!I71</f>
        <v>4</v>
      </c>
      <c r="F93" s="38">
        <f>Source!AL71+Source!AM71+Source!AO71</f>
        <v>391.46</v>
      </c>
      <c r="G93" s="39"/>
      <c r="H93" s="40"/>
      <c r="I93" s="39" t="str">
        <f>Source!BO71</f>
        <v>16-07-002-1</v>
      </c>
      <c r="J93" s="39"/>
      <c r="K93" s="40"/>
      <c r="L93" s="41"/>
      <c r="S93">
        <f>ROUND((Source!FX71/100)*((ROUND(Source!AF71*Source!I71, 2)+ROUND(Source!AE71*Source!I71, 2))), 2)</f>
        <v>152.84</v>
      </c>
      <c r="T93">
        <f>Source!X71</f>
        <v>5062.45</v>
      </c>
      <c r="U93">
        <f>ROUND((Source!FY71/100)*((ROUND(Source!AF71*Source!I71, 2)+ROUND(Source!AE71*Source!I71, 2))), 2)</f>
        <v>93.6</v>
      </c>
      <c r="V93">
        <f>Source!Y71</f>
        <v>3125.51</v>
      </c>
    </row>
    <row r="94" spans="1:26" ht="14.25">
      <c r="A94" s="23"/>
      <c r="B94" s="55"/>
      <c r="C94" s="55" t="s">
        <v>341</v>
      </c>
      <c r="D94" s="37"/>
      <c r="E94" s="10"/>
      <c r="F94" s="38">
        <f>Source!AO71</f>
        <v>28.69</v>
      </c>
      <c r="G94" s="39" t="str">
        <f>Source!DG71</f>
        <v>)*1,15</v>
      </c>
      <c r="H94" s="40">
        <f>ROUND(Source!AF71*Source!I71, 2)</f>
        <v>131.97</v>
      </c>
      <c r="I94" s="39"/>
      <c r="J94" s="39">
        <f>IF(Source!BA71&lt;&gt; 0, Source!BA71, 1)</f>
        <v>33.18</v>
      </c>
      <c r="K94" s="40">
        <f>Source!S71</f>
        <v>4378.8999999999996</v>
      </c>
      <c r="L94" s="41"/>
      <c r="R94">
        <f>H94</f>
        <v>131.97</v>
      </c>
    </row>
    <row r="95" spans="1:26" ht="14.25">
      <c r="A95" s="23"/>
      <c r="B95" s="55"/>
      <c r="C95" s="55" t="s">
        <v>46</v>
      </c>
      <c r="D95" s="37"/>
      <c r="E95" s="10"/>
      <c r="F95" s="38">
        <f>Source!AM71</f>
        <v>14.7</v>
      </c>
      <c r="G95" s="39" t="str">
        <f>Source!DE71</f>
        <v>)*1,25</v>
      </c>
      <c r="H95" s="40">
        <f>ROUND(Source!AD71*Source!I71, 2)</f>
        <v>73.5</v>
      </c>
      <c r="I95" s="39"/>
      <c r="J95" s="39">
        <f>IF(Source!BB71&lt;&gt; 0, Source!BB71, 1)</f>
        <v>7.8</v>
      </c>
      <c r="K95" s="40">
        <f>Source!Q71</f>
        <v>573.29999999999995</v>
      </c>
      <c r="L95" s="41"/>
    </row>
    <row r="96" spans="1:26" ht="14.25">
      <c r="A96" s="23"/>
      <c r="B96" s="55"/>
      <c r="C96" s="55" t="s">
        <v>347</v>
      </c>
      <c r="D96" s="37"/>
      <c r="E96" s="10"/>
      <c r="F96" s="38">
        <f>Source!AN71</f>
        <v>0.14000000000000001</v>
      </c>
      <c r="G96" s="39" t="str">
        <f>Source!DF71</f>
        <v>)*1,25</v>
      </c>
      <c r="H96" s="50">
        <f>ROUND(Source!AE71*Source!I71, 2)</f>
        <v>0.7</v>
      </c>
      <c r="I96" s="39"/>
      <c r="J96" s="39">
        <f>IF(Source!BS71&lt;&gt; 0, Source!BS71, 1)</f>
        <v>33.18</v>
      </c>
      <c r="K96" s="50">
        <f>Source!R71</f>
        <v>23.23</v>
      </c>
      <c r="L96" s="41"/>
      <c r="R96">
        <f>H96</f>
        <v>0.7</v>
      </c>
    </row>
    <row r="97" spans="1:26" ht="14.25">
      <c r="A97" s="23"/>
      <c r="B97" s="55"/>
      <c r="C97" s="55" t="s">
        <v>348</v>
      </c>
      <c r="D97" s="37"/>
      <c r="E97" s="10"/>
      <c r="F97" s="38">
        <f>Source!AL71</f>
        <v>348.07</v>
      </c>
      <c r="G97" s="39" t="str">
        <f>Source!DD71</f>
        <v/>
      </c>
      <c r="H97" s="40">
        <f>ROUND(Source!AC71*Source!I71, 2)</f>
        <v>1392.28</v>
      </c>
      <c r="I97" s="39"/>
      <c r="J97" s="39">
        <f>IF(Source!BC71&lt;&gt; 0, Source!BC71, 1)</f>
        <v>6.06</v>
      </c>
      <c r="K97" s="40">
        <f>Source!P71</f>
        <v>8437.2199999999993</v>
      </c>
      <c r="L97" s="41"/>
    </row>
    <row r="98" spans="1:26" ht="14.25">
      <c r="A98" s="23"/>
      <c r="B98" s="55"/>
      <c r="C98" s="55" t="s">
        <v>342</v>
      </c>
      <c r="D98" s="37" t="s">
        <v>343</v>
      </c>
      <c r="E98" s="10">
        <f>Source!BZ71</f>
        <v>128</v>
      </c>
      <c r="F98" s="63" t="str">
        <f>CONCATENATE(" )", Source!DL71, Source!FT71, "=", Source!FX71)</f>
        <v xml:space="preserve"> )*0,9=115,2</v>
      </c>
      <c r="G98" s="64"/>
      <c r="H98" s="40">
        <f>SUM(S93:S100)</f>
        <v>152.84</v>
      </c>
      <c r="I98" s="42"/>
      <c r="J98" s="36">
        <f>Source!AT71</f>
        <v>115</v>
      </c>
      <c r="K98" s="40">
        <f>SUM(T93:T100)</f>
        <v>5062.45</v>
      </c>
      <c r="L98" s="41"/>
    </row>
    <row r="99" spans="1:26" ht="14.25">
      <c r="A99" s="23"/>
      <c r="B99" s="55"/>
      <c r="C99" s="55" t="s">
        <v>344</v>
      </c>
      <c r="D99" s="37" t="s">
        <v>343</v>
      </c>
      <c r="E99" s="10">
        <f>Source!CA71</f>
        <v>83</v>
      </c>
      <c r="F99" s="63" t="str">
        <f>CONCATENATE(" )", Source!DM71, Source!FU71, "=", Source!FY71)</f>
        <v xml:space="preserve"> )*0,85=70,55</v>
      </c>
      <c r="G99" s="64"/>
      <c r="H99" s="40">
        <f>SUM(U93:U100)</f>
        <v>93.6</v>
      </c>
      <c r="I99" s="42"/>
      <c r="J99" s="36">
        <f>Source!AU71</f>
        <v>71</v>
      </c>
      <c r="K99" s="40">
        <f>SUM(V93:V100)</f>
        <v>3125.51</v>
      </c>
      <c r="L99" s="41"/>
    </row>
    <row r="100" spans="1:26" ht="14.25">
      <c r="A100" s="56"/>
      <c r="B100" s="57"/>
      <c r="C100" s="57" t="s">
        <v>345</v>
      </c>
      <c r="D100" s="43" t="s">
        <v>346</v>
      </c>
      <c r="E100" s="44">
        <f>Source!AQ71</f>
        <v>2.94</v>
      </c>
      <c r="F100" s="45"/>
      <c r="G100" s="46" t="str">
        <f>Source!DI71</f>
        <v>)*1,15</v>
      </c>
      <c r="H100" s="47"/>
      <c r="I100" s="46"/>
      <c r="J100" s="46"/>
      <c r="K100" s="47"/>
      <c r="L100" s="48">
        <f>Source!U71</f>
        <v>13.523999999999999</v>
      </c>
    </row>
    <row r="101" spans="1:26" ht="15">
      <c r="G101" s="60">
        <f>H94+H95+H97+H98+H99</f>
        <v>1844.1899999999998</v>
      </c>
      <c r="H101" s="60"/>
      <c r="J101" s="60">
        <f>K94+K95+K97+K98+K99</f>
        <v>21577.379999999997</v>
      </c>
      <c r="K101" s="60"/>
      <c r="L101" s="49">
        <f>Source!U71</f>
        <v>13.523999999999999</v>
      </c>
      <c r="O101" s="32">
        <f>G101</f>
        <v>1844.1899999999998</v>
      </c>
      <c r="P101" s="32">
        <f>J101</f>
        <v>21577.379999999997</v>
      </c>
      <c r="Q101" s="32">
        <f>L101</f>
        <v>13.523999999999999</v>
      </c>
      <c r="W101">
        <f>IF(Source!BI71&lt;=1,H94+H95+H97+H98+H99, 0)</f>
        <v>1844.1899999999998</v>
      </c>
      <c r="X101">
        <f>IF(Source!BI71=2,H94+H95+H97+H98+H99, 0)</f>
        <v>0</v>
      </c>
      <c r="Y101">
        <f>IF(Source!BI71=3,H94+H95+H97+H98+H99, 0)</f>
        <v>0</v>
      </c>
      <c r="Z101">
        <f>IF(Source!BI71=4,H94+H95+H97+H98+H99, 0)</f>
        <v>0</v>
      </c>
    </row>
    <row r="102" spans="1:26" ht="79.5">
      <c r="A102" s="23" t="str">
        <f>Source!E72</f>
        <v>13</v>
      </c>
      <c r="B102" s="55" t="s">
        <v>352</v>
      </c>
      <c r="C102" s="55" t="str">
        <f>Source!G72</f>
        <v>Устройство желобов подвесных</v>
      </c>
      <c r="D102" s="37" t="str">
        <f>Source!H72</f>
        <v>100 М ЖЕЛОБОВ</v>
      </c>
      <c r="E102" s="10">
        <f>Source!I72</f>
        <v>1.1000000000000001</v>
      </c>
      <c r="F102" s="38">
        <f>Source!AL72+Source!AM72+Source!AO72</f>
        <v>6746.91</v>
      </c>
      <c r="G102" s="39"/>
      <c r="H102" s="40"/>
      <c r="I102" s="39" t="str">
        <f>Source!BO72</f>
        <v>12-01-009-2</v>
      </c>
      <c r="J102" s="39"/>
      <c r="K102" s="40"/>
      <c r="L102" s="41"/>
      <c r="S102">
        <f>ROUND((Source!FX72/100)*((ROUND(Source!AF72*Source!I72, 2)+ROUND(Source!AE72*Source!I72, 2))), 2)</f>
        <v>369.25</v>
      </c>
      <c r="T102">
        <f>Source!X72</f>
        <v>12251.83</v>
      </c>
      <c r="U102">
        <f>ROUND((Source!FY72/100)*((ROUND(Source!AF72*Source!I72, 2)+ROUND(Source!AE72*Source!I72, 2))), 2)</f>
        <v>188.9</v>
      </c>
      <c r="V102">
        <f>Source!Y72</f>
        <v>6239.36</v>
      </c>
    </row>
    <row r="103" spans="1:26">
      <c r="C103" s="31" t="str">
        <f>"Объем: "&amp;Source!I72&amp;"=110/"&amp;"100"</f>
        <v>Объем: 1,1=110/100</v>
      </c>
    </row>
    <row r="104" spans="1:26" ht="14.25">
      <c r="A104" s="23"/>
      <c r="B104" s="55"/>
      <c r="C104" s="55" t="s">
        <v>341</v>
      </c>
      <c r="D104" s="37"/>
      <c r="E104" s="10"/>
      <c r="F104" s="38">
        <f>Source!AO72</f>
        <v>267.93</v>
      </c>
      <c r="G104" s="39" t="str">
        <f>Source!DG72</f>
        <v>)*1,15</v>
      </c>
      <c r="H104" s="40">
        <f>ROUND(Source!AF72*Source!I72, 2)</f>
        <v>338.93</v>
      </c>
      <c r="I104" s="39"/>
      <c r="J104" s="39">
        <f>IF(Source!BA72&lt;&gt; 0, Source!BA72, 1)</f>
        <v>33.18</v>
      </c>
      <c r="K104" s="40">
        <f>Source!S72</f>
        <v>11245.75</v>
      </c>
      <c r="L104" s="41"/>
      <c r="R104">
        <f>H104</f>
        <v>338.93</v>
      </c>
    </row>
    <row r="105" spans="1:26" ht="14.25">
      <c r="A105" s="23"/>
      <c r="B105" s="55"/>
      <c r="C105" s="55" t="s">
        <v>46</v>
      </c>
      <c r="D105" s="37"/>
      <c r="E105" s="10"/>
      <c r="F105" s="38">
        <f>Source!AM72</f>
        <v>22.95</v>
      </c>
      <c r="G105" s="39" t="str">
        <f>Source!DE72</f>
        <v>)*1,25</v>
      </c>
      <c r="H105" s="40">
        <f>ROUND(Source!AD72*Source!I72, 2)</f>
        <v>31.56</v>
      </c>
      <c r="I105" s="39"/>
      <c r="J105" s="39">
        <f>IF(Source!BB72&lt;&gt; 0, Source!BB72, 1)</f>
        <v>10.32</v>
      </c>
      <c r="K105" s="40">
        <f>Source!Q72</f>
        <v>325.66000000000003</v>
      </c>
      <c r="L105" s="41"/>
    </row>
    <row r="106" spans="1:26" ht="14.25">
      <c r="A106" s="23"/>
      <c r="B106" s="55"/>
      <c r="C106" s="55" t="s">
        <v>347</v>
      </c>
      <c r="D106" s="37"/>
      <c r="E106" s="10"/>
      <c r="F106" s="38">
        <f>Source!AN72</f>
        <v>2.16</v>
      </c>
      <c r="G106" s="39" t="str">
        <f>Source!DF72</f>
        <v>)*1,25</v>
      </c>
      <c r="H106" s="50">
        <f>ROUND(Source!AE72*Source!I72, 2)</f>
        <v>2.97</v>
      </c>
      <c r="I106" s="39"/>
      <c r="J106" s="39">
        <f>IF(Source!BS72&lt;&gt; 0, Source!BS72, 1)</f>
        <v>33.18</v>
      </c>
      <c r="K106" s="50">
        <f>Source!R72</f>
        <v>98.54</v>
      </c>
      <c r="L106" s="41"/>
      <c r="R106">
        <f>H106</f>
        <v>2.97</v>
      </c>
    </row>
    <row r="107" spans="1:26" ht="14.25">
      <c r="A107" s="23"/>
      <c r="B107" s="55"/>
      <c r="C107" s="55" t="s">
        <v>348</v>
      </c>
      <c r="D107" s="37"/>
      <c r="E107" s="10"/>
      <c r="F107" s="38">
        <f>Source!AL72</f>
        <v>6456.03</v>
      </c>
      <c r="G107" s="39" t="str">
        <f>Source!DD72</f>
        <v/>
      </c>
      <c r="H107" s="40">
        <f>ROUND(Source!AC72*Source!I72, 2)</f>
        <v>7101.63</v>
      </c>
      <c r="I107" s="39"/>
      <c r="J107" s="39">
        <f>IF(Source!BC72&lt;&gt; 0, Source!BC72, 1)</f>
        <v>6.92</v>
      </c>
      <c r="K107" s="40">
        <f>Source!P72</f>
        <v>49143.3</v>
      </c>
      <c r="L107" s="41"/>
    </row>
    <row r="108" spans="1:26" ht="14.25">
      <c r="A108" s="23"/>
      <c r="B108" s="55"/>
      <c r="C108" s="55" t="s">
        <v>342</v>
      </c>
      <c r="D108" s="37" t="s">
        <v>343</v>
      </c>
      <c r="E108" s="10">
        <f>Source!BZ72</f>
        <v>120</v>
      </c>
      <c r="F108" s="63" t="str">
        <f>CONCATENATE(" )", Source!DL72, Source!FT72, "=", Source!FX72)</f>
        <v xml:space="preserve"> )*0,9=108</v>
      </c>
      <c r="G108" s="64"/>
      <c r="H108" s="40">
        <f>SUM(S102:S110)</f>
        <v>369.25</v>
      </c>
      <c r="I108" s="42"/>
      <c r="J108" s="36">
        <f>Source!AT72</f>
        <v>108</v>
      </c>
      <c r="K108" s="40">
        <f>SUM(T102:T110)</f>
        <v>12251.83</v>
      </c>
      <c r="L108" s="41"/>
    </row>
    <row r="109" spans="1:26" ht="14.25">
      <c r="A109" s="23"/>
      <c r="B109" s="55"/>
      <c r="C109" s="55" t="s">
        <v>344</v>
      </c>
      <c r="D109" s="37" t="s">
        <v>343</v>
      </c>
      <c r="E109" s="10">
        <f>Source!CA72</f>
        <v>65</v>
      </c>
      <c r="F109" s="63" t="str">
        <f>CONCATENATE(" )", Source!DM72, Source!FU72, "=", Source!FY72)</f>
        <v xml:space="preserve"> )*0,85=55,25</v>
      </c>
      <c r="G109" s="64"/>
      <c r="H109" s="40">
        <f>SUM(U102:U110)</f>
        <v>188.9</v>
      </c>
      <c r="I109" s="42"/>
      <c r="J109" s="36">
        <f>Source!AU72</f>
        <v>55</v>
      </c>
      <c r="K109" s="40">
        <f>SUM(V102:V110)</f>
        <v>6239.36</v>
      </c>
      <c r="L109" s="41"/>
    </row>
    <row r="110" spans="1:26" ht="14.25">
      <c r="A110" s="56"/>
      <c r="B110" s="57"/>
      <c r="C110" s="57" t="s">
        <v>345</v>
      </c>
      <c r="D110" s="43" t="s">
        <v>346</v>
      </c>
      <c r="E110" s="44">
        <f>Source!AQ72</f>
        <v>31.41</v>
      </c>
      <c r="F110" s="45"/>
      <c r="G110" s="46" t="str">
        <f>Source!DI72</f>
        <v>)*1,15</v>
      </c>
      <c r="H110" s="47"/>
      <c r="I110" s="46"/>
      <c r="J110" s="46"/>
      <c r="K110" s="47"/>
      <c r="L110" s="48">
        <f>Source!U72</f>
        <v>39.733649999999997</v>
      </c>
    </row>
    <row r="111" spans="1:26" ht="15">
      <c r="G111" s="60">
        <f>H104+H105+H107+H108+H109</f>
        <v>8030.2699999999995</v>
      </c>
      <c r="H111" s="60"/>
      <c r="J111" s="60">
        <f>K104+K105+K107+K108+K109</f>
        <v>79205.900000000009</v>
      </c>
      <c r="K111" s="60"/>
      <c r="L111" s="49">
        <f>Source!U72</f>
        <v>39.733649999999997</v>
      </c>
      <c r="O111" s="32">
        <f>G111</f>
        <v>8030.2699999999995</v>
      </c>
      <c r="P111" s="32">
        <f>J111</f>
        <v>79205.900000000009</v>
      </c>
      <c r="Q111" s="32">
        <f>L111</f>
        <v>39.733649999999997</v>
      </c>
      <c r="W111">
        <f>IF(Source!BI72&lt;=1,H104+H105+H107+H108+H109, 0)</f>
        <v>8030.2699999999995</v>
      </c>
      <c r="X111">
        <f>IF(Source!BI72=2,H104+H105+H107+H108+H109, 0)</f>
        <v>0</v>
      </c>
      <c r="Y111">
        <f>IF(Source!BI72=3,H104+H105+H107+H108+H109, 0)</f>
        <v>0</v>
      </c>
      <c r="Z111">
        <f>IF(Source!BI72=4,H104+H105+H107+H108+H109, 0)</f>
        <v>0</v>
      </c>
    </row>
    <row r="112" spans="1:26" ht="42.75">
      <c r="A112" s="23" t="str">
        <f>Source!E73</f>
        <v>14</v>
      </c>
      <c r="B112" s="55" t="str">
        <f>Source!F73</f>
        <v>т01-01-01-041</v>
      </c>
      <c r="C112" s="55" t="str">
        <f>Source!G73</f>
        <v>Погрузка при автомобильных перевозках мусора строительного с погрузкой вручную</v>
      </c>
      <c r="D112" s="37" t="str">
        <f>Source!H73</f>
        <v>1 Т ГРУЗА</v>
      </c>
      <c r="E112" s="10">
        <f>Source!I73</f>
        <v>0.6</v>
      </c>
      <c r="F112" s="38">
        <f>Source!AL73+Source!AM73+Source!AO73</f>
        <v>42.98</v>
      </c>
      <c r="G112" s="39"/>
      <c r="H112" s="40"/>
      <c r="I112" s="39" t="str">
        <f>Source!BO73</f>
        <v/>
      </c>
      <c r="J112" s="39"/>
      <c r="K112" s="40"/>
      <c r="L112" s="41"/>
      <c r="S112">
        <f>ROUND((Source!FX73/100)*((ROUND(Source!AF73*Source!I73, 2)+ROUND(Source!AE73*Source!I73, 2))), 2)</f>
        <v>0</v>
      </c>
      <c r="T112">
        <f>Source!X73</f>
        <v>0</v>
      </c>
      <c r="U112">
        <f>ROUND((Source!FY73/100)*((ROUND(Source!AF73*Source!I73, 2)+ROUND(Source!AE73*Source!I73, 2))), 2)</f>
        <v>0</v>
      </c>
      <c r="V112">
        <f>Source!Y73</f>
        <v>0</v>
      </c>
    </row>
    <row r="113" spans="1:32" ht="14.25">
      <c r="A113" s="56"/>
      <c r="B113" s="57"/>
      <c r="C113" s="57" t="s">
        <v>46</v>
      </c>
      <c r="D113" s="43"/>
      <c r="E113" s="44"/>
      <c r="F113" s="45">
        <f>Source!AM73</f>
        <v>42.98</v>
      </c>
      <c r="G113" s="46" t="str">
        <f>Source!DE73</f>
        <v/>
      </c>
      <c r="H113" s="47">
        <f>ROUND(Source!AD73*Source!I73, 2)</f>
        <v>25.79</v>
      </c>
      <c r="I113" s="46"/>
      <c r="J113" s="46">
        <f>IF(Source!BB73&lt;&gt; 0, Source!BB73, 1)</f>
        <v>14.47</v>
      </c>
      <c r="K113" s="47">
        <f>Source!Q73</f>
        <v>373.15</v>
      </c>
      <c r="L113" s="53"/>
    </row>
    <row r="114" spans="1:32" ht="15">
      <c r="G114" s="60">
        <f>H113</f>
        <v>25.79</v>
      </c>
      <c r="H114" s="60"/>
      <c r="J114" s="60">
        <f>K113</f>
        <v>373.15</v>
      </c>
      <c r="K114" s="60"/>
      <c r="L114" s="49">
        <f>Source!U73</f>
        <v>0</v>
      </c>
      <c r="O114" s="32">
        <f>G114</f>
        <v>25.79</v>
      </c>
      <c r="P114" s="32">
        <f>J114</f>
        <v>373.15</v>
      </c>
      <c r="Q114" s="32">
        <f>L114</f>
        <v>0</v>
      </c>
      <c r="W114">
        <f>IF(Source!BI73&lt;=1,H113, 0)</f>
        <v>25.79</v>
      </c>
      <c r="X114">
        <f>IF(Source!BI73=2,H113, 0)</f>
        <v>0</v>
      </c>
      <c r="Y114">
        <f>IF(Source!BI73=3,H113, 0)</f>
        <v>0</v>
      </c>
      <c r="Z114">
        <f>IF(Source!BI73=4,H113, 0)</f>
        <v>0</v>
      </c>
    </row>
    <row r="115" spans="1:32" ht="57">
      <c r="A115" s="23" t="str">
        <f>Source!E74</f>
        <v>16</v>
      </c>
      <c r="B115" s="55" t="str">
        <f>Source!F74</f>
        <v>т03-01-01-040</v>
      </c>
      <c r="C115" s="55" t="str">
        <f>Source!G74</f>
        <v>Перевозка грузов I класса автомобилями бортовыми грузоподъемностью до 15 т на расстояние до 40 км</v>
      </c>
      <c r="D115" s="37" t="str">
        <f>Source!H74</f>
        <v>1 Т ГРУЗА</v>
      </c>
      <c r="E115" s="10">
        <f>Source!I74</f>
        <v>0.6</v>
      </c>
      <c r="F115" s="38">
        <f>Source!AL74+Source!AM74+Source!AO74</f>
        <v>20.91</v>
      </c>
      <c r="G115" s="39"/>
      <c r="H115" s="40"/>
      <c r="I115" s="39" t="str">
        <f>Source!BO74</f>
        <v/>
      </c>
      <c r="J115" s="39"/>
      <c r="K115" s="40"/>
      <c r="L115" s="41"/>
      <c r="S115">
        <f>ROUND((Source!FX74/100)*((ROUND(Source!AF74*Source!I74, 2)+ROUND(Source!AE74*Source!I74, 2))), 2)</f>
        <v>0</v>
      </c>
      <c r="T115">
        <f>Source!X74</f>
        <v>0</v>
      </c>
      <c r="U115">
        <f>ROUND((Source!FY74/100)*((ROUND(Source!AF74*Source!I74, 2)+ROUND(Source!AE74*Source!I74, 2))), 2)</f>
        <v>0</v>
      </c>
      <c r="V115">
        <f>Source!Y74</f>
        <v>0</v>
      </c>
    </row>
    <row r="116" spans="1:32" ht="14.25">
      <c r="A116" s="56"/>
      <c r="B116" s="57"/>
      <c r="C116" s="57" t="s">
        <v>46</v>
      </c>
      <c r="D116" s="43"/>
      <c r="E116" s="44"/>
      <c r="F116" s="45">
        <f>Source!AM74</f>
        <v>20.91</v>
      </c>
      <c r="G116" s="46" t="str">
        <f>Source!DE74</f>
        <v/>
      </c>
      <c r="H116" s="47">
        <f>ROUND(Source!AD74*Source!I74, 2)</f>
        <v>12.55</v>
      </c>
      <c r="I116" s="46"/>
      <c r="J116" s="46">
        <f>IF(Source!BB74&lt;&gt; 0, Source!BB74, 1)</f>
        <v>9.89</v>
      </c>
      <c r="K116" s="47">
        <f>Source!Q74</f>
        <v>124.08</v>
      </c>
      <c r="L116" s="53"/>
    </row>
    <row r="117" spans="1:32" ht="15">
      <c r="G117" s="60">
        <f>H116</f>
        <v>12.55</v>
      </c>
      <c r="H117" s="60"/>
      <c r="J117" s="60">
        <f>K116</f>
        <v>124.08</v>
      </c>
      <c r="K117" s="60"/>
      <c r="L117" s="49">
        <f>Source!U74</f>
        <v>0</v>
      </c>
      <c r="O117" s="32">
        <f>G117</f>
        <v>12.55</v>
      </c>
      <c r="P117" s="32">
        <f>J117</f>
        <v>124.08</v>
      </c>
      <c r="Q117" s="32">
        <f>L117</f>
        <v>0</v>
      </c>
      <c r="W117">
        <f>IF(Source!BI74&lt;=1,H116, 0)</f>
        <v>12.55</v>
      </c>
      <c r="X117">
        <f>IF(Source!BI74=2,H116, 0)</f>
        <v>0</v>
      </c>
      <c r="Y117">
        <f>IF(Source!BI74=3,H116, 0)</f>
        <v>0</v>
      </c>
      <c r="Z117">
        <f>IF(Source!BI74=4,H116, 0)</f>
        <v>0</v>
      </c>
    </row>
    <row r="119" spans="1:32" ht="15">
      <c r="A119" s="62" t="str">
        <f>CONCATENATE("Итого по разделу: ",IF(Source!G76&lt;&gt;"Новый раздел", Source!G76, ""))</f>
        <v>Итого по разделу: Ремонт</v>
      </c>
      <c r="B119" s="62"/>
      <c r="C119" s="62"/>
      <c r="D119" s="62"/>
      <c r="E119" s="62"/>
      <c r="F119" s="62"/>
      <c r="G119" s="61">
        <f>SUM(O58:O118)</f>
        <v>289809.95</v>
      </c>
      <c r="H119" s="61"/>
      <c r="I119" s="35"/>
      <c r="J119" s="61">
        <f>SUM(P58:P118)</f>
        <v>514094.82</v>
      </c>
      <c r="K119" s="61"/>
      <c r="L119" s="49">
        <f>SUM(Q58:Q118)</f>
        <v>198.17179999999996</v>
      </c>
    </row>
    <row r="123" spans="1:32" ht="15">
      <c r="A123" s="62" t="str">
        <f>CONCATENATE("Итого по локальной смете: ",IF(Source!G106&lt;&gt;"Новая локальная смета", Source!G106, ""))</f>
        <v xml:space="preserve">Итого по локальной смете: </v>
      </c>
      <c r="B123" s="62"/>
      <c r="C123" s="62"/>
      <c r="D123" s="62"/>
      <c r="E123" s="62"/>
      <c r="F123" s="62"/>
      <c r="G123" s="61">
        <f>SUM(O42:O122)</f>
        <v>291955.53999999998</v>
      </c>
      <c r="H123" s="61"/>
      <c r="I123" s="35"/>
      <c r="J123" s="61">
        <f>SUM(P42:P122)</f>
        <v>578680.36</v>
      </c>
      <c r="K123" s="61"/>
      <c r="L123" s="49">
        <f>SUM(Q42:Q122)</f>
        <v>291.28229999999996</v>
      </c>
    </row>
    <row r="127" spans="1:32" ht="15">
      <c r="A127" s="62" t="str">
        <f>CONCATENATE("Итого по смете: ",IF(Source!G136&lt;&gt;"Новый объект", Source!G136, ""))</f>
        <v>Итого по смете: Ильинский Погост ремонт мягкой кровли ОВП 2021</v>
      </c>
      <c r="B127" s="62"/>
      <c r="C127" s="62"/>
      <c r="D127" s="62"/>
      <c r="E127" s="62"/>
      <c r="F127" s="62"/>
      <c r="G127" s="61">
        <f>SUM(O1:O126)</f>
        <v>291955.53999999998</v>
      </c>
      <c r="H127" s="61"/>
      <c r="I127" s="35"/>
      <c r="J127" s="61">
        <f>SUM(P1:P126)</f>
        <v>578680.36</v>
      </c>
      <c r="K127" s="61"/>
      <c r="L127" s="49">
        <f>SUM(Q1:Q126)</f>
        <v>291.28229999999996</v>
      </c>
      <c r="AF127" s="59" t="str">
        <f>CONCATENATE("Итого по смете: ",IF(Source!G136&lt;&gt;"Новый объект", Source!G136, ""))</f>
        <v>Итого по смете: Ильинский Погост ремонт мягкой кровли ОВП 2021</v>
      </c>
    </row>
    <row r="129" spans="1:12" ht="14.25">
      <c r="C129" s="68" t="str">
        <f>Source!H165</f>
        <v>НДС 20%</v>
      </c>
      <c r="D129" s="68"/>
      <c r="E129" s="68"/>
      <c r="F129" s="68"/>
      <c r="G129" s="68"/>
      <c r="H129" s="68"/>
      <c r="I129" s="68"/>
      <c r="J129" s="69">
        <f>IF(Source!F165=0, "", Source!F165)</f>
        <v>115736.1</v>
      </c>
      <c r="K129" s="69"/>
    </row>
    <row r="130" spans="1:12" ht="14.25">
      <c r="C130" s="68" t="str">
        <f>Source!H166</f>
        <v>всего с НДС</v>
      </c>
      <c r="D130" s="68"/>
      <c r="E130" s="68"/>
      <c r="F130" s="68"/>
      <c r="G130" s="68"/>
      <c r="H130" s="68"/>
      <c r="I130" s="68"/>
      <c r="J130" s="69">
        <f>IF(Source!F166=0, "", Source!F166)</f>
        <v>694416.4</v>
      </c>
      <c r="K130" s="69"/>
    </row>
    <row r="133" spans="1:12" ht="14.25">
      <c r="A133" s="34" t="s">
        <v>353</v>
      </c>
      <c r="B133" s="34"/>
      <c r="C133" s="10" t="s">
        <v>354</v>
      </c>
      <c r="D133" s="33" t="str">
        <f>IF(Source!CP12&lt;&gt;"", Source!CP12," ")</f>
        <v xml:space="preserve"> </v>
      </c>
      <c r="E133" s="33"/>
      <c r="F133" s="33"/>
      <c r="G133" s="33"/>
      <c r="H133" s="33"/>
      <c r="I133" s="11" t="str">
        <f>IF(Source!CO12&lt;&gt;"", Source!CO12," ")</f>
        <v xml:space="preserve"> </v>
      </c>
      <c r="J133" s="10"/>
      <c r="K133" s="11"/>
      <c r="L133" s="11"/>
    </row>
    <row r="134" spans="1:12" ht="14.25">
      <c r="A134" s="11"/>
      <c r="B134" s="11"/>
      <c r="C134" s="10"/>
      <c r="D134" s="66" t="s">
        <v>355</v>
      </c>
      <c r="E134" s="66"/>
      <c r="F134" s="66"/>
      <c r="G134" s="66"/>
      <c r="H134" s="66"/>
      <c r="I134" s="11"/>
      <c r="J134" s="10"/>
      <c r="K134" s="11"/>
      <c r="L134" s="11"/>
    </row>
    <row r="135" spans="1:12" ht="14.25">
      <c r="A135" s="11"/>
      <c r="B135" s="11"/>
      <c r="C135" s="10"/>
      <c r="D135" s="11"/>
      <c r="E135" s="11"/>
      <c r="F135" s="11"/>
      <c r="G135" s="11"/>
      <c r="H135" s="11"/>
      <c r="I135" s="11"/>
      <c r="J135" s="10"/>
      <c r="K135" s="11"/>
      <c r="L135" s="11"/>
    </row>
    <row r="136" spans="1:12" ht="14.25">
      <c r="A136" s="34" t="s">
        <v>353</v>
      </c>
      <c r="B136" s="34"/>
      <c r="C136" s="10" t="s">
        <v>356</v>
      </c>
      <c r="D136" s="33" t="str">
        <f>IF(Source!AC12&lt;&gt;"", Source!AC12," ")</f>
        <v xml:space="preserve"> </v>
      </c>
      <c r="E136" s="33"/>
      <c r="F136" s="33"/>
      <c r="G136" s="33"/>
      <c r="H136" s="33"/>
      <c r="I136" s="11" t="str">
        <f>IF(Source!AB12&lt;&gt;"", Source!AB12," ")</f>
        <v xml:space="preserve"> </v>
      </c>
      <c r="J136" s="10"/>
      <c r="K136" s="11"/>
      <c r="L136" s="11"/>
    </row>
    <row r="137" spans="1:12" ht="14.25">
      <c r="A137" s="11"/>
      <c r="B137" s="11"/>
      <c r="C137" s="11"/>
      <c r="D137" s="66" t="s">
        <v>355</v>
      </c>
      <c r="E137" s="66"/>
      <c r="F137" s="66"/>
      <c r="G137" s="66"/>
      <c r="H137" s="66"/>
      <c r="I137" s="11"/>
      <c r="J137" s="11"/>
      <c r="K137" s="11"/>
      <c r="L137" s="11"/>
    </row>
    <row r="138" spans="1:12" ht="14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ht="14.25">
      <c r="A139" s="11"/>
      <c r="B139" s="11"/>
      <c r="C139" s="10" t="s">
        <v>357</v>
      </c>
      <c r="D139" s="33" t="str">
        <f>IF(Source!AE12&lt;&gt;"", Source!AE12," ")</f>
        <v xml:space="preserve"> </v>
      </c>
      <c r="E139" s="33"/>
      <c r="F139" s="33"/>
      <c r="G139" s="33"/>
      <c r="H139" s="33"/>
      <c r="I139" s="11" t="str">
        <f>IF(Source!AD12&lt;&gt;"", Source!AD12," ")</f>
        <v xml:space="preserve"> </v>
      </c>
      <c r="J139" s="10"/>
      <c r="K139" s="11"/>
      <c r="L139" s="11"/>
    </row>
    <row r="140" spans="1:12" ht="14.25">
      <c r="A140" s="11"/>
      <c r="B140" s="11"/>
      <c r="C140" s="11"/>
      <c r="D140" s="66" t="s">
        <v>355</v>
      </c>
      <c r="E140" s="66"/>
      <c r="F140" s="66"/>
      <c r="G140" s="66"/>
      <c r="H140" s="66"/>
      <c r="I140" s="11"/>
      <c r="J140" s="11"/>
      <c r="K140" s="11"/>
      <c r="L140" s="11"/>
    </row>
  </sheetData>
  <mergeCells count="9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29:I129"/>
    <mergeCell ref="J129:K129"/>
    <mergeCell ref="C130:I130"/>
    <mergeCell ref="J130:K130"/>
    <mergeCell ref="F99:G99"/>
    <mergeCell ref="F98:G98"/>
    <mergeCell ref="J92:K92"/>
    <mergeCell ref="G92:H92"/>
    <mergeCell ref="J101:K101"/>
    <mergeCell ref="G101:H101"/>
    <mergeCell ref="G127:H127"/>
    <mergeCell ref="J127:K127"/>
    <mergeCell ref="A127:F127"/>
    <mergeCell ref="G123:H123"/>
    <mergeCell ref="F76:G76"/>
    <mergeCell ref="D137:H137"/>
    <mergeCell ref="D140:H140"/>
    <mergeCell ref="F109:G109"/>
    <mergeCell ref="F108:G108"/>
    <mergeCell ref="D134:H134"/>
    <mergeCell ref="F89:G89"/>
    <mergeCell ref="F88:G88"/>
    <mergeCell ref="J81:K81"/>
    <mergeCell ref="G81:H81"/>
    <mergeCell ref="F77:G77"/>
    <mergeCell ref="A42:L42"/>
    <mergeCell ref="J69:K69"/>
    <mergeCell ref="G69:H69"/>
    <mergeCell ref="A58:L58"/>
    <mergeCell ref="G54:H54"/>
    <mergeCell ref="J54:K54"/>
    <mergeCell ref="A54:F54"/>
    <mergeCell ref="J52:K52"/>
    <mergeCell ref="G52:H52"/>
    <mergeCell ref="F50:G50"/>
    <mergeCell ref="F49:G49"/>
    <mergeCell ref="A44:L44"/>
    <mergeCell ref="A123:F123"/>
    <mergeCell ref="G119:H119"/>
    <mergeCell ref="J119:K119"/>
    <mergeCell ref="A119:F119"/>
    <mergeCell ref="J117:K117"/>
    <mergeCell ref="G117:H117"/>
    <mergeCell ref="J114:K114"/>
    <mergeCell ref="G114:H114"/>
    <mergeCell ref="J111:K111"/>
    <mergeCell ref="G111:H111"/>
    <mergeCell ref="J123:K123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03"/>
  <sheetViews>
    <sheetView workbookViewId="0">
      <selection activeCell="A199" sqref="A199:AN199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197</v>
      </c>
      <c r="C12" s="1">
        <v>0</v>
      </c>
      <c r="D12" s="1">
        <f>ROW(A136)</f>
        <v>136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B136</f>
        <v>197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Ильинский Погост ремонт мягкой кровли ОВП 2021</v>
      </c>
      <c r="H18" s="2"/>
      <c r="I18" s="2"/>
      <c r="J18" s="2"/>
      <c r="K18" s="2"/>
      <c r="L18" s="2"/>
      <c r="M18" s="2"/>
      <c r="N18" s="2"/>
      <c r="O18" s="2">
        <f t="shared" ref="O18:AT18" si="1">O136</f>
        <v>440658.69</v>
      </c>
      <c r="P18" s="2">
        <f t="shared" si="1"/>
        <v>349224.76</v>
      </c>
      <c r="Q18" s="2">
        <f t="shared" si="1"/>
        <v>7069.31</v>
      </c>
      <c r="R18" s="2">
        <f t="shared" si="1"/>
        <v>992.72</v>
      </c>
      <c r="S18" s="2">
        <f t="shared" si="1"/>
        <v>84364.62</v>
      </c>
      <c r="T18" s="2">
        <f t="shared" si="1"/>
        <v>0</v>
      </c>
      <c r="U18" s="2">
        <f t="shared" si="1"/>
        <v>291.28229999999996</v>
      </c>
      <c r="V18" s="2">
        <f t="shared" si="1"/>
        <v>2.2847499999999998</v>
      </c>
      <c r="W18" s="2">
        <f t="shared" si="1"/>
        <v>0</v>
      </c>
      <c r="X18" s="2">
        <f t="shared" si="1"/>
        <v>88393</v>
      </c>
      <c r="Y18" s="2">
        <f t="shared" si="1"/>
        <v>49628.67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578680.36</v>
      </c>
      <c r="AS18" s="2">
        <f t="shared" si="1"/>
        <v>578680.36</v>
      </c>
      <c r="AT18" s="2">
        <f t="shared" si="1"/>
        <v>0</v>
      </c>
      <c r="AU18" s="2">
        <f t="shared" ref="AU18:BZ18" si="2">AU136</f>
        <v>0</v>
      </c>
      <c r="AV18" s="2">
        <f t="shared" si="2"/>
        <v>349224.76</v>
      </c>
      <c r="AW18" s="2">
        <f t="shared" si="2"/>
        <v>349224.76</v>
      </c>
      <c r="AX18" s="2">
        <f t="shared" si="2"/>
        <v>0</v>
      </c>
      <c r="AY18" s="2">
        <f t="shared" si="2"/>
        <v>349224.76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497.23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CA136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DG136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EM136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FS136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ROW(A106)</f>
        <v>106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B106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O106</f>
        <v>440658.69</v>
      </c>
      <c r="P22" s="2">
        <f t="shared" si="8"/>
        <v>349224.76</v>
      </c>
      <c r="Q22" s="2">
        <f t="shared" si="8"/>
        <v>7069.31</v>
      </c>
      <c r="R22" s="2">
        <f t="shared" si="8"/>
        <v>992.72</v>
      </c>
      <c r="S22" s="2">
        <f t="shared" si="8"/>
        <v>84364.62</v>
      </c>
      <c r="T22" s="2">
        <f t="shared" si="8"/>
        <v>0</v>
      </c>
      <c r="U22" s="2">
        <f t="shared" si="8"/>
        <v>291.28229999999996</v>
      </c>
      <c r="V22" s="2">
        <f t="shared" si="8"/>
        <v>2.2847499999999998</v>
      </c>
      <c r="W22" s="2">
        <f t="shared" si="8"/>
        <v>0</v>
      </c>
      <c r="X22" s="2">
        <f t="shared" si="8"/>
        <v>88393</v>
      </c>
      <c r="Y22" s="2">
        <f t="shared" si="8"/>
        <v>49628.67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578680.36</v>
      </c>
      <c r="AS22" s="2">
        <f t="shared" si="8"/>
        <v>578680.36</v>
      </c>
      <c r="AT22" s="2">
        <f t="shared" si="8"/>
        <v>0</v>
      </c>
      <c r="AU22" s="2">
        <f t="shared" ref="AU22:BZ22" si="9">AU106</f>
        <v>0</v>
      </c>
      <c r="AV22" s="2">
        <f t="shared" si="9"/>
        <v>349224.76</v>
      </c>
      <c r="AW22" s="2">
        <f t="shared" si="9"/>
        <v>349224.76</v>
      </c>
      <c r="AX22" s="2">
        <f t="shared" si="9"/>
        <v>0</v>
      </c>
      <c r="AY22" s="2">
        <f t="shared" si="9"/>
        <v>349224.76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497.23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CA106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DG106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EM106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FS106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ROW(A30)</f>
        <v>30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B30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O30</f>
        <v>26272.09</v>
      </c>
      <c r="P26" s="2">
        <f t="shared" si="15"/>
        <v>0</v>
      </c>
      <c r="Q26" s="2">
        <f t="shared" si="15"/>
        <v>2175.58</v>
      </c>
      <c r="R26" s="2">
        <f t="shared" si="15"/>
        <v>0</v>
      </c>
      <c r="S26" s="2">
        <f t="shared" si="15"/>
        <v>24096.51</v>
      </c>
      <c r="T26" s="2">
        <f t="shared" si="15"/>
        <v>0</v>
      </c>
      <c r="U26" s="2">
        <f t="shared" si="15"/>
        <v>93.110500000000002</v>
      </c>
      <c r="V26" s="2">
        <f t="shared" si="15"/>
        <v>0</v>
      </c>
      <c r="W26" s="2">
        <f t="shared" si="15"/>
        <v>0</v>
      </c>
      <c r="X26" s="2">
        <f t="shared" si="15"/>
        <v>23855.54</v>
      </c>
      <c r="Y26" s="2">
        <f t="shared" si="15"/>
        <v>14457.91</v>
      </c>
      <c r="Z26" s="2">
        <f t="shared" si="15"/>
        <v>0</v>
      </c>
      <c r="AA26" s="2">
        <f t="shared" si="15"/>
        <v>0</v>
      </c>
      <c r="AB26" s="2">
        <f t="shared" si="15"/>
        <v>26272.09</v>
      </c>
      <c r="AC26" s="2">
        <f t="shared" si="15"/>
        <v>0</v>
      </c>
      <c r="AD26" s="2">
        <f t="shared" si="15"/>
        <v>2175.58</v>
      </c>
      <c r="AE26" s="2">
        <f t="shared" si="15"/>
        <v>0</v>
      </c>
      <c r="AF26" s="2">
        <f t="shared" si="15"/>
        <v>24096.51</v>
      </c>
      <c r="AG26" s="2">
        <f t="shared" si="15"/>
        <v>0</v>
      </c>
      <c r="AH26" s="2">
        <f t="shared" si="15"/>
        <v>93.110500000000002</v>
      </c>
      <c r="AI26" s="2">
        <f t="shared" si="15"/>
        <v>0</v>
      </c>
      <c r="AJ26" s="2">
        <f t="shared" si="15"/>
        <v>0</v>
      </c>
      <c r="AK26" s="2">
        <f t="shared" si="15"/>
        <v>23855.54</v>
      </c>
      <c r="AL26" s="2">
        <f t="shared" si="15"/>
        <v>14457.91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64585.54</v>
      </c>
      <c r="AS26" s="2">
        <f t="shared" si="15"/>
        <v>64585.54</v>
      </c>
      <c r="AT26" s="2">
        <f t="shared" si="15"/>
        <v>0</v>
      </c>
      <c r="AU26" s="2">
        <f t="shared" ref="AU26:BZ26" si="16">AU30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CA30</f>
        <v>64585.54</v>
      </c>
      <c r="CB26" s="2">
        <f t="shared" si="17"/>
        <v>64585.54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DG30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EM30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FS30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15</v>
      </c>
      <c r="F28" t="s">
        <v>16</v>
      </c>
      <c r="G28" t="s">
        <v>17</v>
      </c>
      <c r="H28" t="s">
        <v>18</v>
      </c>
      <c r="I28">
        <f>ROUND(647.5/100,9)</f>
        <v>6.4749999999999996</v>
      </c>
      <c r="J28">
        <v>0</v>
      </c>
      <c r="O28">
        <f>ROUND(CP28,2)</f>
        <v>26272.09</v>
      </c>
      <c r="P28">
        <f>ROUND(CQ28*I28,2)</f>
        <v>0</v>
      </c>
      <c r="Q28">
        <f>ROUND(CR28*I28,2)</f>
        <v>2175.58</v>
      </c>
      <c r="R28">
        <f>ROUND(CS28*I28,2)</f>
        <v>0</v>
      </c>
      <c r="S28">
        <f>ROUND(CT28*I28,2)</f>
        <v>24096.51</v>
      </c>
      <c r="T28">
        <f>ROUND(CU28*I28,2)</f>
        <v>0</v>
      </c>
      <c r="U28">
        <f>CV28*I28</f>
        <v>93.110500000000002</v>
      </c>
      <c r="V28">
        <f>CW28*I28</f>
        <v>0</v>
      </c>
      <c r="W28">
        <f>ROUND(CX28*I28,2)</f>
        <v>0</v>
      </c>
      <c r="X28">
        <f>ROUND(CY28,2)</f>
        <v>23855.54</v>
      </c>
      <c r="Y28">
        <f>ROUND(CZ28,2)</f>
        <v>14457.91</v>
      </c>
      <c r="AA28">
        <v>36145237</v>
      </c>
      <c r="AB28">
        <f>ROUND((AC28+AD28+AF28),6)</f>
        <v>153.59</v>
      </c>
      <c r="AC28">
        <f>ROUND((ES28),6)</f>
        <v>0</v>
      </c>
      <c r="AD28">
        <f>ROUND((((ET28)-(EU28))+AE28),6)</f>
        <v>41.43</v>
      </c>
      <c r="AE28">
        <f>ROUND((EU28),6)</f>
        <v>0</v>
      </c>
      <c r="AF28">
        <f>ROUND((EV28),6)</f>
        <v>112.16</v>
      </c>
      <c r="AG28">
        <f>ROUND((AP28),6)</f>
        <v>0</v>
      </c>
      <c r="AH28">
        <f>(EW28)</f>
        <v>14.38</v>
      </c>
      <c r="AI28">
        <f>(EX28)</f>
        <v>0</v>
      </c>
      <c r="AJ28">
        <f>(AS28)</f>
        <v>0</v>
      </c>
      <c r="AK28">
        <v>153.59</v>
      </c>
      <c r="AL28">
        <v>0</v>
      </c>
      <c r="AM28">
        <v>41.43</v>
      </c>
      <c r="AN28">
        <v>0</v>
      </c>
      <c r="AO28">
        <v>112.16</v>
      </c>
      <c r="AP28">
        <v>0</v>
      </c>
      <c r="AQ28">
        <v>14.38</v>
      </c>
      <c r="AR28">
        <v>0</v>
      </c>
      <c r="AS28">
        <v>0</v>
      </c>
      <c r="AT28">
        <v>99</v>
      </c>
      <c r="AU28">
        <v>60</v>
      </c>
      <c r="AV28">
        <v>1</v>
      </c>
      <c r="AW28">
        <v>1</v>
      </c>
      <c r="AZ28">
        <v>1</v>
      </c>
      <c r="BA28">
        <v>33.18</v>
      </c>
      <c r="BB28">
        <v>8.11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46001</v>
      </c>
      <c r="BN28">
        <v>0</v>
      </c>
      <c r="BO28" t="s">
        <v>16</v>
      </c>
      <c r="BP28">
        <v>1</v>
      </c>
      <c r="BQ28">
        <v>2</v>
      </c>
      <c r="BR28">
        <v>0</v>
      </c>
      <c r="BS28">
        <v>33.18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110</v>
      </c>
      <c r="CA28">
        <v>70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>(P28+Q28+S28)</f>
        <v>26272.089999999997</v>
      </c>
      <c r="CQ28">
        <f>AC28*BC28</f>
        <v>0</v>
      </c>
      <c r="CR28">
        <f>AD28*BB28</f>
        <v>335.9973</v>
      </c>
      <c r="CS28">
        <f>AE28*BS28</f>
        <v>0</v>
      </c>
      <c r="CT28">
        <f>AF28*BA28</f>
        <v>3721.4687999999996</v>
      </c>
      <c r="CU28">
        <f>AG28</f>
        <v>0</v>
      </c>
      <c r="CV28">
        <f>AH28</f>
        <v>14.38</v>
      </c>
      <c r="CW28">
        <f>AI28</f>
        <v>0</v>
      </c>
      <c r="CX28">
        <f>AJ28</f>
        <v>0</v>
      </c>
      <c r="CY28">
        <f>(((S28+R28)*AT28)/100)</f>
        <v>23855.544899999997</v>
      </c>
      <c r="CZ28">
        <f>(((S28+R28)*AU28)/100)</f>
        <v>14457.905999999999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36260494</v>
      </c>
      <c r="EF28">
        <v>2</v>
      </c>
      <c r="EG28" t="s">
        <v>20</v>
      </c>
      <c r="EH28">
        <v>0</v>
      </c>
      <c r="EI28" t="s">
        <v>3</v>
      </c>
      <c r="EJ28">
        <v>1</v>
      </c>
      <c r="EK28">
        <v>46001</v>
      </c>
      <c r="EL28" t="s">
        <v>21</v>
      </c>
      <c r="EM28" t="s">
        <v>22</v>
      </c>
      <c r="EO28" t="s">
        <v>3</v>
      </c>
      <c r="EQ28">
        <v>0</v>
      </c>
      <c r="ER28">
        <v>153.59</v>
      </c>
      <c r="ES28">
        <v>0</v>
      </c>
      <c r="ET28">
        <v>41.43</v>
      </c>
      <c r="EU28">
        <v>0</v>
      </c>
      <c r="EV28">
        <v>112.16</v>
      </c>
      <c r="EW28">
        <v>14.38</v>
      </c>
      <c r="EX28">
        <v>0</v>
      </c>
      <c r="EY28">
        <v>0</v>
      </c>
      <c r="FQ28">
        <v>0</v>
      </c>
      <c r="FR28">
        <f>ROUND(IF(AND(BH28=3,BI28=3),P28,0),2)</f>
        <v>0</v>
      </c>
      <c r="FS28">
        <v>0</v>
      </c>
      <c r="FT28" t="s">
        <v>23</v>
      </c>
      <c r="FU28" t="s">
        <v>24</v>
      </c>
      <c r="FX28">
        <v>99</v>
      </c>
      <c r="FY28">
        <v>59.5</v>
      </c>
      <c r="GA28" t="s">
        <v>3</v>
      </c>
      <c r="GD28">
        <v>1</v>
      </c>
      <c r="GF28">
        <v>-1121510141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>ROUND(IF(AND(BH28=3,BI28=3,FS28&lt;&gt;0),P28,0),2)</f>
        <v>0</v>
      </c>
      <c r="GM28">
        <f>ROUND(O28+X28+Y28,2)+GX28</f>
        <v>64585.54</v>
      </c>
      <c r="GN28">
        <f>IF(OR(BI28=0,BI28=1),ROUND(O28+X28+Y28,2),0)</f>
        <v>64585.54</v>
      </c>
      <c r="GO28">
        <f>IF(BI28=2,ROUND(O28+X28+Y28,2),0)</f>
        <v>0</v>
      </c>
      <c r="GP28">
        <f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>ROUND((GT28),6)</f>
        <v>0</v>
      </c>
      <c r="GW28">
        <v>1</v>
      </c>
      <c r="GX28">
        <f>ROUND(HC28*I28,2)</f>
        <v>0</v>
      </c>
      <c r="HA28">
        <v>0</v>
      </c>
      <c r="HB28">
        <v>0</v>
      </c>
      <c r="HC28">
        <f>GV28*GW28</f>
        <v>0</v>
      </c>
      <c r="HE28" t="s">
        <v>3</v>
      </c>
      <c r="HF28" t="s">
        <v>3</v>
      </c>
      <c r="IK28">
        <v>0</v>
      </c>
    </row>
    <row r="30" spans="1:245">
      <c r="A30" s="2">
        <v>51</v>
      </c>
      <c r="B30" s="2">
        <f>B24</f>
        <v>1</v>
      </c>
      <c r="C30" s="2">
        <f>A24</f>
        <v>4</v>
      </c>
      <c r="D30" s="2">
        <f>ROW(A24)</f>
        <v>24</v>
      </c>
      <c r="E30" s="2"/>
      <c r="F30" s="2" t="str">
        <f>IF(F24&lt;&gt;"",F24,"")</f>
        <v>Новый раздел</v>
      </c>
      <c r="G30" s="2" t="str">
        <f>IF(G24&lt;&gt;"",G24,"")</f>
        <v>Демонтаж</v>
      </c>
      <c r="H30" s="2">
        <v>0</v>
      </c>
      <c r="I30" s="2"/>
      <c r="J30" s="2"/>
      <c r="K30" s="2"/>
      <c r="L30" s="2"/>
      <c r="M30" s="2"/>
      <c r="N30" s="2"/>
      <c r="O30" s="2">
        <f t="shared" ref="O30:T30" si="21">ROUND(AB30,2)</f>
        <v>26272.09</v>
      </c>
      <c r="P30" s="2">
        <f t="shared" si="21"/>
        <v>0</v>
      </c>
      <c r="Q30" s="2">
        <f t="shared" si="21"/>
        <v>2175.58</v>
      </c>
      <c r="R30" s="2">
        <f t="shared" si="21"/>
        <v>0</v>
      </c>
      <c r="S30" s="2">
        <f t="shared" si="21"/>
        <v>24096.51</v>
      </c>
      <c r="T30" s="2">
        <f t="shared" si="21"/>
        <v>0</v>
      </c>
      <c r="U30" s="2">
        <f>AH30</f>
        <v>93.110500000000002</v>
      </c>
      <c r="V30" s="2">
        <f>AI30</f>
        <v>0</v>
      </c>
      <c r="W30" s="2">
        <f>ROUND(AJ30,2)</f>
        <v>0</v>
      </c>
      <c r="X30" s="2">
        <f>ROUND(AK30,2)</f>
        <v>23855.54</v>
      </c>
      <c r="Y30" s="2">
        <f>ROUND(AL30,2)</f>
        <v>14457.91</v>
      </c>
      <c r="Z30" s="2"/>
      <c r="AA30" s="2"/>
      <c r="AB30" s="2">
        <f>ROUND(SUMIF(AA28:AA28,"=36145237",O28:O28),2)</f>
        <v>26272.09</v>
      </c>
      <c r="AC30" s="2">
        <f>ROUND(SUMIF(AA28:AA28,"=36145237",P28:P28),2)</f>
        <v>0</v>
      </c>
      <c r="AD30" s="2">
        <f>ROUND(SUMIF(AA28:AA28,"=36145237",Q28:Q28),2)</f>
        <v>2175.58</v>
      </c>
      <c r="AE30" s="2">
        <f>ROUND(SUMIF(AA28:AA28,"=36145237",R28:R28),2)</f>
        <v>0</v>
      </c>
      <c r="AF30" s="2">
        <f>ROUND(SUMIF(AA28:AA28,"=36145237",S28:S28),2)</f>
        <v>24096.51</v>
      </c>
      <c r="AG30" s="2">
        <f>ROUND(SUMIF(AA28:AA28,"=36145237",T28:T28),2)</f>
        <v>0</v>
      </c>
      <c r="AH30" s="2">
        <f>SUMIF(AA28:AA28,"=36145237",U28:U28)</f>
        <v>93.110500000000002</v>
      </c>
      <c r="AI30" s="2">
        <f>SUMIF(AA28:AA28,"=36145237",V28:V28)</f>
        <v>0</v>
      </c>
      <c r="AJ30" s="2">
        <f>ROUND(SUMIF(AA28:AA28,"=36145237",W28:W28),2)</f>
        <v>0</v>
      </c>
      <c r="AK30" s="2">
        <f>ROUND(SUMIF(AA28:AA28,"=36145237",X28:X28),2)</f>
        <v>23855.54</v>
      </c>
      <c r="AL30" s="2">
        <f>ROUND(SUMIF(AA28:AA28,"=36145237",Y28:Y28),2)</f>
        <v>14457.91</v>
      </c>
      <c r="AM30" s="2"/>
      <c r="AN30" s="2"/>
      <c r="AO30" s="2">
        <f t="shared" ref="AO30:BD30" si="22">ROUND(BX30,2)</f>
        <v>0</v>
      </c>
      <c r="AP30" s="2">
        <f t="shared" si="22"/>
        <v>0</v>
      </c>
      <c r="AQ30" s="2">
        <f t="shared" si="22"/>
        <v>0</v>
      </c>
      <c r="AR30" s="2">
        <f t="shared" si="22"/>
        <v>64585.54</v>
      </c>
      <c r="AS30" s="2">
        <f t="shared" si="22"/>
        <v>64585.54</v>
      </c>
      <c r="AT30" s="2">
        <f t="shared" si="22"/>
        <v>0</v>
      </c>
      <c r="AU30" s="2">
        <f t="shared" si="22"/>
        <v>0</v>
      </c>
      <c r="AV30" s="2">
        <f t="shared" si="22"/>
        <v>0</v>
      </c>
      <c r="AW30" s="2">
        <f t="shared" si="22"/>
        <v>0</v>
      </c>
      <c r="AX30" s="2">
        <f t="shared" si="22"/>
        <v>0</v>
      </c>
      <c r="AY30" s="2">
        <f t="shared" si="22"/>
        <v>0</v>
      </c>
      <c r="AZ30" s="2">
        <f t="shared" si="22"/>
        <v>0</v>
      </c>
      <c r="BA30" s="2">
        <f t="shared" si="22"/>
        <v>0</v>
      </c>
      <c r="BB30" s="2">
        <f t="shared" si="22"/>
        <v>0</v>
      </c>
      <c r="BC30" s="2">
        <f t="shared" si="22"/>
        <v>0</v>
      </c>
      <c r="BD30" s="2">
        <f t="shared" si="22"/>
        <v>0</v>
      </c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f>ROUND(SUMIF(AA28:AA28,"=36145237",FQ28:FQ28),2)</f>
        <v>0</v>
      </c>
      <c r="BY30" s="2">
        <f>ROUND(SUMIF(AA28:AA28,"=36145237",FR28:FR28),2)</f>
        <v>0</v>
      </c>
      <c r="BZ30" s="2">
        <f>ROUND(SUMIF(AA28:AA28,"=36145237",GL28:GL28),2)</f>
        <v>0</v>
      </c>
      <c r="CA30" s="2">
        <f>ROUND(SUMIF(AA28:AA28,"=36145237",GM28:GM28),2)</f>
        <v>64585.54</v>
      </c>
      <c r="CB30" s="2">
        <f>ROUND(SUMIF(AA28:AA28,"=36145237",GN28:GN28),2)</f>
        <v>64585.54</v>
      </c>
      <c r="CC30" s="2">
        <f>ROUND(SUMIF(AA28:AA28,"=36145237",GO28:GO28),2)</f>
        <v>0</v>
      </c>
      <c r="CD30" s="2">
        <f>ROUND(SUMIF(AA28:AA28,"=36145237",GP28:GP28),2)</f>
        <v>0</v>
      </c>
      <c r="CE30" s="2">
        <f>AC30-BX30</f>
        <v>0</v>
      </c>
      <c r="CF30" s="2">
        <f>AC30-BY30</f>
        <v>0</v>
      </c>
      <c r="CG30" s="2">
        <f>BX30-BZ30</f>
        <v>0</v>
      </c>
      <c r="CH30" s="2">
        <f>AC30-BX30-BY30+BZ30</f>
        <v>0</v>
      </c>
      <c r="CI30" s="2">
        <f>BY30-BZ30</f>
        <v>0</v>
      </c>
      <c r="CJ30" s="2">
        <f>ROUND(SUMIF(AA28:AA28,"=36145237",GX28:GX28),2)</f>
        <v>0</v>
      </c>
      <c r="CK30" s="2">
        <f>ROUND(SUMIF(AA28:AA28,"=36145237",GY28:GY28),2)</f>
        <v>0</v>
      </c>
      <c r="CL30" s="2">
        <f>ROUND(SUMIF(AA28:AA28,"=36145237",GZ28:GZ28),2)</f>
        <v>0</v>
      </c>
      <c r="CM30" s="2">
        <f>ROUND(SUMIF(AA28:AA28,"=36145237",HD28:HD28),2)</f>
        <v>0</v>
      </c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>
        <v>0</v>
      </c>
    </row>
    <row r="32" spans="1:245">
      <c r="A32" s="4">
        <v>50</v>
      </c>
      <c r="B32" s="4">
        <v>0</v>
      </c>
      <c r="C32" s="4">
        <v>0</v>
      </c>
      <c r="D32" s="4">
        <v>1</v>
      </c>
      <c r="E32" s="4">
        <v>201</v>
      </c>
      <c r="F32" s="4">
        <f>ROUND(Source!O30,O32)</f>
        <v>26272.09</v>
      </c>
      <c r="G32" s="4" t="s">
        <v>25</v>
      </c>
      <c r="H32" s="4" t="s">
        <v>26</v>
      </c>
      <c r="I32" s="4"/>
      <c r="J32" s="4"/>
      <c r="K32" s="4">
        <v>201</v>
      </c>
      <c r="L32" s="4">
        <v>1</v>
      </c>
      <c r="M32" s="4">
        <v>3</v>
      </c>
      <c r="N32" s="4" t="s">
        <v>3</v>
      </c>
      <c r="O32" s="4">
        <v>2</v>
      </c>
      <c r="P32" s="4"/>
      <c r="Q32" s="4"/>
      <c r="R32" s="4"/>
      <c r="S32" s="4"/>
      <c r="T32" s="4"/>
      <c r="U32" s="4"/>
      <c r="V32" s="4"/>
      <c r="W32" s="4"/>
    </row>
    <row r="33" spans="1:23">
      <c r="A33" s="4">
        <v>50</v>
      </c>
      <c r="B33" s="4">
        <v>0</v>
      </c>
      <c r="C33" s="4">
        <v>0</v>
      </c>
      <c r="D33" s="4">
        <v>1</v>
      </c>
      <c r="E33" s="4">
        <v>202</v>
      </c>
      <c r="F33" s="4">
        <f>ROUND(Source!P30,O33)</f>
        <v>0</v>
      </c>
      <c r="G33" s="4" t="s">
        <v>27</v>
      </c>
      <c r="H33" s="4" t="s">
        <v>28</v>
      </c>
      <c r="I33" s="4"/>
      <c r="J33" s="4"/>
      <c r="K33" s="4">
        <v>202</v>
      </c>
      <c r="L33" s="4">
        <v>2</v>
      </c>
      <c r="M33" s="4">
        <v>3</v>
      </c>
      <c r="N33" s="4" t="s">
        <v>3</v>
      </c>
      <c r="O33" s="4">
        <v>2</v>
      </c>
      <c r="P33" s="4"/>
      <c r="Q33" s="4"/>
      <c r="R33" s="4"/>
      <c r="S33" s="4"/>
      <c r="T33" s="4"/>
      <c r="U33" s="4"/>
      <c r="V33" s="4"/>
      <c r="W33" s="4"/>
    </row>
    <row r="34" spans="1:23">
      <c r="A34" s="4">
        <v>50</v>
      </c>
      <c r="B34" s="4">
        <v>0</v>
      </c>
      <c r="C34" s="4">
        <v>0</v>
      </c>
      <c r="D34" s="4">
        <v>1</v>
      </c>
      <c r="E34" s="4">
        <v>222</v>
      </c>
      <c r="F34" s="4">
        <f>ROUND(Source!AO30,O34)</f>
        <v>0</v>
      </c>
      <c r="G34" s="4" t="s">
        <v>29</v>
      </c>
      <c r="H34" s="4" t="s">
        <v>30</v>
      </c>
      <c r="I34" s="4"/>
      <c r="J34" s="4"/>
      <c r="K34" s="4">
        <v>222</v>
      </c>
      <c r="L34" s="4">
        <v>3</v>
      </c>
      <c r="M34" s="4">
        <v>3</v>
      </c>
      <c r="N34" s="4" t="s">
        <v>3</v>
      </c>
      <c r="O34" s="4">
        <v>2</v>
      </c>
      <c r="P34" s="4"/>
      <c r="Q34" s="4"/>
      <c r="R34" s="4"/>
      <c r="S34" s="4"/>
      <c r="T34" s="4"/>
      <c r="U34" s="4"/>
      <c r="V34" s="4"/>
      <c r="W34" s="4"/>
    </row>
    <row r="35" spans="1:23">
      <c r="A35" s="4">
        <v>50</v>
      </c>
      <c r="B35" s="4">
        <v>0</v>
      </c>
      <c r="C35" s="4">
        <v>0</v>
      </c>
      <c r="D35" s="4">
        <v>1</v>
      </c>
      <c r="E35" s="4">
        <v>225</v>
      </c>
      <c r="F35" s="4">
        <f>ROUND(Source!AV30,O35)</f>
        <v>0</v>
      </c>
      <c r="G35" s="4" t="s">
        <v>31</v>
      </c>
      <c r="H35" s="4" t="s">
        <v>32</v>
      </c>
      <c r="I35" s="4"/>
      <c r="J35" s="4"/>
      <c r="K35" s="4">
        <v>225</v>
      </c>
      <c r="L35" s="4">
        <v>4</v>
      </c>
      <c r="M35" s="4">
        <v>3</v>
      </c>
      <c r="N35" s="4" t="s">
        <v>3</v>
      </c>
      <c r="O35" s="4">
        <v>2</v>
      </c>
      <c r="P35" s="4"/>
      <c r="Q35" s="4"/>
      <c r="R35" s="4"/>
      <c r="S35" s="4"/>
      <c r="T35" s="4"/>
      <c r="U35" s="4"/>
      <c r="V35" s="4"/>
      <c r="W35" s="4"/>
    </row>
    <row r="36" spans="1:23">
      <c r="A36" s="4">
        <v>50</v>
      </c>
      <c r="B36" s="4">
        <v>0</v>
      </c>
      <c r="C36" s="4">
        <v>0</v>
      </c>
      <c r="D36" s="4">
        <v>1</v>
      </c>
      <c r="E36" s="4">
        <v>226</v>
      </c>
      <c r="F36" s="4">
        <f>ROUND(Source!AW30,O36)</f>
        <v>0</v>
      </c>
      <c r="G36" s="4" t="s">
        <v>33</v>
      </c>
      <c r="H36" s="4" t="s">
        <v>34</v>
      </c>
      <c r="I36" s="4"/>
      <c r="J36" s="4"/>
      <c r="K36" s="4">
        <v>226</v>
      </c>
      <c r="L36" s="4">
        <v>5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/>
    </row>
    <row r="37" spans="1:23">
      <c r="A37" s="4">
        <v>50</v>
      </c>
      <c r="B37" s="4">
        <v>0</v>
      </c>
      <c r="C37" s="4">
        <v>0</v>
      </c>
      <c r="D37" s="4">
        <v>1</v>
      </c>
      <c r="E37" s="4">
        <v>227</v>
      </c>
      <c r="F37" s="4">
        <f>ROUND(Source!AX30,O37)</f>
        <v>0</v>
      </c>
      <c r="G37" s="4" t="s">
        <v>35</v>
      </c>
      <c r="H37" s="4" t="s">
        <v>36</v>
      </c>
      <c r="I37" s="4"/>
      <c r="J37" s="4"/>
      <c r="K37" s="4">
        <v>227</v>
      </c>
      <c r="L37" s="4">
        <v>6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3">
      <c r="A38" s="4">
        <v>50</v>
      </c>
      <c r="B38" s="4">
        <v>0</v>
      </c>
      <c r="C38" s="4">
        <v>0</v>
      </c>
      <c r="D38" s="4">
        <v>1</v>
      </c>
      <c r="E38" s="4">
        <v>228</v>
      </c>
      <c r="F38" s="4">
        <f>ROUND(Source!AY30,O38)</f>
        <v>0</v>
      </c>
      <c r="G38" s="4" t="s">
        <v>37</v>
      </c>
      <c r="H38" s="4" t="s">
        <v>38</v>
      </c>
      <c r="I38" s="4"/>
      <c r="J38" s="4"/>
      <c r="K38" s="4">
        <v>228</v>
      </c>
      <c r="L38" s="4">
        <v>7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3">
      <c r="A39" s="4">
        <v>50</v>
      </c>
      <c r="B39" s="4">
        <v>0</v>
      </c>
      <c r="C39" s="4">
        <v>0</v>
      </c>
      <c r="D39" s="4">
        <v>1</v>
      </c>
      <c r="E39" s="4">
        <v>216</v>
      </c>
      <c r="F39" s="4">
        <f>ROUND(Source!AP30,O39)</f>
        <v>0</v>
      </c>
      <c r="G39" s="4" t="s">
        <v>39</v>
      </c>
      <c r="H39" s="4" t="s">
        <v>40</v>
      </c>
      <c r="I39" s="4"/>
      <c r="J39" s="4"/>
      <c r="K39" s="4">
        <v>216</v>
      </c>
      <c r="L39" s="4">
        <v>8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3">
      <c r="A40" s="4">
        <v>50</v>
      </c>
      <c r="B40" s="4">
        <v>0</v>
      </c>
      <c r="C40" s="4">
        <v>0</v>
      </c>
      <c r="D40" s="4">
        <v>1</v>
      </c>
      <c r="E40" s="4">
        <v>223</v>
      </c>
      <c r="F40" s="4">
        <f>ROUND(Source!AQ30,O40)</f>
        <v>0</v>
      </c>
      <c r="G40" s="4" t="s">
        <v>41</v>
      </c>
      <c r="H40" s="4" t="s">
        <v>42</v>
      </c>
      <c r="I40" s="4"/>
      <c r="J40" s="4"/>
      <c r="K40" s="4">
        <v>223</v>
      </c>
      <c r="L40" s="4">
        <v>9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3">
      <c r="A41" s="4">
        <v>50</v>
      </c>
      <c r="B41" s="4">
        <v>0</v>
      </c>
      <c r="C41" s="4">
        <v>0</v>
      </c>
      <c r="D41" s="4">
        <v>1</v>
      </c>
      <c r="E41" s="4">
        <v>229</v>
      </c>
      <c r="F41" s="4">
        <f>ROUND(Source!AZ30,O41)</f>
        <v>0</v>
      </c>
      <c r="G41" s="4" t="s">
        <v>43</v>
      </c>
      <c r="H41" s="4" t="s">
        <v>44</v>
      </c>
      <c r="I41" s="4"/>
      <c r="J41" s="4"/>
      <c r="K41" s="4">
        <v>229</v>
      </c>
      <c r="L41" s="4">
        <v>10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3">
      <c r="A42" s="4">
        <v>50</v>
      </c>
      <c r="B42" s="4">
        <v>0</v>
      </c>
      <c r="C42" s="4">
        <v>0</v>
      </c>
      <c r="D42" s="4">
        <v>1</v>
      </c>
      <c r="E42" s="4">
        <v>203</v>
      </c>
      <c r="F42" s="4">
        <f>ROUND(Source!Q30,O42)</f>
        <v>2175.58</v>
      </c>
      <c r="G42" s="4" t="s">
        <v>45</v>
      </c>
      <c r="H42" s="4" t="s">
        <v>46</v>
      </c>
      <c r="I42" s="4"/>
      <c r="J42" s="4"/>
      <c r="K42" s="4">
        <v>203</v>
      </c>
      <c r="L42" s="4">
        <v>11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3">
      <c r="A43" s="4">
        <v>50</v>
      </c>
      <c r="B43" s="4">
        <v>0</v>
      </c>
      <c r="C43" s="4">
        <v>0</v>
      </c>
      <c r="D43" s="4">
        <v>1</v>
      </c>
      <c r="E43" s="4">
        <v>231</v>
      </c>
      <c r="F43" s="4">
        <f>ROUND(Source!BB30,O43)</f>
        <v>0</v>
      </c>
      <c r="G43" s="4" t="s">
        <v>47</v>
      </c>
      <c r="H43" s="4" t="s">
        <v>48</v>
      </c>
      <c r="I43" s="4"/>
      <c r="J43" s="4"/>
      <c r="K43" s="4">
        <v>231</v>
      </c>
      <c r="L43" s="4">
        <v>12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3">
      <c r="A44" s="4">
        <v>50</v>
      </c>
      <c r="B44" s="4">
        <v>0</v>
      </c>
      <c r="C44" s="4">
        <v>0</v>
      </c>
      <c r="D44" s="4">
        <v>1</v>
      </c>
      <c r="E44" s="4">
        <v>204</v>
      </c>
      <c r="F44" s="4">
        <f>ROUND(Source!R30,O44)</f>
        <v>0</v>
      </c>
      <c r="G44" s="4" t="s">
        <v>49</v>
      </c>
      <c r="H44" s="4" t="s">
        <v>50</v>
      </c>
      <c r="I44" s="4"/>
      <c r="J44" s="4"/>
      <c r="K44" s="4">
        <v>204</v>
      </c>
      <c r="L44" s="4">
        <v>13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3">
      <c r="A45" s="4">
        <v>50</v>
      </c>
      <c r="B45" s="4">
        <v>0</v>
      </c>
      <c r="C45" s="4">
        <v>0</v>
      </c>
      <c r="D45" s="4">
        <v>1</v>
      </c>
      <c r="E45" s="4">
        <v>205</v>
      </c>
      <c r="F45" s="4">
        <f>ROUND(Source!S30,O45)</f>
        <v>24096.51</v>
      </c>
      <c r="G45" s="4" t="s">
        <v>51</v>
      </c>
      <c r="H45" s="4" t="s">
        <v>52</v>
      </c>
      <c r="I45" s="4"/>
      <c r="J45" s="4"/>
      <c r="K45" s="4">
        <v>205</v>
      </c>
      <c r="L45" s="4">
        <v>14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3">
      <c r="A46" s="4">
        <v>50</v>
      </c>
      <c r="B46" s="4">
        <v>0</v>
      </c>
      <c r="C46" s="4">
        <v>0</v>
      </c>
      <c r="D46" s="4">
        <v>1</v>
      </c>
      <c r="E46" s="4">
        <v>232</v>
      </c>
      <c r="F46" s="4">
        <f>ROUND(Source!BC30,O46)</f>
        <v>0</v>
      </c>
      <c r="G46" s="4" t="s">
        <v>53</v>
      </c>
      <c r="H46" s="4" t="s">
        <v>54</v>
      </c>
      <c r="I46" s="4"/>
      <c r="J46" s="4"/>
      <c r="K46" s="4">
        <v>232</v>
      </c>
      <c r="L46" s="4">
        <v>15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3">
      <c r="A47" s="4">
        <v>50</v>
      </c>
      <c r="B47" s="4">
        <v>0</v>
      </c>
      <c r="C47" s="4">
        <v>0</v>
      </c>
      <c r="D47" s="4">
        <v>1</v>
      </c>
      <c r="E47" s="4">
        <v>214</v>
      </c>
      <c r="F47" s="4">
        <f>ROUND(Source!AS30,O47)</f>
        <v>64585.54</v>
      </c>
      <c r="G47" s="4" t="s">
        <v>55</v>
      </c>
      <c r="H47" s="4" t="s">
        <v>56</v>
      </c>
      <c r="I47" s="4"/>
      <c r="J47" s="4"/>
      <c r="K47" s="4">
        <v>214</v>
      </c>
      <c r="L47" s="4">
        <v>16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3">
      <c r="A48" s="4">
        <v>50</v>
      </c>
      <c r="B48" s="4">
        <v>0</v>
      </c>
      <c r="C48" s="4">
        <v>0</v>
      </c>
      <c r="D48" s="4">
        <v>1</v>
      </c>
      <c r="E48" s="4">
        <v>215</v>
      </c>
      <c r="F48" s="4">
        <f>ROUND(Source!AT30,O48)</f>
        <v>0</v>
      </c>
      <c r="G48" s="4" t="s">
        <v>57</v>
      </c>
      <c r="H48" s="4" t="s">
        <v>58</v>
      </c>
      <c r="I48" s="4"/>
      <c r="J48" s="4"/>
      <c r="K48" s="4">
        <v>215</v>
      </c>
      <c r="L48" s="4">
        <v>17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45">
      <c r="A49" s="4">
        <v>50</v>
      </c>
      <c r="B49" s="4">
        <v>0</v>
      </c>
      <c r="C49" s="4">
        <v>0</v>
      </c>
      <c r="D49" s="4">
        <v>1</v>
      </c>
      <c r="E49" s="4">
        <v>217</v>
      </c>
      <c r="F49" s="4">
        <f>ROUND(Source!AU30,O49)</f>
        <v>0</v>
      </c>
      <c r="G49" s="4" t="s">
        <v>59</v>
      </c>
      <c r="H49" s="4" t="s">
        <v>60</v>
      </c>
      <c r="I49" s="4"/>
      <c r="J49" s="4"/>
      <c r="K49" s="4">
        <v>217</v>
      </c>
      <c r="L49" s="4">
        <v>18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45">
      <c r="A50" s="4">
        <v>50</v>
      </c>
      <c r="B50" s="4">
        <v>0</v>
      </c>
      <c r="C50" s="4">
        <v>0</v>
      </c>
      <c r="D50" s="4">
        <v>1</v>
      </c>
      <c r="E50" s="4">
        <v>230</v>
      </c>
      <c r="F50" s="4">
        <f>ROUND(Source!BA30,O50)</f>
        <v>0</v>
      </c>
      <c r="G50" s="4" t="s">
        <v>61</v>
      </c>
      <c r="H50" s="4" t="s">
        <v>62</v>
      </c>
      <c r="I50" s="4"/>
      <c r="J50" s="4"/>
      <c r="K50" s="4">
        <v>230</v>
      </c>
      <c r="L50" s="4">
        <v>19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45">
      <c r="A51" s="4">
        <v>50</v>
      </c>
      <c r="B51" s="4">
        <v>0</v>
      </c>
      <c r="C51" s="4">
        <v>0</v>
      </c>
      <c r="D51" s="4">
        <v>1</v>
      </c>
      <c r="E51" s="4">
        <v>206</v>
      </c>
      <c r="F51" s="4">
        <f>ROUND(Source!T30,O51)</f>
        <v>0</v>
      </c>
      <c r="G51" s="4" t="s">
        <v>63</v>
      </c>
      <c r="H51" s="4" t="s">
        <v>64</v>
      </c>
      <c r="I51" s="4"/>
      <c r="J51" s="4"/>
      <c r="K51" s="4">
        <v>206</v>
      </c>
      <c r="L51" s="4">
        <v>20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45">
      <c r="A52" s="4">
        <v>50</v>
      </c>
      <c r="B52" s="4">
        <v>0</v>
      </c>
      <c r="C52" s="4">
        <v>0</v>
      </c>
      <c r="D52" s="4">
        <v>1</v>
      </c>
      <c r="E52" s="4">
        <v>207</v>
      </c>
      <c r="F52" s="4">
        <f>Source!U30</f>
        <v>93.110500000000002</v>
      </c>
      <c r="G52" s="4" t="s">
        <v>65</v>
      </c>
      <c r="H52" s="4" t="s">
        <v>66</v>
      </c>
      <c r="I52" s="4"/>
      <c r="J52" s="4"/>
      <c r="K52" s="4">
        <v>207</v>
      </c>
      <c r="L52" s="4">
        <v>21</v>
      </c>
      <c r="M52" s="4">
        <v>3</v>
      </c>
      <c r="N52" s="4" t="s">
        <v>3</v>
      </c>
      <c r="O52" s="4">
        <v>-1</v>
      </c>
      <c r="P52" s="4"/>
      <c r="Q52" s="4"/>
      <c r="R52" s="4"/>
      <c r="S52" s="4"/>
      <c r="T52" s="4"/>
      <c r="U52" s="4"/>
      <c r="V52" s="4"/>
      <c r="W52" s="4"/>
    </row>
    <row r="53" spans="1:245">
      <c r="A53" s="4">
        <v>50</v>
      </c>
      <c r="B53" s="4">
        <v>0</v>
      </c>
      <c r="C53" s="4">
        <v>0</v>
      </c>
      <c r="D53" s="4">
        <v>1</v>
      </c>
      <c r="E53" s="4">
        <v>208</v>
      </c>
      <c r="F53" s="4">
        <f>Source!V30</f>
        <v>0</v>
      </c>
      <c r="G53" s="4" t="s">
        <v>67</v>
      </c>
      <c r="H53" s="4" t="s">
        <v>68</v>
      </c>
      <c r="I53" s="4"/>
      <c r="J53" s="4"/>
      <c r="K53" s="4">
        <v>208</v>
      </c>
      <c r="L53" s="4">
        <v>22</v>
      </c>
      <c r="M53" s="4">
        <v>3</v>
      </c>
      <c r="N53" s="4" t="s">
        <v>3</v>
      </c>
      <c r="O53" s="4">
        <v>-1</v>
      </c>
      <c r="P53" s="4"/>
      <c r="Q53" s="4"/>
      <c r="R53" s="4"/>
      <c r="S53" s="4"/>
      <c r="T53" s="4"/>
      <c r="U53" s="4"/>
      <c r="V53" s="4"/>
      <c r="W53" s="4"/>
    </row>
    <row r="54" spans="1:245">
      <c r="A54" s="4">
        <v>50</v>
      </c>
      <c r="B54" s="4">
        <v>0</v>
      </c>
      <c r="C54" s="4">
        <v>0</v>
      </c>
      <c r="D54" s="4">
        <v>1</v>
      </c>
      <c r="E54" s="4">
        <v>209</v>
      </c>
      <c r="F54" s="4">
        <f>ROUND(Source!W30,O54)</f>
        <v>0</v>
      </c>
      <c r="G54" s="4" t="s">
        <v>69</v>
      </c>
      <c r="H54" s="4" t="s">
        <v>70</v>
      </c>
      <c r="I54" s="4"/>
      <c r="J54" s="4"/>
      <c r="K54" s="4">
        <v>209</v>
      </c>
      <c r="L54" s="4">
        <v>23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45">
      <c r="A55" s="4">
        <v>50</v>
      </c>
      <c r="B55" s="4">
        <v>0</v>
      </c>
      <c r="C55" s="4">
        <v>0</v>
      </c>
      <c r="D55" s="4">
        <v>1</v>
      </c>
      <c r="E55" s="4">
        <v>233</v>
      </c>
      <c r="F55" s="4">
        <f>ROUND(Source!BD30,O55)</f>
        <v>0</v>
      </c>
      <c r="G55" s="4" t="s">
        <v>71</v>
      </c>
      <c r="H55" s="4" t="s">
        <v>72</v>
      </c>
      <c r="I55" s="4"/>
      <c r="J55" s="4"/>
      <c r="K55" s="4">
        <v>233</v>
      </c>
      <c r="L55" s="4">
        <v>24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45">
      <c r="A56" s="4">
        <v>50</v>
      </c>
      <c r="B56" s="4">
        <v>0</v>
      </c>
      <c r="C56" s="4">
        <v>0</v>
      </c>
      <c r="D56" s="4">
        <v>1</v>
      </c>
      <c r="E56" s="4">
        <v>210</v>
      </c>
      <c r="F56" s="4">
        <f>ROUND(Source!X30,O56)</f>
        <v>23855.54</v>
      </c>
      <c r="G56" s="4" t="s">
        <v>73</v>
      </c>
      <c r="H56" s="4" t="s">
        <v>74</v>
      </c>
      <c r="I56" s="4"/>
      <c r="J56" s="4"/>
      <c r="K56" s="4">
        <v>210</v>
      </c>
      <c r="L56" s="4">
        <v>25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45">
      <c r="A57" s="4">
        <v>50</v>
      </c>
      <c r="B57" s="4">
        <v>0</v>
      </c>
      <c r="C57" s="4">
        <v>0</v>
      </c>
      <c r="D57" s="4">
        <v>1</v>
      </c>
      <c r="E57" s="4">
        <v>211</v>
      </c>
      <c r="F57" s="4">
        <f>ROUND(Source!Y30,O57)</f>
        <v>14457.91</v>
      </c>
      <c r="G57" s="4" t="s">
        <v>75</v>
      </c>
      <c r="H57" s="4" t="s">
        <v>76</v>
      </c>
      <c r="I57" s="4"/>
      <c r="J57" s="4"/>
      <c r="K57" s="4">
        <v>211</v>
      </c>
      <c r="L57" s="4">
        <v>26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45">
      <c r="A58" s="4">
        <v>50</v>
      </c>
      <c r="B58" s="4">
        <v>0</v>
      </c>
      <c r="C58" s="4">
        <v>0</v>
      </c>
      <c r="D58" s="4">
        <v>1</v>
      </c>
      <c r="E58" s="4">
        <v>224</v>
      </c>
      <c r="F58" s="4">
        <f>ROUND(Source!AR30,O58)</f>
        <v>64585.54</v>
      </c>
      <c r="G58" s="4" t="s">
        <v>77</v>
      </c>
      <c r="H58" s="4" t="s">
        <v>78</v>
      </c>
      <c r="I58" s="4"/>
      <c r="J58" s="4"/>
      <c r="K58" s="4">
        <v>224</v>
      </c>
      <c r="L58" s="4">
        <v>27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60" spans="1:245">
      <c r="A60" s="1">
        <v>4</v>
      </c>
      <c r="B60" s="1">
        <v>1</v>
      </c>
      <c r="C60" s="1"/>
      <c r="D60" s="1">
        <f>ROW(A76)</f>
        <v>76</v>
      </c>
      <c r="E60" s="1"/>
      <c r="F60" s="1" t="s">
        <v>13</v>
      </c>
      <c r="G60" s="1" t="s">
        <v>79</v>
      </c>
      <c r="H60" s="1" t="s">
        <v>3</v>
      </c>
      <c r="I60" s="1">
        <v>0</v>
      </c>
      <c r="J60" s="1"/>
      <c r="K60" s="1">
        <v>0</v>
      </c>
      <c r="L60" s="1"/>
      <c r="M60" s="1" t="s">
        <v>3</v>
      </c>
      <c r="N60" s="1"/>
      <c r="O60" s="1"/>
      <c r="P60" s="1"/>
      <c r="Q60" s="1"/>
      <c r="R60" s="1"/>
      <c r="S60" s="1">
        <v>0</v>
      </c>
      <c r="T60" s="1"/>
      <c r="U60" s="1" t="s">
        <v>3</v>
      </c>
      <c r="V60" s="1">
        <v>0</v>
      </c>
      <c r="W60" s="1"/>
      <c r="X60" s="1"/>
      <c r="Y60" s="1"/>
      <c r="Z60" s="1"/>
      <c r="AA60" s="1"/>
      <c r="AB60" s="1" t="s">
        <v>3</v>
      </c>
      <c r="AC60" s="1" t="s">
        <v>3</v>
      </c>
      <c r="AD60" s="1" t="s">
        <v>3</v>
      </c>
      <c r="AE60" s="1" t="s">
        <v>3</v>
      </c>
      <c r="AF60" s="1" t="s">
        <v>3</v>
      </c>
      <c r="AG60" s="1" t="s">
        <v>3</v>
      </c>
      <c r="AH60" s="1"/>
      <c r="AI60" s="1"/>
      <c r="AJ60" s="1"/>
      <c r="AK60" s="1"/>
      <c r="AL60" s="1"/>
      <c r="AM60" s="1"/>
      <c r="AN60" s="1"/>
      <c r="AO60" s="1"/>
      <c r="AP60" s="1" t="s">
        <v>3</v>
      </c>
      <c r="AQ60" s="1" t="s">
        <v>3</v>
      </c>
      <c r="AR60" s="1" t="s">
        <v>3</v>
      </c>
      <c r="AS60" s="1"/>
      <c r="AT60" s="1"/>
      <c r="AU60" s="1"/>
      <c r="AV60" s="1"/>
      <c r="AW60" s="1"/>
      <c r="AX60" s="1"/>
      <c r="AY60" s="1"/>
      <c r="AZ60" s="1" t="s">
        <v>3</v>
      </c>
      <c r="BA60" s="1"/>
      <c r="BB60" s="1" t="s">
        <v>3</v>
      </c>
      <c r="BC60" s="1" t="s">
        <v>3</v>
      </c>
      <c r="BD60" s="1" t="s">
        <v>3</v>
      </c>
      <c r="BE60" s="1" t="s">
        <v>3</v>
      </c>
      <c r="BF60" s="1" t="s">
        <v>3</v>
      </c>
      <c r="BG60" s="1" t="s">
        <v>3</v>
      </c>
      <c r="BH60" s="1" t="s">
        <v>3</v>
      </c>
      <c r="BI60" s="1" t="s">
        <v>3</v>
      </c>
      <c r="BJ60" s="1" t="s">
        <v>3</v>
      </c>
      <c r="BK60" s="1" t="s">
        <v>3</v>
      </c>
      <c r="BL60" s="1" t="s">
        <v>3</v>
      </c>
      <c r="BM60" s="1" t="s">
        <v>3</v>
      </c>
      <c r="BN60" s="1" t="s">
        <v>3</v>
      </c>
      <c r="BO60" s="1" t="s">
        <v>3</v>
      </c>
      <c r="BP60" s="1" t="s">
        <v>3</v>
      </c>
      <c r="BQ60" s="1"/>
      <c r="BR60" s="1"/>
      <c r="BS60" s="1"/>
      <c r="BT60" s="1"/>
      <c r="BU60" s="1"/>
      <c r="BV60" s="1"/>
      <c r="BW60" s="1"/>
      <c r="BX60" s="1">
        <v>0</v>
      </c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>
        <v>0</v>
      </c>
    </row>
    <row r="62" spans="1:245">
      <c r="A62" s="2">
        <v>52</v>
      </c>
      <c r="B62" s="2">
        <f t="shared" ref="B62:G62" si="23">B76</f>
        <v>1</v>
      </c>
      <c r="C62" s="2">
        <f t="shared" si="23"/>
        <v>4</v>
      </c>
      <c r="D62" s="2">
        <f t="shared" si="23"/>
        <v>60</v>
      </c>
      <c r="E62" s="2">
        <f t="shared" si="23"/>
        <v>0</v>
      </c>
      <c r="F62" s="2" t="str">
        <f t="shared" si="23"/>
        <v>Новый раздел</v>
      </c>
      <c r="G62" s="2" t="str">
        <f t="shared" si="23"/>
        <v>Ремонт</v>
      </c>
      <c r="H62" s="2"/>
      <c r="I62" s="2"/>
      <c r="J62" s="2"/>
      <c r="K62" s="2"/>
      <c r="L62" s="2"/>
      <c r="M62" s="2"/>
      <c r="N62" s="2"/>
      <c r="O62" s="2">
        <f t="shared" ref="O62:AT62" si="24">O76</f>
        <v>414386.6</v>
      </c>
      <c r="P62" s="2">
        <f t="shared" si="24"/>
        <v>349224.76</v>
      </c>
      <c r="Q62" s="2">
        <f t="shared" si="24"/>
        <v>4893.7299999999996</v>
      </c>
      <c r="R62" s="2">
        <f t="shared" si="24"/>
        <v>992.72</v>
      </c>
      <c r="S62" s="2">
        <f t="shared" si="24"/>
        <v>60268.11</v>
      </c>
      <c r="T62" s="2">
        <f t="shared" si="24"/>
        <v>0</v>
      </c>
      <c r="U62" s="2">
        <f t="shared" si="24"/>
        <v>198.17179999999996</v>
      </c>
      <c r="V62" s="2">
        <f t="shared" si="24"/>
        <v>2.2847499999999998</v>
      </c>
      <c r="W62" s="2">
        <f t="shared" si="24"/>
        <v>0</v>
      </c>
      <c r="X62" s="2">
        <f t="shared" si="24"/>
        <v>64537.46</v>
      </c>
      <c r="Y62" s="2">
        <f t="shared" si="24"/>
        <v>35170.76</v>
      </c>
      <c r="Z62" s="2">
        <f t="shared" si="24"/>
        <v>0</v>
      </c>
      <c r="AA62" s="2">
        <f t="shared" si="24"/>
        <v>0</v>
      </c>
      <c r="AB62" s="2">
        <f t="shared" si="24"/>
        <v>414386.6</v>
      </c>
      <c r="AC62" s="2">
        <f t="shared" si="24"/>
        <v>349224.76</v>
      </c>
      <c r="AD62" s="2">
        <f t="shared" si="24"/>
        <v>4893.7299999999996</v>
      </c>
      <c r="AE62" s="2">
        <f t="shared" si="24"/>
        <v>992.72</v>
      </c>
      <c r="AF62" s="2">
        <f t="shared" si="24"/>
        <v>60268.11</v>
      </c>
      <c r="AG62" s="2">
        <f t="shared" si="24"/>
        <v>0</v>
      </c>
      <c r="AH62" s="2">
        <f t="shared" si="24"/>
        <v>198.17179999999996</v>
      </c>
      <c r="AI62" s="2">
        <f t="shared" si="24"/>
        <v>2.2847499999999998</v>
      </c>
      <c r="AJ62" s="2">
        <f t="shared" si="24"/>
        <v>0</v>
      </c>
      <c r="AK62" s="2">
        <f t="shared" si="24"/>
        <v>64537.46</v>
      </c>
      <c r="AL62" s="2">
        <f t="shared" si="24"/>
        <v>35170.76</v>
      </c>
      <c r="AM62" s="2">
        <f t="shared" si="24"/>
        <v>0</v>
      </c>
      <c r="AN62" s="2">
        <f t="shared" si="24"/>
        <v>0</v>
      </c>
      <c r="AO62" s="2">
        <f t="shared" si="24"/>
        <v>0</v>
      </c>
      <c r="AP62" s="2">
        <f t="shared" si="24"/>
        <v>0</v>
      </c>
      <c r="AQ62" s="2">
        <f t="shared" si="24"/>
        <v>0</v>
      </c>
      <c r="AR62" s="2">
        <f t="shared" si="24"/>
        <v>514094.82</v>
      </c>
      <c r="AS62" s="2">
        <f t="shared" si="24"/>
        <v>514094.82</v>
      </c>
      <c r="AT62" s="2">
        <f t="shared" si="24"/>
        <v>0</v>
      </c>
      <c r="AU62" s="2">
        <f t="shared" ref="AU62:BZ62" si="25">AU76</f>
        <v>0</v>
      </c>
      <c r="AV62" s="2">
        <f t="shared" si="25"/>
        <v>349224.76</v>
      </c>
      <c r="AW62" s="2">
        <f t="shared" si="25"/>
        <v>349224.76</v>
      </c>
      <c r="AX62" s="2">
        <f t="shared" si="25"/>
        <v>0</v>
      </c>
      <c r="AY62" s="2">
        <f t="shared" si="25"/>
        <v>349224.76</v>
      </c>
      <c r="AZ62" s="2">
        <f t="shared" si="25"/>
        <v>0</v>
      </c>
      <c r="BA62" s="2">
        <f t="shared" si="25"/>
        <v>0</v>
      </c>
      <c r="BB62" s="2">
        <f t="shared" si="25"/>
        <v>0</v>
      </c>
      <c r="BC62" s="2">
        <f t="shared" si="25"/>
        <v>0</v>
      </c>
      <c r="BD62" s="2">
        <f t="shared" si="25"/>
        <v>497.23</v>
      </c>
      <c r="BE62" s="2">
        <f t="shared" si="25"/>
        <v>0</v>
      </c>
      <c r="BF62" s="2">
        <f t="shared" si="25"/>
        <v>0</v>
      </c>
      <c r="BG62" s="2">
        <f t="shared" si="25"/>
        <v>0</v>
      </c>
      <c r="BH62" s="2">
        <f t="shared" si="25"/>
        <v>0</v>
      </c>
      <c r="BI62" s="2">
        <f t="shared" si="25"/>
        <v>0</v>
      </c>
      <c r="BJ62" s="2">
        <f t="shared" si="25"/>
        <v>0</v>
      </c>
      <c r="BK62" s="2">
        <f t="shared" si="25"/>
        <v>0</v>
      </c>
      <c r="BL62" s="2">
        <f t="shared" si="25"/>
        <v>0</v>
      </c>
      <c r="BM62" s="2">
        <f t="shared" si="25"/>
        <v>0</v>
      </c>
      <c r="BN62" s="2">
        <f t="shared" si="25"/>
        <v>0</v>
      </c>
      <c r="BO62" s="2">
        <f t="shared" si="25"/>
        <v>0</v>
      </c>
      <c r="BP62" s="2">
        <f t="shared" si="25"/>
        <v>0</v>
      </c>
      <c r="BQ62" s="2">
        <f t="shared" si="25"/>
        <v>0</v>
      </c>
      <c r="BR62" s="2">
        <f t="shared" si="25"/>
        <v>0</v>
      </c>
      <c r="BS62" s="2">
        <f t="shared" si="25"/>
        <v>0</v>
      </c>
      <c r="BT62" s="2">
        <f t="shared" si="25"/>
        <v>0</v>
      </c>
      <c r="BU62" s="2">
        <f t="shared" si="25"/>
        <v>0</v>
      </c>
      <c r="BV62" s="2">
        <f t="shared" si="25"/>
        <v>0</v>
      </c>
      <c r="BW62" s="2">
        <f t="shared" si="25"/>
        <v>0</v>
      </c>
      <c r="BX62" s="2">
        <f t="shared" si="25"/>
        <v>0</v>
      </c>
      <c r="BY62" s="2">
        <f t="shared" si="25"/>
        <v>0</v>
      </c>
      <c r="BZ62" s="2">
        <f t="shared" si="25"/>
        <v>0</v>
      </c>
      <c r="CA62" s="2">
        <f t="shared" ref="CA62:DF62" si="26">CA76</f>
        <v>514094.82</v>
      </c>
      <c r="CB62" s="2">
        <f t="shared" si="26"/>
        <v>514094.82</v>
      </c>
      <c r="CC62" s="2">
        <f t="shared" si="26"/>
        <v>0</v>
      </c>
      <c r="CD62" s="2">
        <f t="shared" si="26"/>
        <v>0</v>
      </c>
      <c r="CE62" s="2">
        <f t="shared" si="26"/>
        <v>349224.76</v>
      </c>
      <c r="CF62" s="2">
        <f t="shared" si="26"/>
        <v>349224.76</v>
      </c>
      <c r="CG62" s="2">
        <f t="shared" si="26"/>
        <v>0</v>
      </c>
      <c r="CH62" s="2">
        <f t="shared" si="26"/>
        <v>349224.76</v>
      </c>
      <c r="CI62" s="2">
        <f t="shared" si="26"/>
        <v>0</v>
      </c>
      <c r="CJ62" s="2">
        <f t="shared" si="26"/>
        <v>0</v>
      </c>
      <c r="CK62" s="2">
        <f t="shared" si="26"/>
        <v>0</v>
      </c>
      <c r="CL62" s="2">
        <f t="shared" si="26"/>
        <v>0</v>
      </c>
      <c r="CM62" s="2">
        <f t="shared" si="26"/>
        <v>497.23</v>
      </c>
      <c r="CN62" s="2">
        <f t="shared" si="26"/>
        <v>0</v>
      </c>
      <c r="CO62" s="2">
        <f t="shared" si="26"/>
        <v>0</v>
      </c>
      <c r="CP62" s="2">
        <f t="shared" si="26"/>
        <v>0</v>
      </c>
      <c r="CQ62" s="2">
        <f t="shared" si="26"/>
        <v>0</v>
      </c>
      <c r="CR62" s="2">
        <f t="shared" si="26"/>
        <v>0</v>
      </c>
      <c r="CS62" s="2">
        <f t="shared" si="26"/>
        <v>0</v>
      </c>
      <c r="CT62" s="2">
        <f t="shared" si="26"/>
        <v>0</v>
      </c>
      <c r="CU62" s="2">
        <f t="shared" si="26"/>
        <v>0</v>
      </c>
      <c r="CV62" s="2">
        <f t="shared" si="26"/>
        <v>0</v>
      </c>
      <c r="CW62" s="2">
        <f t="shared" si="26"/>
        <v>0</v>
      </c>
      <c r="CX62" s="2">
        <f t="shared" si="26"/>
        <v>0</v>
      </c>
      <c r="CY62" s="2">
        <f t="shared" si="26"/>
        <v>0</v>
      </c>
      <c r="CZ62" s="2">
        <f t="shared" si="26"/>
        <v>0</v>
      </c>
      <c r="DA62" s="2">
        <f t="shared" si="26"/>
        <v>0</v>
      </c>
      <c r="DB62" s="2">
        <f t="shared" si="26"/>
        <v>0</v>
      </c>
      <c r="DC62" s="2">
        <f t="shared" si="26"/>
        <v>0</v>
      </c>
      <c r="DD62" s="2">
        <f t="shared" si="26"/>
        <v>0</v>
      </c>
      <c r="DE62" s="2">
        <f t="shared" si="26"/>
        <v>0</v>
      </c>
      <c r="DF62" s="2">
        <f t="shared" si="26"/>
        <v>0</v>
      </c>
      <c r="DG62" s="3">
        <f t="shared" ref="DG62:EL62" si="27">DG76</f>
        <v>0</v>
      </c>
      <c r="DH62" s="3">
        <f t="shared" si="27"/>
        <v>0</v>
      </c>
      <c r="DI62" s="3">
        <f t="shared" si="27"/>
        <v>0</v>
      </c>
      <c r="DJ62" s="3">
        <f t="shared" si="27"/>
        <v>0</v>
      </c>
      <c r="DK62" s="3">
        <f t="shared" si="27"/>
        <v>0</v>
      </c>
      <c r="DL62" s="3">
        <f t="shared" si="27"/>
        <v>0</v>
      </c>
      <c r="DM62" s="3">
        <f t="shared" si="27"/>
        <v>0</v>
      </c>
      <c r="DN62" s="3">
        <f t="shared" si="27"/>
        <v>0</v>
      </c>
      <c r="DO62" s="3">
        <f t="shared" si="27"/>
        <v>0</v>
      </c>
      <c r="DP62" s="3">
        <f t="shared" si="27"/>
        <v>0</v>
      </c>
      <c r="DQ62" s="3">
        <f t="shared" si="27"/>
        <v>0</v>
      </c>
      <c r="DR62" s="3">
        <f t="shared" si="27"/>
        <v>0</v>
      </c>
      <c r="DS62" s="3">
        <f t="shared" si="27"/>
        <v>0</v>
      </c>
      <c r="DT62" s="3">
        <f t="shared" si="27"/>
        <v>0</v>
      </c>
      <c r="DU62" s="3">
        <f t="shared" si="27"/>
        <v>0</v>
      </c>
      <c r="DV62" s="3">
        <f t="shared" si="27"/>
        <v>0</v>
      </c>
      <c r="DW62" s="3">
        <f t="shared" si="27"/>
        <v>0</v>
      </c>
      <c r="DX62" s="3">
        <f t="shared" si="27"/>
        <v>0</v>
      </c>
      <c r="DY62" s="3">
        <f t="shared" si="27"/>
        <v>0</v>
      </c>
      <c r="DZ62" s="3">
        <f t="shared" si="27"/>
        <v>0</v>
      </c>
      <c r="EA62" s="3">
        <f t="shared" si="27"/>
        <v>0</v>
      </c>
      <c r="EB62" s="3">
        <f t="shared" si="27"/>
        <v>0</v>
      </c>
      <c r="EC62" s="3">
        <f t="shared" si="27"/>
        <v>0</v>
      </c>
      <c r="ED62" s="3">
        <f t="shared" si="27"/>
        <v>0</v>
      </c>
      <c r="EE62" s="3">
        <f t="shared" si="27"/>
        <v>0</v>
      </c>
      <c r="EF62" s="3">
        <f t="shared" si="27"/>
        <v>0</v>
      </c>
      <c r="EG62" s="3">
        <f t="shared" si="27"/>
        <v>0</v>
      </c>
      <c r="EH62" s="3">
        <f t="shared" si="27"/>
        <v>0</v>
      </c>
      <c r="EI62" s="3">
        <f t="shared" si="27"/>
        <v>0</v>
      </c>
      <c r="EJ62" s="3">
        <f t="shared" si="27"/>
        <v>0</v>
      </c>
      <c r="EK62" s="3">
        <f t="shared" si="27"/>
        <v>0</v>
      </c>
      <c r="EL62" s="3">
        <f t="shared" si="27"/>
        <v>0</v>
      </c>
      <c r="EM62" s="3">
        <f t="shared" ref="EM62:FR62" si="28">EM76</f>
        <v>0</v>
      </c>
      <c r="EN62" s="3">
        <f t="shared" si="28"/>
        <v>0</v>
      </c>
      <c r="EO62" s="3">
        <f t="shared" si="28"/>
        <v>0</v>
      </c>
      <c r="EP62" s="3">
        <f t="shared" si="28"/>
        <v>0</v>
      </c>
      <c r="EQ62" s="3">
        <f t="shared" si="28"/>
        <v>0</v>
      </c>
      <c r="ER62" s="3">
        <f t="shared" si="28"/>
        <v>0</v>
      </c>
      <c r="ES62" s="3">
        <f t="shared" si="28"/>
        <v>0</v>
      </c>
      <c r="ET62" s="3">
        <f t="shared" si="28"/>
        <v>0</v>
      </c>
      <c r="EU62" s="3">
        <f t="shared" si="28"/>
        <v>0</v>
      </c>
      <c r="EV62" s="3">
        <f t="shared" si="28"/>
        <v>0</v>
      </c>
      <c r="EW62" s="3">
        <f t="shared" si="28"/>
        <v>0</v>
      </c>
      <c r="EX62" s="3">
        <f t="shared" si="28"/>
        <v>0</v>
      </c>
      <c r="EY62" s="3">
        <f t="shared" si="28"/>
        <v>0</v>
      </c>
      <c r="EZ62" s="3">
        <f t="shared" si="28"/>
        <v>0</v>
      </c>
      <c r="FA62" s="3">
        <f t="shared" si="28"/>
        <v>0</v>
      </c>
      <c r="FB62" s="3">
        <f t="shared" si="28"/>
        <v>0</v>
      </c>
      <c r="FC62" s="3">
        <f t="shared" si="28"/>
        <v>0</v>
      </c>
      <c r="FD62" s="3">
        <f t="shared" si="28"/>
        <v>0</v>
      </c>
      <c r="FE62" s="3">
        <f t="shared" si="28"/>
        <v>0</v>
      </c>
      <c r="FF62" s="3">
        <f t="shared" si="28"/>
        <v>0</v>
      </c>
      <c r="FG62" s="3">
        <f t="shared" si="28"/>
        <v>0</v>
      </c>
      <c r="FH62" s="3">
        <f t="shared" si="28"/>
        <v>0</v>
      </c>
      <c r="FI62" s="3">
        <f t="shared" si="28"/>
        <v>0</v>
      </c>
      <c r="FJ62" s="3">
        <f t="shared" si="28"/>
        <v>0</v>
      </c>
      <c r="FK62" s="3">
        <f t="shared" si="28"/>
        <v>0</v>
      </c>
      <c r="FL62" s="3">
        <f t="shared" si="28"/>
        <v>0</v>
      </c>
      <c r="FM62" s="3">
        <f t="shared" si="28"/>
        <v>0</v>
      </c>
      <c r="FN62" s="3">
        <f t="shared" si="28"/>
        <v>0</v>
      </c>
      <c r="FO62" s="3">
        <f t="shared" si="28"/>
        <v>0</v>
      </c>
      <c r="FP62" s="3">
        <f t="shared" si="28"/>
        <v>0</v>
      </c>
      <c r="FQ62" s="3">
        <f t="shared" si="28"/>
        <v>0</v>
      </c>
      <c r="FR62" s="3">
        <f t="shared" si="28"/>
        <v>0</v>
      </c>
      <c r="FS62" s="3">
        <f t="shared" ref="FS62:GX62" si="29">FS76</f>
        <v>0</v>
      </c>
      <c r="FT62" s="3">
        <f t="shared" si="29"/>
        <v>0</v>
      </c>
      <c r="FU62" s="3">
        <f t="shared" si="29"/>
        <v>0</v>
      </c>
      <c r="FV62" s="3">
        <f t="shared" si="29"/>
        <v>0</v>
      </c>
      <c r="FW62" s="3">
        <f t="shared" si="29"/>
        <v>0</v>
      </c>
      <c r="FX62" s="3">
        <f t="shared" si="29"/>
        <v>0</v>
      </c>
      <c r="FY62" s="3">
        <f t="shared" si="29"/>
        <v>0</v>
      </c>
      <c r="FZ62" s="3">
        <f t="shared" si="29"/>
        <v>0</v>
      </c>
      <c r="GA62" s="3">
        <f t="shared" si="29"/>
        <v>0</v>
      </c>
      <c r="GB62" s="3">
        <f t="shared" si="29"/>
        <v>0</v>
      </c>
      <c r="GC62" s="3">
        <f t="shared" si="29"/>
        <v>0</v>
      </c>
      <c r="GD62" s="3">
        <f t="shared" si="29"/>
        <v>0</v>
      </c>
      <c r="GE62" s="3">
        <f t="shared" si="29"/>
        <v>0</v>
      </c>
      <c r="GF62" s="3">
        <f t="shared" si="29"/>
        <v>0</v>
      </c>
      <c r="GG62" s="3">
        <f t="shared" si="29"/>
        <v>0</v>
      </c>
      <c r="GH62" s="3">
        <f t="shared" si="29"/>
        <v>0</v>
      </c>
      <c r="GI62" s="3">
        <f t="shared" si="29"/>
        <v>0</v>
      </c>
      <c r="GJ62" s="3">
        <f t="shared" si="29"/>
        <v>0</v>
      </c>
      <c r="GK62" s="3">
        <f t="shared" si="29"/>
        <v>0</v>
      </c>
      <c r="GL62" s="3">
        <f t="shared" si="29"/>
        <v>0</v>
      </c>
      <c r="GM62" s="3">
        <f t="shared" si="29"/>
        <v>0</v>
      </c>
      <c r="GN62" s="3">
        <f t="shared" si="29"/>
        <v>0</v>
      </c>
      <c r="GO62" s="3">
        <f t="shared" si="29"/>
        <v>0</v>
      </c>
      <c r="GP62" s="3">
        <f t="shared" si="29"/>
        <v>0</v>
      </c>
      <c r="GQ62" s="3">
        <f t="shared" si="29"/>
        <v>0</v>
      </c>
      <c r="GR62" s="3">
        <f t="shared" si="29"/>
        <v>0</v>
      </c>
      <c r="GS62" s="3">
        <f t="shared" si="29"/>
        <v>0</v>
      </c>
      <c r="GT62" s="3">
        <f t="shared" si="29"/>
        <v>0</v>
      </c>
      <c r="GU62" s="3">
        <f t="shared" si="29"/>
        <v>0</v>
      </c>
      <c r="GV62" s="3">
        <f t="shared" si="29"/>
        <v>0</v>
      </c>
      <c r="GW62" s="3">
        <f t="shared" si="29"/>
        <v>0</v>
      </c>
      <c r="GX62" s="3">
        <f t="shared" si="29"/>
        <v>0</v>
      </c>
    </row>
    <row r="64" spans="1:245">
      <c r="A64">
        <v>17</v>
      </c>
      <c r="B64">
        <v>1</v>
      </c>
      <c r="C64">
        <f>ROW(SmtRes!A10)</f>
        <v>10</v>
      </c>
      <c r="D64">
        <f>ROW(EtalonRes!A10)</f>
        <v>10</v>
      </c>
      <c r="E64" t="s">
        <v>80</v>
      </c>
      <c r="F64" t="s">
        <v>81</v>
      </c>
      <c r="G64" t="s">
        <v>82</v>
      </c>
      <c r="H64" t="s">
        <v>83</v>
      </c>
      <c r="I64">
        <f>ROUND(20/100,9)</f>
        <v>0.2</v>
      </c>
      <c r="J64">
        <v>0</v>
      </c>
      <c r="O64">
        <f t="shared" ref="O64:O74" si="30">ROUND(CP64,2)</f>
        <v>9194.23</v>
      </c>
      <c r="P64">
        <f t="shared" ref="P64:P74" si="31">ROUND(CQ64*I64,2)</f>
        <v>1399.03</v>
      </c>
      <c r="Q64">
        <f t="shared" ref="Q64:Q74" si="32">ROUND(CR64*I64,2)</f>
        <v>157.76</v>
      </c>
      <c r="R64">
        <f t="shared" ref="R64:R74" si="33">ROUND(CS64*I64,2)</f>
        <v>92.11</v>
      </c>
      <c r="S64">
        <f t="shared" ref="S64:S74" si="34">ROUND(CT64*I64,2)</f>
        <v>7637.44</v>
      </c>
      <c r="T64">
        <f t="shared" ref="T64:T74" si="35">ROUND(CU64*I64,2)</f>
        <v>0</v>
      </c>
      <c r="U64">
        <f t="shared" ref="U64:U74" si="36">CV64*I64</f>
        <v>25.980000000000004</v>
      </c>
      <c r="V64">
        <f t="shared" ref="V64:V74" si="37">CW64*I64</f>
        <v>0.27599999999999997</v>
      </c>
      <c r="W64">
        <f t="shared" ref="W64:W74" si="38">ROUND(CX64*I64,2)</f>
        <v>0</v>
      </c>
      <c r="X64">
        <f t="shared" ref="X64:X74" si="39">ROUND(CY64,2)</f>
        <v>6415.53</v>
      </c>
      <c r="Y64">
        <f t="shared" ref="Y64:Y74" si="40">ROUND(CZ64,2)</f>
        <v>5024.21</v>
      </c>
      <c r="AA64">
        <v>36145237</v>
      </c>
      <c r="AB64">
        <f t="shared" ref="AB64:AB74" si="41">ROUND((AC64+AD64+AF64),6)</f>
        <v>2341.86</v>
      </c>
      <c r="AC64">
        <f t="shared" ref="AC64:AC74" si="42">ROUND((ES64),6)</f>
        <v>1121.02</v>
      </c>
      <c r="AD64">
        <f>ROUND((((ET64)-(EU64))+AE64),6)</f>
        <v>69.930000000000007</v>
      </c>
      <c r="AE64">
        <f>ROUND((EU64),6)</f>
        <v>13.88</v>
      </c>
      <c r="AF64">
        <f>ROUND((EV64),6)</f>
        <v>1150.9100000000001</v>
      </c>
      <c r="AG64">
        <f t="shared" ref="AG64:AG74" si="43">ROUND((AP64),6)</f>
        <v>0</v>
      </c>
      <c r="AH64">
        <f>(EW64)</f>
        <v>129.9</v>
      </c>
      <c r="AI64">
        <f>(EX64)</f>
        <v>1.38</v>
      </c>
      <c r="AJ64">
        <f t="shared" ref="AJ64:AJ74" si="44">(AS64)</f>
        <v>0</v>
      </c>
      <c r="AK64">
        <v>2341.86</v>
      </c>
      <c r="AL64">
        <v>1121.02</v>
      </c>
      <c r="AM64">
        <v>69.930000000000007</v>
      </c>
      <c r="AN64">
        <v>13.88</v>
      </c>
      <c r="AO64">
        <v>1150.9100000000001</v>
      </c>
      <c r="AP64">
        <v>0</v>
      </c>
      <c r="AQ64">
        <v>129.9</v>
      </c>
      <c r="AR64">
        <v>1.38</v>
      </c>
      <c r="AS64">
        <v>0</v>
      </c>
      <c r="AT64">
        <v>83</v>
      </c>
      <c r="AU64">
        <v>65</v>
      </c>
      <c r="AV64">
        <v>1</v>
      </c>
      <c r="AW64">
        <v>1</v>
      </c>
      <c r="AZ64">
        <v>1</v>
      </c>
      <c r="BA64">
        <v>33.18</v>
      </c>
      <c r="BB64">
        <v>11.28</v>
      </c>
      <c r="BC64">
        <v>6.24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84</v>
      </c>
      <c r="BM64">
        <v>58001</v>
      </c>
      <c r="BN64">
        <v>0</v>
      </c>
      <c r="BO64" t="s">
        <v>81</v>
      </c>
      <c r="BP64">
        <v>1</v>
      </c>
      <c r="BQ64">
        <v>6</v>
      </c>
      <c r="BR64">
        <v>0</v>
      </c>
      <c r="BS64">
        <v>33.18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83</v>
      </c>
      <c r="CA64">
        <v>65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ref="CP64:CP74" si="45">(P64+Q64+S64)</f>
        <v>9194.23</v>
      </c>
      <c r="CQ64">
        <f t="shared" ref="CQ64:CQ74" si="46">AC64*BC64</f>
        <v>6995.1648000000005</v>
      </c>
      <c r="CR64">
        <f t="shared" ref="CR64:CR74" si="47">AD64*BB64</f>
        <v>788.81040000000007</v>
      </c>
      <c r="CS64">
        <f t="shared" ref="CS64:CS74" si="48">AE64*BS64</f>
        <v>460.53840000000002</v>
      </c>
      <c r="CT64">
        <f t="shared" ref="CT64:CT74" si="49">AF64*BA64</f>
        <v>38187.193800000001</v>
      </c>
      <c r="CU64">
        <f t="shared" ref="CU64:CU74" si="50">AG64</f>
        <v>0</v>
      </c>
      <c r="CV64">
        <f t="shared" ref="CV64:CV74" si="51">AH64</f>
        <v>129.9</v>
      </c>
      <c r="CW64">
        <f t="shared" ref="CW64:CW74" si="52">AI64</f>
        <v>1.38</v>
      </c>
      <c r="CX64">
        <f t="shared" ref="CX64:CX74" si="53">AJ64</f>
        <v>0</v>
      </c>
      <c r="CY64">
        <f t="shared" ref="CY64:CY74" si="54">(((S64+R64)*AT64)/100)</f>
        <v>6415.526499999999</v>
      </c>
      <c r="CZ64">
        <f t="shared" ref="CZ64:CZ74" si="55">(((S64+R64)*AU64)/100)</f>
        <v>5024.2074999999995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83</v>
      </c>
      <c r="DW64" t="s">
        <v>83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36260506</v>
      </c>
      <c r="EF64">
        <v>6</v>
      </c>
      <c r="EG64" t="s">
        <v>85</v>
      </c>
      <c r="EH64">
        <v>0</v>
      </c>
      <c r="EI64" t="s">
        <v>3</v>
      </c>
      <c r="EJ64">
        <v>1</v>
      </c>
      <c r="EK64">
        <v>58001</v>
      </c>
      <c r="EL64" t="s">
        <v>86</v>
      </c>
      <c r="EM64" t="s">
        <v>87</v>
      </c>
      <c r="EO64" t="s">
        <v>3</v>
      </c>
      <c r="EQ64">
        <v>0</v>
      </c>
      <c r="ER64">
        <v>2341.86</v>
      </c>
      <c r="ES64">
        <v>1121.02</v>
      </c>
      <c r="ET64">
        <v>69.930000000000007</v>
      </c>
      <c r="EU64">
        <v>13.88</v>
      </c>
      <c r="EV64">
        <v>1150.9100000000001</v>
      </c>
      <c r="EW64">
        <v>129.9</v>
      </c>
      <c r="EX64">
        <v>1.38</v>
      </c>
      <c r="EY64">
        <v>0</v>
      </c>
      <c r="FQ64">
        <v>0</v>
      </c>
      <c r="FR64">
        <f t="shared" ref="FR64:FR74" si="56">ROUND(IF(AND(BH64=3,BI64=3),P64,0),2)</f>
        <v>0</v>
      </c>
      <c r="FS64">
        <v>0</v>
      </c>
      <c r="FX64">
        <v>83</v>
      </c>
      <c r="FY64">
        <v>65</v>
      </c>
      <c r="GA64" t="s">
        <v>3</v>
      </c>
      <c r="GD64">
        <v>1</v>
      </c>
      <c r="GF64">
        <v>933432604</v>
      </c>
      <c r="GG64">
        <v>2</v>
      </c>
      <c r="GH64">
        <v>1</v>
      </c>
      <c r="GI64">
        <v>2</v>
      </c>
      <c r="GJ64">
        <v>0</v>
      </c>
      <c r="GK64">
        <v>0</v>
      </c>
      <c r="GL64">
        <f t="shared" ref="GL64:GL74" si="57">ROUND(IF(AND(BH64=3,BI64=3,FS64&lt;&gt;0),P64,0),2)</f>
        <v>0</v>
      </c>
      <c r="GM64">
        <f t="shared" ref="GM64:GM74" si="58">ROUND(O64+X64+Y64,2)+GX64</f>
        <v>20633.97</v>
      </c>
      <c r="GN64">
        <f t="shared" ref="GN64:GN74" si="59">IF(OR(BI64=0,BI64=1),ROUND(O64+X64+Y64,2),0)</f>
        <v>20633.97</v>
      </c>
      <c r="GO64">
        <f t="shared" ref="GO64:GO74" si="60">IF(BI64=2,ROUND(O64+X64+Y64,2),0)</f>
        <v>0</v>
      </c>
      <c r="GP64">
        <f t="shared" ref="GP64:GP74" si="61">IF(BI64=4,ROUND(O64+X64+Y64,2)+GX64,0)</f>
        <v>0</v>
      </c>
      <c r="GR64">
        <v>0</v>
      </c>
      <c r="GS64">
        <v>3</v>
      </c>
      <c r="GT64">
        <v>0</v>
      </c>
      <c r="GU64" t="s">
        <v>3</v>
      </c>
      <c r="GV64">
        <f t="shared" ref="GV64:GV74" si="62">ROUND((GT64),6)</f>
        <v>0</v>
      </c>
      <c r="GW64">
        <v>1</v>
      </c>
      <c r="GX64">
        <f t="shared" ref="GX64:GX74" si="63">ROUND(HC64*I64,2)</f>
        <v>0</v>
      </c>
      <c r="HA64">
        <v>0</v>
      </c>
      <c r="HB64">
        <v>0</v>
      </c>
      <c r="HC64">
        <f t="shared" ref="HC64:HC74" si="64">GV64*GW64</f>
        <v>0</v>
      </c>
      <c r="HE64" t="s">
        <v>3</v>
      </c>
      <c r="HF64" t="s">
        <v>3</v>
      </c>
      <c r="IK64">
        <v>0</v>
      </c>
    </row>
    <row r="65" spans="1:245">
      <c r="A65">
        <v>18</v>
      </c>
      <c r="B65">
        <v>1</v>
      </c>
      <c r="C65">
        <v>10</v>
      </c>
      <c r="E65" t="s">
        <v>88</v>
      </c>
      <c r="F65" t="s">
        <v>89</v>
      </c>
      <c r="G65" t="s">
        <v>90</v>
      </c>
      <c r="H65" t="s">
        <v>91</v>
      </c>
      <c r="I65">
        <f>I64*J65</f>
        <v>0.29599999999999999</v>
      </c>
      <c r="J65">
        <v>1.4799999999999998</v>
      </c>
      <c r="O65">
        <f t="shared" si="30"/>
        <v>0</v>
      </c>
      <c r="P65">
        <f t="shared" si="31"/>
        <v>0</v>
      </c>
      <c r="Q65">
        <f t="shared" si="32"/>
        <v>0</v>
      </c>
      <c r="R65">
        <f t="shared" si="33"/>
        <v>0</v>
      </c>
      <c r="S65">
        <f t="shared" si="34"/>
        <v>0</v>
      </c>
      <c r="T65">
        <f t="shared" si="35"/>
        <v>0</v>
      </c>
      <c r="U65">
        <f t="shared" si="36"/>
        <v>0</v>
      </c>
      <c r="V65">
        <f t="shared" si="37"/>
        <v>0</v>
      </c>
      <c r="W65">
        <f t="shared" si="38"/>
        <v>0</v>
      </c>
      <c r="X65">
        <f t="shared" si="39"/>
        <v>0</v>
      </c>
      <c r="Y65">
        <f t="shared" si="40"/>
        <v>0</v>
      </c>
      <c r="AA65">
        <v>36145237</v>
      </c>
      <c r="AB65">
        <f t="shared" si="41"/>
        <v>0</v>
      </c>
      <c r="AC65">
        <f t="shared" si="42"/>
        <v>0</v>
      </c>
      <c r="AD65">
        <f>ROUND((((ET65)-(EU65))+AE65),6)</f>
        <v>0</v>
      </c>
      <c r="AE65">
        <f>ROUND((EU65),6)</f>
        <v>0</v>
      </c>
      <c r="AF65">
        <f>ROUND((EV65),6)</f>
        <v>0</v>
      </c>
      <c r="AG65">
        <f t="shared" si="43"/>
        <v>0</v>
      </c>
      <c r="AH65">
        <f>(EW65)</f>
        <v>0</v>
      </c>
      <c r="AI65">
        <f>(EX65)</f>
        <v>0</v>
      </c>
      <c r="AJ65">
        <f t="shared" si="44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83</v>
      </c>
      <c r="AU65">
        <v>65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92</v>
      </c>
      <c r="BM65">
        <v>58001</v>
      </c>
      <c r="BN65">
        <v>0</v>
      </c>
      <c r="BO65" t="s">
        <v>3</v>
      </c>
      <c r="BP65">
        <v>0</v>
      </c>
      <c r="BQ65">
        <v>6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83</v>
      </c>
      <c r="CA65">
        <v>65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45"/>
        <v>0</v>
      </c>
      <c r="CQ65">
        <f t="shared" si="46"/>
        <v>0</v>
      </c>
      <c r="CR65">
        <f t="shared" si="47"/>
        <v>0</v>
      </c>
      <c r="CS65">
        <f t="shared" si="48"/>
        <v>0</v>
      </c>
      <c r="CT65">
        <f t="shared" si="49"/>
        <v>0</v>
      </c>
      <c r="CU65">
        <f t="shared" si="50"/>
        <v>0</v>
      </c>
      <c r="CV65">
        <f t="shared" si="51"/>
        <v>0</v>
      </c>
      <c r="CW65">
        <f t="shared" si="52"/>
        <v>0</v>
      </c>
      <c r="CX65">
        <f t="shared" si="53"/>
        <v>0</v>
      </c>
      <c r="CY65">
        <f t="shared" si="54"/>
        <v>0</v>
      </c>
      <c r="CZ65">
        <f t="shared" si="55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1009</v>
      </c>
      <c r="DV65" t="s">
        <v>91</v>
      </c>
      <c r="DW65" t="s">
        <v>91</v>
      </c>
      <c r="DX65">
        <v>1000</v>
      </c>
      <c r="DZ65" t="s">
        <v>3</v>
      </c>
      <c r="EA65" t="s">
        <v>3</v>
      </c>
      <c r="EB65" t="s">
        <v>3</v>
      </c>
      <c r="EC65" t="s">
        <v>3</v>
      </c>
      <c r="EE65">
        <v>36260506</v>
      </c>
      <c r="EF65">
        <v>6</v>
      </c>
      <c r="EG65" t="s">
        <v>85</v>
      </c>
      <c r="EH65">
        <v>0</v>
      </c>
      <c r="EI65" t="s">
        <v>3</v>
      </c>
      <c r="EJ65">
        <v>1</v>
      </c>
      <c r="EK65">
        <v>58001</v>
      </c>
      <c r="EL65" t="s">
        <v>86</v>
      </c>
      <c r="EM65" t="s">
        <v>87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56"/>
        <v>0</v>
      </c>
      <c r="FS65">
        <v>0</v>
      </c>
      <c r="FX65">
        <v>83</v>
      </c>
      <c r="FY65">
        <v>65</v>
      </c>
      <c r="GA65" t="s">
        <v>3</v>
      </c>
      <c r="GD65">
        <v>1</v>
      </c>
      <c r="GF65">
        <v>-304821490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57"/>
        <v>0</v>
      </c>
      <c r="GM65">
        <f t="shared" si="58"/>
        <v>0</v>
      </c>
      <c r="GN65">
        <f t="shared" si="59"/>
        <v>0</v>
      </c>
      <c r="GO65">
        <f t="shared" si="60"/>
        <v>0</v>
      </c>
      <c r="GP65">
        <f t="shared" si="61"/>
        <v>0</v>
      </c>
      <c r="GR65">
        <v>0</v>
      </c>
      <c r="GS65">
        <v>3</v>
      </c>
      <c r="GT65">
        <v>0</v>
      </c>
      <c r="GU65" t="s">
        <v>3</v>
      </c>
      <c r="GV65">
        <f t="shared" si="62"/>
        <v>0</v>
      </c>
      <c r="GW65">
        <v>1</v>
      </c>
      <c r="GX65">
        <f t="shared" si="63"/>
        <v>0</v>
      </c>
      <c r="HA65">
        <v>0</v>
      </c>
      <c r="HB65">
        <v>0</v>
      </c>
      <c r="HC65">
        <f t="shared" si="64"/>
        <v>0</v>
      </c>
      <c r="HE65" t="s">
        <v>3</v>
      </c>
      <c r="HF65" t="s">
        <v>3</v>
      </c>
      <c r="IK65">
        <v>0</v>
      </c>
    </row>
    <row r="66" spans="1:245">
      <c r="A66">
        <v>17</v>
      </c>
      <c r="B66">
        <v>1</v>
      </c>
      <c r="C66">
        <f>ROW(SmtRes!A19)</f>
        <v>19</v>
      </c>
      <c r="D66">
        <f>ROW(EtalonRes!A19)</f>
        <v>19</v>
      </c>
      <c r="E66" t="s">
        <v>93</v>
      </c>
      <c r="F66" t="s">
        <v>94</v>
      </c>
      <c r="G66" t="s">
        <v>95</v>
      </c>
      <c r="H66" t="s">
        <v>96</v>
      </c>
      <c r="I66">
        <f>ROUND(647.5/100,9)</f>
        <v>6.4749999999999996</v>
      </c>
      <c r="J66">
        <v>0</v>
      </c>
      <c r="O66">
        <f t="shared" si="30"/>
        <v>46975.18</v>
      </c>
      <c r="P66">
        <f t="shared" si="31"/>
        <v>10766.95</v>
      </c>
      <c r="Q66">
        <f t="shared" si="32"/>
        <v>2859.18</v>
      </c>
      <c r="R66">
        <f t="shared" si="33"/>
        <v>725.09</v>
      </c>
      <c r="S66">
        <f t="shared" si="34"/>
        <v>33349.050000000003</v>
      </c>
      <c r="T66">
        <f t="shared" si="35"/>
        <v>0</v>
      </c>
      <c r="U66">
        <f t="shared" si="36"/>
        <v>106.92814999999999</v>
      </c>
      <c r="V66">
        <f t="shared" si="37"/>
        <v>1.6187499999999999</v>
      </c>
      <c r="W66">
        <f t="shared" si="38"/>
        <v>0</v>
      </c>
      <c r="X66">
        <f t="shared" si="39"/>
        <v>36800.07</v>
      </c>
      <c r="Y66">
        <f t="shared" si="40"/>
        <v>18740.78</v>
      </c>
      <c r="AA66">
        <v>36145237</v>
      </c>
      <c r="AB66">
        <f t="shared" si="41"/>
        <v>390.69450000000001</v>
      </c>
      <c r="AC66">
        <f t="shared" si="42"/>
        <v>182.33</v>
      </c>
      <c r="AD66">
        <f>ROUND(((((ET66*1.25))-((EU66*1.25)))+AE66),6)</f>
        <v>53.137500000000003</v>
      </c>
      <c r="AE66">
        <f>ROUND(((EU66*1.25)),6)</f>
        <v>3.375</v>
      </c>
      <c r="AF66">
        <f>ROUND(((EV66*1.15)),6)</f>
        <v>155.227</v>
      </c>
      <c r="AG66">
        <f t="shared" si="43"/>
        <v>0</v>
      </c>
      <c r="AH66">
        <f>((EW66*1.15))</f>
        <v>16.513999999999999</v>
      </c>
      <c r="AI66">
        <f>((EX66*1.25))</f>
        <v>0.25</v>
      </c>
      <c r="AJ66">
        <f t="shared" si="44"/>
        <v>0</v>
      </c>
      <c r="AK66">
        <v>359.82</v>
      </c>
      <c r="AL66">
        <v>182.33</v>
      </c>
      <c r="AM66">
        <v>42.51</v>
      </c>
      <c r="AN66">
        <v>2.7</v>
      </c>
      <c r="AO66">
        <v>134.97999999999999</v>
      </c>
      <c r="AP66">
        <v>0</v>
      </c>
      <c r="AQ66">
        <v>14.36</v>
      </c>
      <c r="AR66">
        <v>0.2</v>
      </c>
      <c r="AS66">
        <v>0</v>
      </c>
      <c r="AT66">
        <v>108</v>
      </c>
      <c r="AU66">
        <v>55</v>
      </c>
      <c r="AV66">
        <v>1</v>
      </c>
      <c r="AW66">
        <v>1</v>
      </c>
      <c r="AZ66">
        <v>1</v>
      </c>
      <c r="BA66">
        <v>33.18</v>
      </c>
      <c r="BB66">
        <v>8.31</v>
      </c>
      <c r="BC66">
        <v>9.1199999999999992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1</v>
      </c>
      <c r="BJ66" t="s">
        <v>97</v>
      </c>
      <c r="BM66">
        <v>12001</v>
      </c>
      <c r="BN66">
        <v>0</v>
      </c>
      <c r="BO66" t="s">
        <v>94</v>
      </c>
      <c r="BP66">
        <v>1</v>
      </c>
      <c r="BQ66">
        <v>2</v>
      </c>
      <c r="BR66">
        <v>0</v>
      </c>
      <c r="BS66">
        <v>33.18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120</v>
      </c>
      <c r="CA66">
        <v>65</v>
      </c>
      <c r="CE66">
        <v>0</v>
      </c>
      <c r="CF66">
        <v>0</v>
      </c>
      <c r="CG66">
        <v>0</v>
      </c>
      <c r="CM66">
        <v>0</v>
      </c>
      <c r="CN66" t="s">
        <v>308</v>
      </c>
      <c r="CO66">
        <v>0</v>
      </c>
      <c r="CP66">
        <f t="shared" si="45"/>
        <v>46975.180000000008</v>
      </c>
      <c r="CQ66">
        <f t="shared" si="46"/>
        <v>1662.8496</v>
      </c>
      <c r="CR66">
        <f t="shared" si="47"/>
        <v>441.57262500000007</v>
      </c>
      <c r="CS66">
        <f t="shared" si="48"/>
        <v>111.9825</v>
      </c>
      <c r="CT66">
        <f t="shared" si="49"/>
        <v>5150.4318599999997</v>
      </c>
      <c r="CU66">
        <f t="shared" si="50"/>
        <v>0</v>
      </c>
      <c r="CV66">
        <f t="shared" si="51"/>
        <v>16.513999999999999</v>
      </c>
      <c r="CW66">
        <f t="shared" si="52"/>
        <v>0.25</v>
      </c>
      <c r="CX66">
        <f t="shared" si="53"/>
        <v>0</v>
      </c>
      <c r="CY66">
        <f t="shared" si="54"/>
        <v>36800.071199999998</v>
      </c>
      <c r="CZ66">
        <f t="shared" si="55"/>
        <v>18740.776999999998</v>
      </c>
      <c r="DC66" t="s">
        <v>3</v>
      </c>
      <c r="DD66" t="s">
        <v>3</v>
      </c>
      <c r="DE66" t="s">
        <v>98</v>
      </c>
      <c r="DF66" t="s">
        <v>98</v>
      </c>
      <c r="DG66" t="s">
        <v>99</v>
      </c>
      <c r="DH66" t="s">
        <v>3</v>
      </c>
      <c r="DI66" t="s">
        <v>99</v>
      </c>
      <c r="DJ66" t="s">
        <v>98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1013</v>
      </c>
      <c r="DV66" t="s">
        <v>96</v>
      </c>
      <c r="DW66" t="s">
        <v>96</v>
      </c>
      <c r="DX66">
        <v>1</v>
      </c>
      <c r="DZ66" t="s">
        <v>3</v>
      </c>
      <c r="EA66" t="s">
        <v>3</v>
      </c>
      <c r="EB66" t="s">
        <v>3</v>
      </c>
      <c r="EC66" t="s">
        <v>3</v>
      </c>
      <c r="EE66">
        <v>36260428</v>
      </c>
      <c r="EF66">
        <v>2</v>
      </c>
      <c r="EG66" t="s">
        <v>20</v>
      </c>
      <c r="EH66">
        <v>0</v>
      </c>
      <c r="EI66" t="s">
        <v>3</v>
      </c>
      <c r="EJ66">
        <v>1</v>
      </c>
      <c r="EK66">
        <v>12001</v>
      </c>
      <c r="EL66" t="s">
        <v>100</v>
      </c>
      <c r="EM66" t="s">
        <v>101</v>
      </c>
      <c r="EO66" t="s">
        <v>102</v>
      </c>
      <c r="EQ66">
        <v>0</v>
      </c>
      <c r="ER66">
        <v>359.82</v>
      </c>
      <c r="ES66">
        <v>182.33</v>
      </c>
      <c r="ET66">
        <v>42.51</v>
      </c>
      <c r="EU66">
        <v>2.7</v>
      </c>
      <c r="EV66">
        <v>134.97999999999999</v>
      </c>
      <c r="EW66">
        <v>14.36</v>
      </c>
      <c r="EX66">
        <v>0.2</v>
      </c>
      <c r="EY66">
        <v>0</v>
      </c>
      <c r="FQ66">
        <v>0</v>
      </c>
      <c r="FR66">
        <f t="shared" si="56"/>
        <v>0</v>
      </c>
      <c r="FS66">
        <v>0</v>
      </c>
      <c r="FT66" t="s">
        <v>23</v>
      </c>
      <c r="FU66" t="s">
        <v>24</v>
      </c>
      <c r="FX66">
        <v>108</v>
      </c>
      <c r="FY66">
        <v>55.25</v>
      </c>
      <c r="GA66" t="s">
        <v>3</v>
      </c>
      <c r="GD66">
        <v>1</v>
      </c>
      <c r="GF66">
        <v>1028182005</v>
      </c>
      <c r="GG66">
        <v>2</v>
      </c>
      <c r="GH66">
        <v>1</v>
      </c>
      <c r="GI66">
        <v>2</v>
      </c>
      <c r="GJ66">
        <v>0</v>
      </c>
      <c r="GK66">
        <v>0</v>
      </c>
      <c r="GL66">
        <f t="shared" si="57"/>
        <v>0</v>
      </c>
      <c r="GM66">
        <f t="shared" si="58"/>
        <v>102516.03</v>
      </c>
      <c r="GN66">
        <f t="shared" si="59"/>
        <v>102516.03</v>
      </c>
      <c r="GO66">
        <f t="shared" si="60"/>
        <v>0</v>
      </c>
      <c r="GP66">
        <f t="shared" si="61"/>
        <v>0</v>
      </c>
      <c r="GR66">
        <v>0</v>
      </c>
      <c r="GS66">
        <v>3</v>
      </c>
      <c r="GT66">
        <v>0</v>
      </c>
      <c r="GU66" t="s">
        <v>3</v>
      </c>
      <c r="GV66">
        <f t="shared" si="62"/>
        <v>0</v>
      </c>
      <c r="GW66">
        <v>1</v>
      </c>
      <c r="GX66">
        <f t="shared" si="63"/>
        <v>0</v>
      </c>
      <c r="HA66">
        <v>0</v>
      </c>
      <c r="HB66">
        <v>0</v>
      </c>
      <c r="HC66">
        <f t="shared" si="64"/>
        <v>0</v>
      </c>
      <c r="HE66" t="s">
        <v>3</v>
      </c>
      <c r="HF66" t="s">
        <v>3</v>
      </c>
      <c r="IK66">
        <v>0</v>
      </c>
    </row>
    <row r="67" spans="1:245">
      <c r="A67">
        <v>18</v>
      </c>
      <c r="B67">
        <v>1</v>
      </c>
      <c r="C67">
        <v>18</v>
      </c>
      <c r="E67" t="s">
        <v>103</v>
      </c>
      <c r="F67" t="s">
        <v>104</v>
      </c>
      <c r="G67" t="s">
        <v>105</v>
      </c>
      <c r="H67" t="s">
        <v>3</v>
      </c>
      <c r="I67">
        <f>I66*J67</f>
        <v>738.15</v>
      </c>
      <c r="J67">
        <v>114</v>
      </c>
      <c r="O67">
        <f t="shared" si="30"/>
        <v>140248.5</v>
      </c>
      <c r="P67">
        <f t="shared" si="31"/>
        <v>140248.5</v>
      </c>
      <c r="Q67">
        <f t="shared" si="32"/>
        <v>0</v>
      </c>
      <c r="R67">
        <f t="shared" si="33"/>
        <v>0</v>
      </c>
      <c r="S67">
        <f t="shared" si="34"/>
        <v>0</v>
      </c>
      <c r="T67">
        <f t="shared" si="35"/>
        <v>0</v>
      </c>
      <c r="U67">
        <f t="shared" si="36"/>
        <v>0</v>
      </c>
      <c r="V67">
        <f t="shared" si="37"/>
        <v>0</v>
      </c>
      <c r="W67">
        <f t="shared" si="38"/>
        <v>0</v>
      </c>
      <c r="X67">
        <f t="shared" si="39"/>
        <v>0</v>
      </c>
      <c r="Y67">
        <f t="shared" si="40"/>
        <v>0</v>
      </c>
      <c r="AA67">
        <v>36145237</v>
      </c>
      <c r="AB67">
        <f t="shared" si="41"/>
        <v>190</v>
      </c>
      <c r="AC67">
        <f t="shared" si="42"/>
        <v>190</v>
      </c>
      <c r="AD67">
        <f>ROUND((((ET67)-(EU67))+AE67),6)</f>
        <v>0</v>
      </c>
      <c r="AE67">
        <f>ROUND((EU67),6)</f>
        <v>0</v>
      </c>
      <c r="AF67">
        <f>ROUND((EV67),6)</f>
        <v>0</v>
      </c>
      <c r="AG67">
        <f t="shared" si="43"/>
        <v>0</v>
      </c>
      <c r="AH67">
        <f>(EW67)</f>
        <v>0</v>
      </c>
      <c r="AI67">
        <f>(EX67)</f>
        <v>0</v>
      </c>
      <c r="AJ67">
        <f t="shared" si="44"/>
        <v>0</v>
      </c>
      <c r="AK67">
        <v>190</v>
      </c>
      <c r="AL67">
        <v>190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108</v>
      </c>
      <c r="AU67">
        <v>55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12001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120</v>
      </c>
      <c r="CA67">
        <v>65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45"/>
        <v>140248.5</v>
      </c>
      <c r="CQ67">
        <f t="shared" si="46"/>
        <v>190</v>
      </c>
      <c r="CR67">
        <f t="shared" si="47"/>
        <v>0</v>
      </c>
      <c r="CS67">
        <f t="shared" si="48"/>
        <v>0</v>
      </c>
      <c r="CT67">
        <f t="shared" si="49"/>
        <v>0</v>
      </c>
      <c r="CU67">
        <f t="shared" si="50"/>
        <v>0</v>
      </c>
      <c r="CV67">
        <f t="shared" si="51"/>
        <v>0</v>
      </c>
      <c r="CW67">
        <f t="shared" si="52"/>
        <v>0</v>
      </c>
      <c r="CX67">
        <f t="shared" si="53"/>
        <v>0</v>
      </c>
      <c r="CY67">
        <f t="shared" si="54"/>
        <v>0</v>
      </c>
      <c r="CZ67">
        <f t="shared" si="55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Z67" t="s">
        <v>3</v>
      </c>
      <c r="EA67" t="s">
        <v>3</v>
      </c>
      <c r="EB67" t="s">
        <v>3</v>
      </c>
      <c r="EC67" t="s">
        <v>3</v>
      </c>
      <c r="EE67">
        <v>36260428</v>
      </c>
      <c r="EF67">
        <v>2</v>
      </c>
      <c r="EG67" t="s">
        <v>20</v>
      </c>
      <c r="EH67">
        <v>0</v>
      </c>
      <c r="EI67" t="s">
        <v>3</v>
      </c>
      <c r="EJ67">
        <v>1</v>
      </c>
      <c r="EK67">
        <v>12001</v>
      </c>
      <c r="EL67" t="s">
        <v>100</v>
      </c>
      <c r="EM67" t="s">
        <v>101</v>
      </c>
      <c r="EO67" t="s">
        <v>3</v>
      </c>
      <c r="EQ67">
        <v>0</v>
      </c>
      <c r="ER67">
        <v>190</v>
      </c>
      <c r="ES67">
        <v>190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56"/>
        <v>0</v>
      </c>
      <c r="FS67">
        <v>0</v>
      </c>
      <c r="FT67" t="s">
        <v>23</v>
      </c>
      <c r="FU67" t="s">
        <v>24</v>
      </c>
      <c r="FX67">
        <v>108</v>
      </c>
      <c r="FY67">
        <v>55.25</v>
      </c>
      <c r="GA67" t="s">
        <v>106</v>
      </c>
      <c r="GD67">
        <v>1</v>
      </c>
      <c r="GF67">
        <v>-620086577</v>
      </c>
      <c r="GG67">
        <v>2</v>
      </c>
      <c r="GH67">
        <v>0</v>
      </c>
      <c r="GI67">
        <v>-2</v>
      </c>
      <c r="GJ67">
        <v>0</v>
      </c>
      <c r="GK67">
        <v>0</v>
      </c>
      <c r="GL67">
        <f t="shared" si="57"/>
        <v>0</v>
      </c>
      <c r="GM67">
        <f t="shared" si="58"/>
        <v>140248.5</v>
      </c>
      <c r="GN67">
        <f t="shared" si="59"/>
        <v>140248.5</v>
      </c>
      <c r="GO67">
        <f t="shared" si="60"/>
        <v>0</v>
      </c>
      <c r="GP67">
        <f t="shared" si="61"/>
        <v>0</v>
      </c>
      <c r="GR67">
        <v>0</v>
      </c>
      <c r="GS67">
        <v>4</v>
      </c>
      <c r="GT67">
        <v>0</v>
      </c>
      <c r="GU67" t="s">
        <v>3</v>
      </c>
      <c r="GV67">
        <f t="shared" si="62"/>
        <v>0</v>
      </c>
      <c r="GW67">
        <v>1</v>
      </c>
      <c r="GX67">
        <f t="shared" si="63"/>
        <v>0</v>
      </c>
      <c r="HA67">
        <v>0</v>
      </c>
      <c r="HB67">
        <v>0</v>
      </c>
      <c r="HC67">
        <f t="shared" si="64"/>
        <v>0</v>
      </c>
      <c r="HE67" t="s">
        <v>3</v>
      </c>
      <c r="HF67" t="s">
        <v>3</v>
      </c>
      <c r="IK67">
        <v>0</v>
      </c>
    </row>
    <row r="68" spans="1:245">
      <c r="A68">
        <v>18</v>
      </c>
      <c r="B68">
        <v>1</v>
      </c>
      <c r="C68">
        <v>19</v>
      </c>
      <c r="E68" t="s">
        <v>107</v>
      </c>
      <c r="F68" t="s">
        <v>104</v>
      </c>
      <c r="G68" t="s">
        <v>108</v>
      </c>
      <c r="H68" t="s">
        <v>3</v>
      </c>
      <c r="I68">
        <f>I66*J68</f>
        <v>751.1</v>
      </c>
      <c r="J68">
        <v>116.00000000000001</v>
      </c>
      <c r="O68">
        <f t="shared" si="30"/>
        <v>114167.2</v>
      </c>
      <c r="P68">
        <f t="shared" si="31"/>
        <v>114167.2</v>
      </c>
      <c r="Q68">
        <f t="shared" si="32"/>
        <v>0</v>
      </c>
      <c r="R68">
        <f t="shared" si="33"/>
        <v>0</v>
      </c>
      <c r="S68">
        <f t="shared" si="34"/>
        <v>0</v>
      </c>
      <c r="T68">
        <f t="shared" si="35"/>
        <v>0</v>
      </c>
      <c r="U68">
        <f t="shared" si="36"/>
        <v>0</v>
      </c>
      <c r="V68">
        <f t="shared" si="37"/>
        <v>0</v>
      </c>
      <c r="W68">
        <f t="shared" si="38"/>
        <v>0</v>
      </c>
      <c r="X68">
        <f t="shared" si="39"/>
        <v>0</v>
      </c>
      <c r="Y68">
        <f t="shared" si="40"/>
        <v>0</v>
      </c>
      <c r="AA68">
        <v>36145237</v>
      </c>
      <c r="AB68">
        <f t="shared" si="41"/>
        <v>152</v>
      </c>
      <c r="AC68">
        <f t="shared" si="42"/>
        <v>152</v>
      </c>
      <c r="AD68">
        <f>ROUND((((ET68)-(EU68))+AE68),6)</f>
        <v>0</v>
      </c>
      <c r="AE68">
        <f>ROUND((EU68),6)</f>
        <v>0</v>
      </c>
      <c r="AF68">
        <f>ROUND((EV68),6)</f>
        <v>0</v>
      </c>
      <c r="AG68">
        <f t="shared" si="43"/>
        <v>0</v>
      </c>
      <c r="AH68">
        <f>(EW68)</f>
        <v>0</v>
      </c>
      <c r="AI68">
        <f>(EX68)</f>
        <v>0</v>
      </c>
      <c r="AJ68">
        <f t="shared" si="44"/>
        <v>0</v>
      </c>
      <c r="AK68">
        <v>152</v>
      </c>
      <c r="AL68">
        <v>152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108</v>
      </c>
      <c r="AU68">
        <v>55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12001</v>
      </c>
      <c r="BN68">
        <v>0</v>
      </c>
      <c r="BO68" t="s">
        <v>3</v>
      </c>
      <c r="BP68">
        <v>0</v>
      </c>
      <c r="BQ68">
        <v>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120</v>
      </c>
      <c r="CA68">
        <v>65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45"/>
        <v>114167.2</v>
      </c>
      <c r="CQ68">
        <f t="shared" si="46"/>
        <v>152</v>
      </c>
      <c r="CR68">
        <f t="shared" si="47"/>
        <v>0</v>
      </c>
      <c r="CS68">
        <f t="shared" si="48"/>
        <v>0</v>
      </c>
      <c r="CT68">
        <f t="shared" si="49"/>
        <v>0</v>
      </c>
      <c r="CU68">
        <f t="shared" si="50"/>
        <v>0</v>
      </c>
      <c r="CV68">
        <f t="shared" si="51"/>
        <v>0</v>
      </c>
      <c r="CW68">
        <f t="shared" si="52"/>
        <v>0</v>
      </c>
      <c r="CX68">
        <f t="shared" si="53"/>
        <v>0</v>
      </c>
      <c r="CY68">
        <f t="shared" si="54"/>
        <v>0</v>
      </c>
      <c r="CZ68">
        <f t="shared" si="55"/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Z68" t="s">
        <v>3</v>
      </c>
      <c r="EA68" t="s">
        <v>3</v>
      </c>
      <c r="EB68" t="s">
        <v>3</v>
      </c>
      <c r="EC68" t="s">
        <v>3</v>
      </c>
      <c r="EE68">
        <v>36260428</v>
      </c>
      <c r="EF68">
        <v>2</v>
      </c>
      <c r="EG68" t="s">
        <v>20</v>
      </c>
      <c r="EH68">
        <v>0</v>
      </c>
      <c r="EI68" t="s">
        <v>3</v>
      </c>
      <c r="EJ68">
        <v>1</v>
      </c>
      <c r="EK68">
        <v>12001</v>
      </c>
      <c r="EL68" t="s">
        <v>100</v>
      </c>
      <c r="EM68" t="s">
        <v>101</v>
      </c>
      <c r="EO68" t="s">
        <v>3</v>
      </c>
      <c r="EQ68">
        <v>0</v>
      </c>
      <c r="ER68">
        <v>152</v>
      </c>
      <c r="ES68">
        <v>152</v>
      </c>
      <c r="ET68">
        <v>0</v>
      </c>
      <c r="EU68">
        <v>0</v>
      </c>
      <c r="EV68">
        <v>0</v>
      </c>
      <c r="EW68">
        <v>0</v>
      </c>
      <c r="EX68">
        <v>0</v>
      </c>
      <c r="FQ68">
        <v>0</v>
      </c>
      <c r="FR68">
        <f t="shared" si="56"/>
        <v>0</v>
      </c>
      <c r="FS68">
        <v>0</v>
      </c>
      <c r="FT68" t="s">
        <v>23</v>
      </c>
      <c r="FU68" t="s">
        <v>24</v>
      </c>
      <c r="FX68">
        <v>108</v>
      </c>
      <c r="FY68">
        <v>55.25</v>
      </c>
      <c r="GA68" t="s">
        <v>106</v>
      </c>
      <c r="GD68">
        <v>1</v>
      </c>
      <c r="GF68">
        <v>-1669006344</v>
      </c>
      <c r="GG68">
        <v>2</v>
      </c>
      <c r="GH68">
        <v>0</v>
      </c>
      <c r="GI68">
        <v>-2</v>
      </c>
      <c r="GJ68">
        <v>0</v>
      </c>
      <c r="GK68">
        <v>0</v>
      </c>
      <c r="GL68">
        <f t="shared" si="57"/>
        <v>0</v>
      </c>
      <c r="GM68">
        <f t="shared" si="58"/>
        <v>114167.2</v>
      </c>
      <c r="GN68">
        <f t="shared" si="59"/>
        <v>114167.2</v>
      </c>
      <c r="GO68">
        <f t="shared" si="60"/>
        <v>0</v>
      </c>
      <c r="GP68">
        <f t="shared" si="61"/>
        <v>0</v>
      </c>
      <c r="GR68">
        <v>0</v>
      </c>
      <c r="GS68">
        <v>4</v>
      </c>
      <c r="GT68">
        <v>0</v>
      </c>
      <c r="GU68" t="s">
        <v>3</v>
      </c>
      <c r="GV68">
        <f t="shared" si="62"/>
        <v>0</v>
      </c>
      <c r="GW68">
        <v>1</v>
      </c>
      <c r="GX68">
        <f t="shared" si="63"/>
        <v>0</v>
      </c>
      <c r="HA68">
        <v>0</v>
      </c>
      <c r="HB68">
        <v>0</v>
      </c>
      <c r="HC68">
        <f t="shared" si="64"/>
        <v>0</v>
      </c>
      <c r="HE68" t="s">
        <v>3</v>
      </c>
      <c r="HF68" t="s">
        <v>3</v>
      </c>
      <c r="IK68">
        <v>0</v>
      </c>
    </row>
    <row r="69" spans="1:245">
      <c r="A69">
        <v>17</v>
      </c>
      <c r="B69">
        <v>1</v>
      </c>
      <c r="C69">
        <f>ROW(SmtRes!A28)</f>
        <v>28</v>
      </c>
      <c r="D69">
        <f>ROW(EtalonRes!A28)</f>
        <v>28</v>
      </c>
      <c r="E69" t="s">
        <v>109</v>
      </c>
      <c r="F69" t="s">
        <v>110</v>
      </c>
      <c r="G69" t="s">
        <v>111</v>
      </c>
      <c r="H69" t="s">
        <v>112</v>
      </c>
      <c r="I69">
        <f>ROUND(40/100,9)</f>
        <v>0.4</v>
      </c>
      <c r="J69">
        <v>0</v>
      </c>
      <c r="O69">
        <f t="shared" si="30"/>
        <v>10048.129999999999</v>
      </c>
      <c r="P69">
        <f t="shared" si="31"/>
        <v>5910.56</v>
      </c>
      <c r="Q69">
        <f t="shared" si="32"/>
        <v>480.6</v>
      </c>
      <c r="R69">
        <f t="shared" si="33"/>
        <v>53.75</v>
      </c>
      <c r="S69">
        <f t="shared" si="34"/>
        <v>3656.97</v>
      </c>
      <c r="T69">
        <f t="shared" si="35"/>
        <v>0</v>
      </c>
      <c r="U69">
        <f t="shared" si="36"/>
        <v>12.006</v>
      </c>
      <c r="V69">
        <f t="shared" si="37"/>
        <v>0.12</v>
      </c>
      <c r="W69">
        <f t="shared" si="38"/>
        <v>0</v>
      </c>
      <c r="X69">
        <f t="shared" si="39"/>
        <v>4007.58</v>
      </c>
      <c r="Y69">
        <f t="shared" si="40"/>
        <v>2040.9</v>
      </c>
      <c r="AA69">
        <v>36145237</v>
      </c>
      <c r="AB69">
        <f t="shared" si="41"/>
        <v>2818.7150000000001</v>
      </c>
      <c r="AC69">
        <f t="shared" si="42"/>
        <v>2316.0500000000002</v>
      </c>
      <c r="AD69">
        <f>ROUND(((((ET69*1.25))-((EU69*1.25)))+AE69),6)</f>
        <v>227.125</v>
      </c>
      <c r="AE69">
        <f>ROUND(((EU69*1.25)),6)</f>
        <v>4.05</v>
      </c>
      <c r="AF69">
        <f>ROUND(((EV69*1.15)),6)</f>
        <v>275.54000000000002</v>
      </c>
      <c r="AG69">
        <f t="shared" si="43"/>
        <v>0</v>
      </c>
      <c r="AH69">
        <f>((EW69*1.15))</f>
        <v>30.015000000000001</v>
      </c>
      <c r="AI69">
        <f>((EX69*1.25))</f>
        <v>0.3</v>
      </c>
      <c r="AJ69">
        <f t="shared" si="44"/>
        <v>0</v>
      </c>
      <c r="AK69">
        <v>2737.35</v>
      </c>
      <c r="AL69">
        <v>2316.0500000000002</v>
      </c>
      <c r="AM69">
        <v>181.7</v>
      </c>
      <c r="AN69">
        <v>3.24</v>
      </c>
      <c r="AO69">
        <v>239.6</v>
      </c>
      <c r="AP69">
        <v>0</v>
      </c>
      <c r="AQ69">
        <v>26.1</v>
      </c>
      <c r="AR69">
        <v>0.24</v>
      </c>
      <c r="AS69">
        <v>0</v>
      </c>
      <c r="AT69">
        <v>108</v>
      </c>
      <c r="AU69">
        <v>55</v>
      </c>
      <c r="AV69">
        <v>1</v>
      </c>
      <c r="AW69">
        <v>1</v>
      </c>
      <c r="AZ69">
        <v>1</v>
      </c>
      <c r="BA69">
        <v>33.18</v>
      </c>
      <c r="BB69">
        <v>5.29</v>
      </c>
      <c r="BC69">
        <v>6.38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113</v>
      </c>
      <c r="BM69">
        <v>12001</v>
      </c>
      <c r="BN69">
        <v>0</v>
      </c>
      <c r="BO69" t="s">
        <v>110</v>
      </c>
      <c r="BP69">
        <v>1</v>
      </c>
      <c r="BQ69">
        <v>2</v>
      </c>
      <c r="BR69">
        <v>0</v>
      </c>
      <c r="BS69">
        <v>33.18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120</v>
      </c>
      <c r="CA69">
        <v>65</v>
      </c>
      <c r="CE69">
        <v>0</v>
      </c>
      <c r="CF69">
        <v>0</v>
      </c>
      <c r="CG69">
        <v>0</v>
      </c>
      <c r="CM69">
        <v>0</v>
      </c>
      <c r="CN69" t="s">
        <v>308</v>
      </c>
      <c r="CO69">
        <v>0</v>
      </c>
      <c r="CP69">
        <f t="shared" si="45"/>
        <v>10048.130000000001</v>
      </c>
      <c r="CQ69">
        <f t="shared" si="46"/>
        <v>14776.399000000001</v>
      </c>
      <c r="CR69">
        <f t="shared" si="47"/>
        <v>1201.49125</v>
      </c>
      <c r="CS69">
        <f t="shared" si="48"/>
        <v>134.37899999999999</v>
      </c>
      <c r="CT69">
        <f t="shared" si="49"/>
        <v>9142.4171999999999</v>
      </c>
      <c r="CU69">
        <f t="shared" si="50"/>
        <v>0</v>
      </c>
      <c r="CV69">
        <f t="shared" si="51"/>
        <v>30.015000000000001</v>
      </c>
      <c r="CW69">
        <f t="shared" si="52"/>
        <v>0.3</v>
      </c>
      <c r="CX69">
        <f t="shared" si="53"/>
        <v>0</v>
      </c>
      <c r="CY69">
        <f t="shared" si="54"/>
        <v>4007.5775999999996</v>
      </c>
      <c r="CZ69">
        <f t="shared" si="55"/>
        <v>2040.8959999999997</v>
      </c>
      <c r="DC69" t="s">
        <v>3</v>
      </c>
      <c r="DD69" t="s">
        <v>3</v>
      </c>
      <c r="DE69" t="s">
        <v>98</v>
      </c>
      <c r="DF69" t="s">
        <v>98</v>
      </c>
      <c r="DG69" t="s">
        <v>99</v>
      </c>
      <c r="DH69" t="s">
        <v>3</v>
      </c>
      <c r="DI69" t="s">
        <v>99</v>
      </c>
      <c r="DJ69" t="s">
        <v>98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112</v>
      </c>
      <c r="DW69" t="s">
        <v>112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36260428</v>
      </c>
      <c r="EF69">
        <v>2</v>
      </c>
      <c r="EG69" t="s">
        <v>20</v>
      </c>
      <c r="EH69">
        <v>0</v>
      </c>
      <c r="EI69" t="s">
        <v>3</v>
      </c>
      <c r="EJ69">
        <v>1</v>
      </c>
      <c r="EK69">
        <v>12001</v>
      </c>
      <c r="EL69" t="s">
        <v>100</v>
      </c>
      <c r="EM69" t="s">
        <v>101</v>
      </c>
      <c r="EO69" t="s">
        <v>102</v>
      </c>
      <c r="EQ69">
        <v>0</v>
      </c>
      <c r="ER69">
        <v>2737.35</v>
      </c>
      <c r="ES69">
        <v>2316.0500000000002</v>
      </c>
      <c r="ET69">
        <v>181.7</v>
      </c>
      <c r="EU69">
        <v>3.24</v>
      </c>
      <c r="EV69">
        <v>239.6</v>
      </c>
      <c r="EW69">
        <v>26.1</v>
      </c>
      <c r="EX69">
        <v>0.24</v>
      </c>
      <c r="EY69">
        <v>0</v>
      </c>
      <c r="FQ69">
        <v>0</v>
      </c>
      <c r="FR69">
        <f t="shared" si="56"/>
        <v>0</v>
      </c>
      <c r="FS69">
        <v>0</v>
      </c>
      <c r="FT69" t="s">
        <v>23</v>
      </c>
      <c r="FU69" t="s">
        <v>24</v>
      </c>
      <c r="FX69">
        <v>108</v>
      </c>
      <c r="FY69">
        <v>55.25</v>
      </c>
      <c r="GA69" t="s">
        <v>3</v>
      </c>
      <c r="GD69">
        <v>1</v>
      </c>
      <c r="GF69">
        <v>-326166698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si="57"/>
        <v>0</v>
      </c>
      <c r="GM69">
        <f t="shared" si="58"/>
        <v>16096.61</v>
      </c>
      <c r="GN69">
        <f t="shared" si="59"/>
        <v>16096.61</v>
      </c>
      <c r="GO69">
        <f t="shared" si="60"/>
        <v>0</v>
      </c>
      <c r="GP69">
        <f t="shared" si="61"/>
        <v>0</v>
      </c>
      <c r="GR69">
        <v>0</v>
      </c>
      <c r="GS69">
        <v>3</v>
      </c>
      <c r="GT69">
        <v>0</v>
      </c>
      <c r="GU69" t="s">
        <v>3</v>
      </c>
      <c r="GV69">
        <f t="shared" si="62"/>
        <v>0</v>
      </c>
      <c r="GW69">
        <v>1</v>
      </c>
      <c r="GX69">
        <f t="shared" si="63"/>
        <v>0</v>
      </c>
      <c r="HA69">
        <v>0</v>
      </c>
      <c r="HB69">
        <v>0</v>
      </c>
      <c r="HC69">
        <f t="shared" si="64"/>
        <v>0</v>
      </c>
      <c r="HE69" t="s">
        <v>3</v>
      </c>
      <c r="HF69" t="s">
        <v>3</v>
      </c>
      <c r="IK69">
        <v>0</v>
      </c>
    </row>
    <row r="70" spans="1:245">
      <c r="A70">
        <v>18</v>
      </c>
      <c r="B70">
        <v>1</v>
      </c>
      <c r="C70">
        <v>28</v>
      </c>
      <c r="E70" t="s">
        <v>114</v>
      </c>
      <c r="F70" t="s">
        <v>104</v>
      </c>
      <c r="G70" t="s">
        <v>115</v>
      </c>
      <c r="H70" t="s">
        <v>3</v>
      </c>
      <c r="I70">
        <f>I69*J70</f>
        <v>100.8</v>
      </c>
      <c r="J70">
        <v>251.99999999999997</v>
      </c>
      <c r="O70">
        <f t="shared" si="30"/>
        <v>19152</v>
      </c>
      <c r="P70">
        <f t="shared" si="31"/>
        <v>19152</v>
      </c>
      <c r="Q70">
        <f t="shared" si="32"/>
        <v>0</v>
      </c>
      <c r="R70">
        <f t="shared" si="33"/>
        <v>0</v>
      </c>
      <c r="S70">
        <f t="shared" si="34"/>
        <v>0</v>
      </c>
      <c r="T70">
        <f t="shared" si="35"/>
        <v>0</v>
      </c>
      <c r="U70">
        <f t="shared" si="36"/>
        <v>0</v>
      </c>
      <c r="V70">
        <f t="shared" si="37"/>
        <v>0</v>
      </c>
      <c r="W70">
        <f t="shared" si="38"/>
        <v>0</v>
      </c>
      <c r="X70">
        <f t="shared" si="39"/>
        <v>0</v>
      </c>
      <c r="Y70">
        <f t="shared" si="40"/>
        <v>0</v>
      </c>
      <c r="AA70">
        <v>36145237</v>
      </c>
      <c r="AB70">
        <f t="shared" si="41"/>
        <v>190</v>
      </c>
      <c r="AC70">
        <f t="shared" si="42"/>
        <v>190</v>
      </c>
      <c r="AD70">
        <f>ROUND((((ET70)-(EU70))+AE70),6)</f>
        <v>0</v>
      </c>
      <c r="AE70">
        <f>ROUND((EU70),6)</f>
        <v>0</v>
      </c>
      <c r="AF70">
        <f>ROUND((EV70),6)</f>
        <v>0</v>
      </c>
      <c r="AG70">
        <f t="shared" si="43"/>
        <v>0</v>
      </c>
      <c r="AH70">
        <f>(EW70)</f>
        <v>0</v>
      </c>
      <c r="AI70">
        <f>(EX70)</f>
        <v>0</v>
      </c>
      <c r="AJ70">
        <f t="shared" si="44"/>
        <v>0</v>
      </c>
      <c r="AK70">
        <v>190</v>
      </c>
      <c r="AL70">
        <v>190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108</v>
      </c>
      <c r="AU70">
        <v>55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3</v>
      </c>
      <c r="BM70">
        <v>12001</v>
      </c>
      <c r="BN70">
        <v>0</v>
      </c>
      <c r="BO70" t="s">
        <v>3</v>
      </c>
      <c r="BP70">
        <v>0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120</v>
      </c>
      <c r="CA70">
        <v>65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45"/>
        <v>19152</v>
      </c>
      <c r="CQ70">
        <f t="shared" si="46"/>
        <v>190</v>
      </c>
      <c r="CR70">
        <f t="shared" si="47"/>
        <v>0</v>
      </c>
      <c r="CS70">
        <f t="shared" si="48"/>
        <v>0</v>
      </c>
      <c r="CT70">
        <f t="shared" si="49"/>
        <v>0</v>
      </c>
      <c r="CU70">
        <f t="shared" si="50"/>
        <v>0</v>
      </c>
      <c r="CV70">
        <f t="shared" si="51"/>
        <v>0</v>
      </c>
      <c r="CW70">
        <f t="shared" si="52"/>
        <v>0</v>
      </c>
      <c r="CX70">
        <f t="shared" si="53"/>
        <v>0</v>
      </c>
      <c r="CY70">
        <f t="shared" si="54"/>
        <v>0</v>
      </c>
      <c r="CZ70">
        <f t="shared" si="55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Z70" t="s">
        <v>3</v>
      </c>
      <c r="EA70" t="s">
        <v>3</v>
      </c>
      <c r="EB70" t="s">
        <v>3</v>
      </c>
      <c r="EC70" t="s">
        <v>3</v>
      </c>
      <c r="EE70">
        <v>36260428</v>
      </c>
      <c r="EF70">
        <v>2</v>
      </c>
      <c r="EG70" t="s">
        <v>20</v>
      </c>
      <c r="EH70">
        <v>0</v>
      </c>
      <c r="EI70" t="s">
        <v>3</v>
      </c>
      <c r="EJ70">
        <v>1</v>
      </c>
      <c r="EK70">
        <v>12001</v>
      </c>
      <c r="EL70" t="s">
        <v>100</v>
      </c>
      <c r="EM70" t="s">
        <v>101</v>
      </c>
      <c r="EO70" t="s">
        <v>3</v>
      </c>
      <c r="EQ70">
        <v>0</v>
      </c>
      <c r="ER70">
        <v>190</v>
      </c>
      <c r="ES70">
        <v>190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 t="shared" si="56"/>
        <v>0</v>
      </c>
      <c r="FS70">
        <v>0</v>
      </c>
      <c r="FT70" t="s">
        <v>23</v>
      </c>
      <c r="FU70" t="s">
        <v>24</v>
      </c>
      <c r="FX70">
        <v>108</v>
      </c>
      <c r="FY70">
        <v>55.25</v>
      </c>
      <c r="GA70" t="s">
        <v>106</v>
      </c>
      <c r="GD70">
        <v>1</v>
      </c>
      <c r="GF70">
        <v>273349590</v>
      </c>
      <c r="GG70">
        <v>2</v>
      </c>
      <c r="GH70">
        <v>0</v>
      </c>
      <c r="GI70">
        <v>-2</v>
      </c>
      <c r="GJ70">
        <v>0</v>
      </c>
      <c r="GK70">
        <v>0</v>
      </c>
      <c r="GL70">
        <f t="shared" si="57"/>
        <v>0</v>
      </c>
      <c r="GM70">
        <f t="shared" si="58"/>
        <v>19152</v>
      </c>
      <c r="GN70">
        <f t="shared" si="59"/>
        <v>19152</v>
      </c>
      <c r="GO70">
        <f t="shared" si="60"/>
        <v>0</v>
      </c>
      <c r="GP70">
        <f t="shared" si="61"/>
        <v>0</v>
      </c>
      <c r="GR70">
        <v>0</v>
      </c>
      <c r="GS70">
        <v>4</v>
      </c>
      <c r="GT70">
        <v>0</v>
      </c>
      <c r="GU70" t="s">
        <v>3</v>
      </c>
      <c r="GV70">
        <f t="shared" si="62"/>
        <v>0</v>
      </c>
      <c r="GW70">
        <v>1</v>
      </c>
      <c r="GX70">
        <f t="shared" si="63"/>
        <v>0</v>
      </c>
      <c r="HA70">
        <v>0</v>
      </c>
      <c r="HB70">
        <v>0</v>
      </c>
      <c r="HC70">
        <f t="shared" si="64"/>
        <v>0</v>
      </c>
      <c r="HE70" t="s">
        <v>3</v>
      </c>
      <c r="HF70" t="s">
        <v>3</v>
      </c>
      <c r="IK70">
        <v>0</v>
      </c>
    </row>
    <row r="71" spans="1:245">
      <c r="A71">
        <v>17</v>
      </c>
      <c r="B71">
        <v>1</v>
      </c>
      <c r="C71">
        <f>ROW(SmtRes!A37)</f>
        <v>37</v>
      </c>
      <c r="D71">
        <f>ROW(EtalonRes!A37)</f>
        <v>37</v>
      </c>
      <c r="E71" t="s">
        <v>116</v>
      </c>
      <c r="F71" t="s">
        <v>117</v>
      </c>
      <c r="G71" t="s">
        <v>118</v>
      </c>
      <c r="H71" t="s">
        <v>119</v>
      </c>
      <c r="I71">
        <v>4</v>
      </c>
      <c r="J71">
        <v>0</v>
      </c>
      <c r="O71">
        <f t="shared" si="30"/>
        <v>13389.42</v>
      </c>
      <c r="P71">
        <f t="shared" si="31"/>
        <v>8437.2199999999993</v>
      </c>
      <c r="Q71">
        <f t="shared" si="32"/>
        <v>573.29999999999995</v>
      </c>
      <c r="R71">
        <f t="shared" si="33"/>
        <v>23.23</v>
      </c>
      <c r="S71">
        <f t="shared" si="34"/>
        <v>4378.8999999999996</v>
      </c>
      <c r="T71">
        <f t="shared" si="35"/>
        <v>0</v>
      </c>
      <c r="U71">
        <f t="shared" si="36"/>
        <v>13.523999999999999</v>
      </c>
      <c r="V71">
        <f t="shared" si="37"/>
        <v>0.05</v>
      </c>
      <c r="W71">
        <f t="shared" si="38"/>
        <v>0</v>
      </c>
      <c r="X71">
        <f t="shared" si="39"/>
        <v>5062.45</v>
      </c>
      <c r="Y71">
        <f t="shared" si="40"/>
        <v>3125.51</v>
      </c>
      <c r="AA71">
        <v>36145237</v>
      </c>
      <c r="AB71">
        <f t="shared" si="41"/>
        <v>399.43849999999998</v>
      </c>
      <c r="AC71">
        <f t="shared" si="42"/>
        <v>348.07</v>
      </c>
      <c r="AD71">
        <f>ROUND(((((ET71*1.25))-((EU71*1.25)))+AE71),6)</f>
        <v>18.375</v>
      </c>
      <c r="AE71">
        <f>ROUND(((EU71*1.25)),6)</f>
        <v>0.17499999999999999</v>
      </c>
      <c r="AF71">
        <f>ROUND(((EV71*1.15)),6)</f>
        <v>32.993499999999997</v>
      </c>
      <c r="AG71">
        <f t="shared" si="43"/>
        <v>0</v>
      </c>
      <c r="AH71">
        <f>((EW71*1.15))</f>
        <v>3.3809999999999998</v>
      </c>
      <c r="AI71">
        <f>((EX71*1.25))</f>
        <v>1.2500000000000001E-2</v>
      </c>
      <c r="AJ71">
        <f t="shared" si="44"/>
        <v>0</v>
      </c>
      <c r="AK71">
        <v>391.46</v>
      </c>
      <c r="AL71">
        <v>348.07</v>
      </c>
      <c r="AM71">
        <v>14.7</v>
      </c>
      <c r="AN71">
        <v>0.14000000000000001</v>
      </c>
      <c r="AO71">
        <v>28.69</v>
      </c>
      <c r="AP71">
        <v>0</v>
      </c>
      <c r="AQ71">
        <v>2.94</v>
      </c>
      <c r="AR71">
        <v>0.01</v>
      </c>
      <c r="AS71">
        <v>0</v>
      </c>
      <c r="AT71">
        <v>115</v>
      </c>
      <c r="AU71">
        <v>71</v>
      </c>
      <c r="AV71">
        <v>1</v>
      </c>
      <c r="AW71">
        <v>1</v>
      </c>
      <c r="AZ71">
        <v>1</v>
      </c>
      <c r="BA71">
        <v>33.18</v>
      </c>
      <c r="BB71">
        <v>7.8</v>
      </c>
      <c r="BC71">
        <v>6.06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120</v>
      </c>
      <c r="BM71">
        <v>16001</v>
      </c>
      <c r="BN71">
        <v>0</v>
      </c>
      <c r="BO71" t="s">
        <v>117</v>
      </c>
      <c r="BP71">
        <v>1</v>
      </c>
      <c r="BQ71">
        <v>2</v>
      </c>
      <c r="BR71">
        <v>0</v>
      </c>
      <c r="BS71">
        <v>33.18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128</v>
      </c>
      <c r="CA71">
        <v>83</v>
      </c>
      <c r="CE71">
        <v>0</v>
      </c>
      <c r="CF71">
        <v>0</v>
      </c>
      <c r="CG71">
        <v>0</v>
      </c>
      <c r="CM71">
        <v>0</v>
      </c>
      <c r="CN71" t="s">
        <v>308</v>
      </c>
      <c r="CO71">
        <v>0</v>
      </c>
      <c r="CP71">
        <f t="shared" si="45"/>
        <v>13389.419999999998</v>
      </c>
      <c r="CQ71">
        <f t="shared" si="46"/>
        <v>2109.3042</v>
      </c>
      <c r="CR71">
        <f t="shared" si="47"/>
        <v>143.32499999999999</v>
      </c>
      <c r="CS71">
        <f t="shared" si="48"/>
        <v>5.8064999999999998</v>
      </c>
      <c r="CT71">
        <f t="shared" si="49"/>
        <v>1094.72433</v>
      </c>
      <c r="CU71">
        <f t="shared" si="50"/>
        <v>0</v>
      </c>
      <c r="CV71">
        <f t="shared" si="51"/>
        <v>3.3809999999999998</v>
      </c>
      <c r="CW71">
        <f t="shared" si="52"/>
        <v>1.2500000000000001E-2</v>
      </c>
      <c r="CX71">
        <f t="shared" si="53"/>
        <v>0</v>
      </c>
      <c r="CY71">
        <f t="shared" si="54"/>
        <v>5062.4494999999988</v>
      </c>
      <c r="CZ71">
        <f t="shared" si="55"/>
        <v>3125.5122999999994</v>
      </c>
      <c r="DC71" t="s">
        <v>3</v>
      </c>
      <c r="DD71" t="s">
        <v>3</v>
      </c>
      <c r="DE71" t="s">
        <v>98</v>
      </c>
      <c r="DF71" t="s">
        <v>98</v>
      </c>
      <c r="DG71" t="s">
        <v>99</v>
      </c>
      <c r="DH71" t="s">
        <v>3</v>
      </c>
      <c r="DI71" t="s">
        <v>99</v>
      </c>
      <c r="DJ71" t="s">
        <v>98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119</v>
      </c>
      <c r="DW71" t="s">
        <v>119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36260453</v>
      </c>
      <c r="EF71">
        <v>2</v>
      </c>
      <c r="EG71" t="s">
        <v>20</v>
      </c>
      <c r="EH71">
        <v>0</v>
      </c>
      <c r="EI71" t="s">
        <v>3</v>
      </c>
      <c r="EJ71">
        <v>1</v>
      </c>
      <c r="EK71">
        <v>16001</v>
      </c>
      <c r="EL71" t="s">
        <v>121</v>
      </c>
      <c r="EM71" t="s">
        <v>122</v>
      </c>
      <c r="EO71" t="s">
        <v>102</v>
      </c>
      <c r="EQ71">
        <v>0</v>
      </c>
      <c r="ER71">
        <v>391.46</v>
      </c>
      <c r="ES71">
        <v>348.07</v>
      </c>
      <c r="ET71">
        <v>14.7</v>
      </c>
      <c r="EU71">
        <v>0.14000000000000001</v>
      </c>
      <c r="EV71">
        <v>28.69</v>
      </c>
      <c r="EW71">
        <v>2.94</v>
      </c>
      <c r="EX71">
        <v>0.01</v>
      </c>
      <c r="EY71">
        <v>0</v>
      </c>
      <c r="FQ71">
        <v>0</v>
      </c>
      <c r="FR71">
        <f t="shared" si="56"/>
        <v>0</v>
      </c>
      <c r="FS71">
        <v>0</v>
      </c>
      <c r="FT71" t="s">
        <v>23</v>
      </c>
      <c r="FU71" t="s">
        <v>24</v>
      </c>
      <c r="FX71">
        <v>115.2</v>
      </c>
      <c r="FY71">
        <v>70.55</v>
      </c>
      <c r="GA71" t="s">
        <v>3</v>
      </c>
      <c r="GD71">
        <v>1</v>
      </c>
      <c r="GF71">
        <v>-506355120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si="57"/>
        <v>0</v>
      </c>
      <c r="GM71">
        <f t="shared" si="58"/>
        <v>21577.38</v>
      </c>
      <c r="GN71">
        <f t="shared" si="59"/>
        <v>21577.38</v>
      </c>
      <c r="GO71">
        <f t="shared" si="60"/>
        <v>0</v>
      </c>
      <c r="GP71">
        <f t="shared" si="61"/>
        <v>0</v>
      </c>
      <c r="GR71">
        <v>0</v>
      </c>
      <c r="GS71">
        <v>3</v>
      </c>
      <c r="GT71">
        <v>0</v>
      </c>
      <c r="GU71" t="s">
        <v>3</v>
      </c>
      <c r="GV71">
        <f t="shared" si="62"/>
        <v>0</v>
      </c>
      <c r="GW71">
        <v>1</v>
      </c>
      <c r="GX71">
        <f t="shared" si="63"/>
        <v>0</v>
      </c>
      <c r="HA71">
        <v>0</v>
      </c>
      <c r="HB71">
        <v>0</v>
      </c>
      <c r="HC71">
        <f t="shared" si="64"/>
        <v>0</v>
      </c>
      <c r="HE71" t="s">
        <v>3</v>
      </c>
      <c r="HF71" t="s">
        <v>3</v>
      </c>
      <c r="IK71">
        <v>0</v>
      </c>
    </row>
    <row r="72" spans="1:245">
      <c r="A72">
        <v>17</v>
      </c>
      <c r="B72">
        <v>1</v>
      </c>
      <c r="C72">
        <f>ROW(SmtRes!A45)</f>
        <v>45</v>
      </c>
      <c r="D72">
        <f>ROW(EtalonRes!A45)</f>
        <v>45</v>
      </c>
      <c r="E72" t="s">
        <v>123</v>
      </c>
      <c r="F72" t="s">
        <v>124</v>
      </c>
      <c r="G72" t="s">
        <v>125</v>
      </c>
      <c r="H72" t="s">
        <v>126</v>
      </c>
      <c r="I72">
        <f>ROUND(110/100,9)</f>
        <v>1.1000000000000001</v>
      </c>
      <c r="J72">
        <v>0</v>
      </c>
      <c r="O72">
        <f t="shared" si="30"/>
        <v>60714.71</v>
      </c>
      <c r="P72">
        <f t="shared" si="31"/>
        <v>49143.3</v>
      </c>
      <c r="Q72">
        <f t="shared" si="32"/>
        <v>325.66000000000003</v>
      </c>
      <c r="R72">
        <f t="shared" si="33"/>
        <v>98.54</v>
      </c>
      <c r="S72">
        <f t="shared" si="34"/>
        <v>11245.75</v>
      </c>
      <c r="T72">
        <f t="shared" si="35"/>
        <v>0</v>
      </c>
      <c r="U72">
        <f t="shared" si="36"/>
        <v>39.733649999999997</v>
      </c>
      <c r="V72">
        <f t="shared" si="37"/>
        <v>0.22000000000000003</v>
      </c>
      <c r="W72">
        <f t="shared" si="38"/>
        <v>0</v>
      </c>
      <c r="X72">
        <f t="shared" si="39"/>
        <v>12251.83</v>
      </c>
      <c r="Y72">
        <f t="shared" si="40"/>
        <v>6239.36</v>
      </c>
      <c r="AA72">
        <v>36145237</v>
      </c>
      <c r="AB72">
        <f t="shared" si="41"/>
        <v>6792.8370000000004</v>
      </c>
      <c r="AC72">
        <f t="shared" si="42"/>
        <v>6456.03</v>
      </c>
      <c r="AD72">
        <f>ROUND(((((ET72*1.25))-((EU72*1.25)))+AE72),6)</f>
        <v>28.6875</v>
      </c>
      <c r="AE72">
        <f>ROUND(((EU72*1.25)),6)</f>
        <v>2.7</v>
      </c>
      <c r="AF72">
        <f>ROUND(((EV72*1.15)),6)</f>
        <v>308.11950000000002</v>
      </c>
      <c r="AG72">
        <f t="shared" si="43"/>
        <v>0</v>
      </c>
      <c r="AH72">
        <f>((EW72*1.15))</f>
        <v>36.121499999999997</v>
      </c>
      <c r="AI72">
        <f>((EX72*1.25))</f>
        <v>0.2</v>
      </c>
      <c r="AJ72">
        <f t="shared" si="44"/>
        <v>0</v>
      </c>
      <c r="AK72">
        <v>6746.91</v>
      </c>
      <c r="AL72">
        <v>6456.03</v>
      </c>
      <c r="AM72">
        <v>22.95</v>
      </c>
      <c r="AN72">
        <v>2.16</v>
      </c>
      <c r="AO72">
        <v>267.93</v>
      </c>
      <c r="AP72">
        <v>0</v>
      </c>
      <c r="AQ72">
        <v>31.41</v>
      </c>
      <c r="AR72">
        <v>0.16</v>
      </c>
      <c r="AS72">
        <v>0</v>
      </c>
      <c r="AT72">
        <v>108</v>
      </c>
      <c r="AU72">
        <v>55</v>
      </c>
      <c r="AV72">
        <v>1</v>
      </c>
      <c r="AW72">
        <v>1</v>
      </c>
      <c r="AZ72">
        <v>1</v>
      </c>
      <c r="BA72">
        <v>33.18</v>
      </c>
      <c r="BB72">
        <v>10.32</v>
      </c>
      <c r="BC72">
        <v>6.92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127</v>
      </c>
      <c r="BM72">
        <v>12001</v>
      </c>
      <c r="BN72">
        <v>0</v>
      </c>
      <c r="BO72" t="s">
        <v>124</v>
      </c>
      <c r="BP72">
        <v>1</v>
      </c>
      <c r="BQ72">
        <v>2</v>
      </c>
      <c r="BR72">
        <v>0</v>
      </c>
      <c r="BS72">
        <v>33.18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120</v>
      </c>
      <c r="CA72">
        <v>65</v>
      </c>
      <c r="CE72">
        <v>0</v>
      </c>
      <c r="CF72">
        <v>0</v>
      </c>
      <c r="CG72">
        <v>0</v>
      </c>
      <c r="CM72">
        <v>0</v>
      </c>
      <c r="CN72" t="s">
        <v>308</v>
      </c>
      <c r="CO72">
        <v>0</v>
      </c>
      <c r="CP72">
        <f t="shared" si="45"/>
        <v>60714.710000000006</v>
      </c>
      <c r="CQ72">
        <f t="shared" si="46"/>
        <v>44675.727599999998</v>
      </c>
      <c r="CR72">
        <f t="shared" si="47"/>
        <v>296.05500000000001</v>
      </c>
      <c r="CS72">
        <f t="shared" si="48"/>
        <v>89.585999999999999</v>
      </c>
      <c r="CT72">
        <f t="shared" si="49"/>
        <v>10223.40501</v>
      </c>
      <c r="CU72">
        <f t="shared" si="50"/>
        <v>0</v>
      </c>
      <c r="CV72">
        <f t="shared" si="51"/>
        <v>36.121499999999997</v>
      </c>
      <c r="CW72">
        <f t="shared" si="52"/>
        <v>0.2</v>
      </c>
      <c r="CX72">
        <f t="shared" si="53"/>
        <v>0</v>
      </c>
      <c r="CY72">
        <f t="shared" si="54"/>
        <v>12251.833200000001</v>
      </c>
      <c r="CZ72">
        <f t="shared" si="55"/>
        <v>6239.3595000000005</v>
      </c>
      <c r="DC72" t="s">
        <v>3</v>
      </c>
      <c r="DD72" t="s">
        <v>3</v>
      </c>
      <c r="DE72" t="s">
        <v>98</v>
      </c>
      <c r="DF72" t="s">
        <v>98</v>
      </c>
      <c r="DG72" t="s">
        <v>99</v>
      </c>
      <c r="DH72" t="s">
        <v>3</v>
      </c>
      <c r="DI72" t="s">
        <v>99</v>
      </c>
      <c r="DJ72" t="s">
        <v>98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126</v>
      </c>
      <c r="DW72" t="s">
        <v>126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36260428</v>
      </c>
      <c r="EF72">
        <v>2</v>
      </c>
      <c r="EG72" t="s">
        <v>20</v>
      </c>
      <c r="EH72">
        <v>0</v>
      </c>
      <c r="EI72" t="s">
        <v>3</v>
      </c>
      <c r="EJ72">
        <v>1</v>
      </c>
      <c r="EK72">
        <v>12001</v>
      </c>
      <c r="EL72" t="s">
        <v>100</v>
      </c>
      <c r="EM72" t="s">
        <v>101</v>
      </c>
      <c r="EO72" t="s">
        <v>102</v>
      </c>
      <c r="EQ72">
        <v>0</v>
      </c>
      <c r="ER72">
        <v>6746.91</v>
      </c>
      <c r="ES72">
        <v>6456.03</v>
      </c>
      <c r="ET72">
        <v>22.95</v>
      </c>
      <c r="EU72">
        <v>2.16</v>
      </c>
      <c r="EV72">
        <v>267.93</v>
      </c>
      <c r="EW72">
        <v>31.41</v>
      </c>
      <c r="EX72">
        <v>0.16</v>
      </c>
      <c r="EY72">
        <v>0</v>
      </c>
      <c r="FQ72">
        <v>0</v>
      </c>
      <c r="FR72">
        <f t="shared" si="56"/>
        <v>0</v>
      </c>
      <c r="FS72">
        <v>0</v>
      </c>
      <c r="FT72" t="s">
        <v>23</v>
      </c>
      <c r="FU72" t="s">
        <v>24</v>
      </c>
      <c r="FX72">
        <v>108</v>
      </c>
      <c r="FY72">
        <v>55.25</v>
      </c>
      <c r="GA72" t="s">
        <v>3</v>
      </c>
      <c r="GD72">
        <v>1</v>
      </c>
      <c r="GF72">
        <v>-985427136</v>
      </c>
      <c r="GG72">
        <v>2</v>
      </c>
      <c r="GH72">
        <v>1</v>
      </c>
      <c r="GI72">
        <v>2</v>
      </c>
      <c r="GJ72">
        <v>0</v>
      </c>
      <c r="GK72">
        <v>0</v>
      </c>
      <c r="GL72">
        <f t="shared" si="57"/>
        <v>0</v>
      </c>
      <c r="GM72">
        <f t="shared" si="58"/>
        <v>79205.899999999994</v>
      </c>
      <c r="GN72">
        <f t="shared" si="59"/>
        <v>79205.899999999994</v>
      </c>
      <c r="GO72">
        <f t="shared" si="60"/>
        <v>0</v>
      </c>
      <c r="GP72">
        <f t="shared" si="61"/>
        <v>0</v>
      </c>
      <c r="GR72">
        <v>0</v>
      </c>
      <c r="GS72">
        <v>3</v>
      </c>
      <c r="GT72">
        <v>0</v>
      </c>
      <c r="GU72" t="s">
        <v>3</v>
      </c>
      <c r="GV72">
        <f t="shared" si="62"/>
        <v>0</v>
      </c>
      <c r="GW72">
        <v>1</v>
      </c>
      <c r="GX72">
        <f t="shared" si="63"/>
        <v>0</v>
      </c>
      <c r="HA72">
        <v>0</v>
      </c>
      <c r="HB72">
        <v>0</v>
      </c>
      <c r="HC72">
        <f t="shared" si="64"/>
        <v>0</v>
      </c>
      <c r="HE72" t="s">
        <v>3</v>
      </c>
      <c r="HF72" t="s">
        <v>3</v>
      </c>
      <c r="IK72">
        <v>0</v>
      </c>
    </row>
    <row r="73" spans="1:245">
      <c r="A73">
        <v>17</v>
      </c>
      <c r="B73">
        <v>1</v>
      </c>
      <c r="E73" t="s">
        <v>128</v>
      </c>
      <c r="F73" t="s">
        <v>129</v>
      </c>
      <c r="G73" t="s">
        <v>130</v>
      </c>
      <c r="H73" t="s">
        <v>131</v>
      </c>
      <c r="I73">
        <v>0.6</v>
      </c>
      <c r="J73">
        <v>0</v>
      </c>
      <c r="O73">
        <f t="shared" si="30"/>
        <v>373.15</v>
      </c>
      <c r="P73">
        <f t="shared" si="31"/>
        <v>0</v>
      </c>
      <c r="Q73">
        <f t="shared" si="32"/>
        <v>373.15</v>
      </c>
      <c r="R73">
        <f t="shared" si="33"/>
        <v>0</v>
      </c>
      <c r="S73">
        <f t="shared" si="34"/>
        <v>0</v>
      </c>
      <c r="T73">
        <f t="shared" si="35"/>
        <v>0</v>
      </c>
      <c r="U73">
        <f t="shared" si="36"/>
        <v>0</v>
      </c>
      <c r="V73">
        <f t="shared" si="37"/>
        <v>0</v>
      </c>
      <c r="W73">
        <f t="shared" si="38"/>
        <v>0</v>
      </c>
      <c r="X73">
        <f t="shared" si="39"/>
        <v>0</v>
      </c>
      <c r="Y73">
        <f t="shared" si="40"/>
        <v>0</v>
      </c>
      <c r="AA73">
        <v>36145237</v>
      </c>
      <c r="AB73">
        <f t="shared" si="41"/>
        <v>42.98</v>
      </c>
      <c r="AC73">
        <f t="shared" si="42"/>
        <v>0</v>
      </c>
      <c r="AD73">
        <f>ROUND(((ET73)+ROUND(((EU73)*1.6),2)),6)</f>
        <v>42.98</v>
      </c>
      <c r="AE73">
        <f>ROUND(((EU73)+ROUND(((EU73)*1.6),2)),6)</f>
        <v>0</v>
      </c>
      <c r="AF73">
        <f>ROUND(((EV73)+ROUND(((EV73)*1.6),2)),6)</f>
        <v>0</v>
      </c>
      <c r="AG73">
        <f t="shared" si="43"/>
        <v>0</v>
      </c>
      <c r="AH73">
        <f>(EW73)</f>
        <v>0</v>
      </c>
      <c r="AI73">
        <f>(EX73)</f>
        <v>0</v>
      </c>
      <c r="AJ73">
        <f t="shared" si="44"/>
        <v>0</v>
      </c>
      <c r="AK73">
        <v>42.98</v>
      </c>
      <c r="AL73">
        <v>0</v>
      </c>
      <c r="AM73">
        <v>42.98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14.47</v>
      </c>
      <c r="BB73">
        <v>14.47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132</v>
      </c>
      <c r="BM73">
        <v>700004</v>
      </c>
      <c r="BN73">
        <v>0</v>
      </c>
      <c r="BO73" t="s">
        <v>3</v>
      </c>
      <c r="BP73">
        <v>0</v>
      </c>
      <c r="BQ73">
        <v>19</v>
      </c>
      <c r="BR73">
        <v>0</v>
      </c>
      <c r="BS73">
        <v>14.47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45"/>
        <v>373.15</v>
      </c>
      <c r="CQ73">
        <f t="shared" si="46"/>
        <v>0</v>
      </c>
      <c r="CR73">
        <f t="shared" si="47"/>
        <v>621.92060000000004</v>
      </c>
      <c r="CS73">
        <f t="shared" si="48"/>
        <v>0</v>
      </c>
      <c r="CT73">
        <f t="shared" si="49"/>
        <v>0</v>
      </c>
      <c r="CU73">
        <f t="shared" si="50"/>
        <v>0</v>
      </c>
      <c r="CV73">
        <f t="shared" si="51"/>
        <v>0</v>
      </c>
      <c r="CW73">
        <f t="shared" si="52"/>
        <v>0</v>
      </c>
      <c r="CX73">
        <f t="shared" si="53"/>
        <v>0</v>
      </c>
      <c r="CY73">
        <f t="shared" si="54"/>
        <v>0</v>
      </c>
      <c r="CZ73">
        <f t="shared" si="55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131</v>
      </c>
      <c r="DW73" t="s">
        <v>131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36260614</v>
      </c>
      <c r="EF73">
        <v>19</v>
      </c>
      <c r="EG73" t="s">
        <v>133</v>
      </c>
      <c r="EH73">
        <v>0</v>
      </c>
      <c r="EI73" t="s">
        <v>3</v>
      </c>
      <c r="EJ73">
        <v>1</v>
      </c>
      <c r="EK73">
        <v>700004</v>
      </c>
      <c r="EL73" t="s">
        <v>134</v>
      </c>
      <c r="EM73" t="s">
        <v>135</v>
      </c>
      <c r="EO73" t="s">
        <v>3</v>
      </c>
      <c r="EQ73">
        <v>0</v>
      </c>
      <c r="ER73">
        <v>42.98</v>
      </c>
      <c r="ES73">
        <v>0</v>
      </c>
      <c r="ET73">
        <v>42.98</v>
      </c>
      <c r="EU73">
        <v>0</v>
      </c>
      <c r="EV73">
        <v>0</v>
      </c>
      <c r="EW73">
        <v>0</v>
      </c>
      <c r="EX73">
        <v>0</v>
      </c>
      <c r="EY73">
        <v>0</v>
      </c>
      <c r="FQ73">
        <v>0</v>
      </c>
      <c r="FR73">
        <f t="shared" si="56"/>
        <v>0</v>
      </c>
      <c r="FS73">
        <v>0</v>
      </c>
      <c r="FX73">
        <v>0</v>
      </c>
      <c r="FY73">
        <v>0</v>
      </c>
      <c r="GA73" t="s">
        <v>3</v>
      </c>
      <c r="GD73">
        <v>1</v>
      </c>
      <c r="GF73">
        <v>-888683356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57"/>
        <v>0</v>
      </c>
      <c r="GM73">
        <f t="shared" si="58"/>
        <v>373.15</v>
      </c>
      <c r="GN73">
        <f t="shared" si="59"/>
        <v>373.15</v>
      </c>
      <c r="GO73">
        <f t="shared" si="60"/>
        <v>0</v>
      </c>
      <c r="GP73">
        <f t="shared" si="61"/>
        <v>0</v>
      </c>
      <c r="GR73">
        <v>0</v>
      </c>
      <c r="GS73">
        <v>3</v>
      </c>
      <c r="GT73">
        <v>0</v>
      </c>
      <c r="GU73" t="s">
        <v>3</v>
      </c>
      <c r="GV73">
        <f t="shared" si="62"/>
        <v>0</v>
      </c>
      <c r="GW73">
        <v>1</v>
      </c>
      <c r="GX73">
        <f t="shared" si="63"/>
        <v>0</v>
      </c>
      <c r="HA73">
        <v>0</v>
      </c>
      <c r="HB73">
        <v>0</v>
      </c>
      <c r="HC73">
        <f t="shared" si="64"/>
        <v>0</v>
      </c>
      <c r="HD73">
        <f>GM73</f>
        <v>373.15</v>
      </c>
      <c r="HE73" t="s">
        <v>3</v>
      </c>
      <c r="HF73" t="s">
        <v>3</v>
      </c>
      <c r="IK73">
        <v>0</v>
      </c>
    </row>
    <row r="74" spans="1:245">
      <c r="A74">
        <v>17</v>
      </c>
      <c r="B74">
        <v>1</v>
      </c>
      <c r="E74" t="s">
        <v>136</v>
      </c>
      <c r="F74" t="s">
        <v>137</v>
      </c>
      <c r="G74" t="s">
        <v>138</v>
      </c>
      <c r="H74" t="s">
        <v>131</v>
      </c>
      <c r="I74">
        <v>0.6</v>
      </c>
      <c r="J74">
        <v>0</v>
      </c>
      <c r="O74">
        <f t="shared" si="30"/>
        <v>124.08</v>
      </c>
      <c r="P74">
        <f t="shared" si="31"/>
        <v>0</v>
      </c>
      <c r="Q74">
        <f t="shared" si="32"/>
        <v>124.08</v>
      </c>
      <c r="R74">
        <f t="shared" si="33"/>
        <v>0</v>
      </c>
      <c r="S74">
        <f t="shared" si="34"/>
        <v>0</v>
      </c>
      <c r="T74">
        <f t="shared" si="35"/>
        <v>0</v>
      </c>
      <c r="U74">
        <f t="shared" si="36"/>
        <v>0</v>
      </c>
      <c r="V74">
        <f t="shared" si="37"/>
        <v>0</v>
      </c>
      <c r="W74">
        <f t="shared" si="38"/>
        <v>0</v>
      </c>
      <c r="X74">
        <f t="shared" si="39"/>
        <v>0</v>
      </c>
      <c r="Y74">
        <f t="shared" si="40"/>
        <v>0</v>
      </c>
      <c r="AA74">
        <v>36145237</v>
      </c>
      <c r="AB74">
        <f t="shared" si="41"/>
        <v>20.91</v>
      </c>
      <c r="AC74">
        <f t="shared" si="42"/>
        <v>0</v>
      </c>
      <c r="AD74">
        <f>ROUND(((ET74)+ROUND(((EU74)*1.85),2)),6)</f>
        <v>20.91</v>
      </c>
      <c r="AE74">
        <f>ROUND(((EU74)+ROUND(((EU74)*1.85),2)),6)</f>
        <v>0</v>
      </c>
      <c r="AF74">
        <f>ROUND(((EV74)+ROUND(((EV74)*1.85),2)),6)</f>
        <v>0</v>
      </c>
      <c r="AG74">
        <f t="shared" si="43"/>
        <v>0</v>
      </c>
      <c r="AH74">
        <f>(EW74)</f>
        <v>0</v>
      </c>
      <c r="AI74">
        <f>(EX74)</f>
        <v>0</v>
      </c>
      <c r="AJ74">
        <f t="shared" si="44"/>
        <v>0</v>
      </c>
      <c r="AK74">
        <v>20.91</v>
      </c>
      <c r="AL74">
        <v>0</v>
      </c>
      <c r="AM74">
        <v>20.91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9.89</v>
      </c>
      <c r="BB74">
        <v>9.89</v>
      </c>
      <c r="BC74">
        <v>1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1</v>
      </c>
      <c r="BJ74" t="s">
        <v>139</v>
      </c>
      <c r="BM74">
        <v>700001</v>
      </c>
      <c r="BN74">
        <v>0</v>
      </c>
      <c r="BO74" t="s">
        <v>3</v>
      </c>
      <c r="BP74">
        <v>0</v>
      </c>
      <c r="BQ74">
        <v>10</v>
      </c>
      <c r="BR74">
        <v>0</v>
      </c>
      <c r="BS74">
        <v>9.89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0</v>
      </c>
      <c r="CA74">
        <v>0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45"/>
        <v>124.08</v>
      </c>
      <c r="CQ74">
        <f t="shared" si="46"/>
        <v>0</v>
      </c>
      <c r="CR74">
        <f t="shared" si="47"/>
        <v>206.79990000000001</v>
      </c>
      <c r="CS74">
        <f t="shared" si="48"/>
        <v>0</v>
      </c>
      <c r="CT74">
        <f t="shared" si="49"/>
        <v>0</v>
      </c>
      <c r="CU74">
        <f t="shared" si="50"/>
        <v>0</v>
      </c>
      <c r="CV74">
        <f t="shared" si="51"/>
        <v>0</v>
      </c>
      <c r="CW74">
        <f t="shared" si="52"/>
        <v>0</v>
      </c>
      <c r="CX74">
        <f t="shared" si="53"/>
        <v>0</v>
      </c>
      <c r="CY74">
        <f t="shared" si="54"/>
        <v>0</v>
      </c>
      <c r="CZ74">
        <f t="shared" si="55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1013</v>
      </c>
      <c r="DV74" t="s">
        <v>131</v>
      </c>
      <c r="DW74" t="s">
        <v>131</v>
      </c>
      <c r="DX74">
        <v>1</v>
      </c>
      <c r="DZ74" t="s">
        <v>3</v>
      </c>
      <c r="EA74" t="s">
        <v>3</v>
      </c>
      <c r="EB74" t="s">
        <v>3</v>
      </c>
      <c r="EC74" t="s">
        <v>3</v>
      </c>
      <c r="EE74">
        <v>36260364</v>
      </c>
      <c r="EF74">
        <v>10</v>
      </c>
      <c r="EG74" t="s">
        <v>140</v>
      </c>
      <c r="EH74">
        <v>0</v>
      </c>
      <c r="EI74" t="s">
        <v>3</v>
      </c>
      <c r="EJ74">
        <v>1</v>
      </c>
      <c r="EK74">
        <v>700001</v>
      </c>
      <c r="EL74" t="s">
        <v>141</v>
      </c>
      <c r="EM74" t="s">
        <v>142</v>
      </c>
      <c r="EO74" t="s">
        <v>3</v>
      </c>
      <c r="EQ74">
        <v>0</v>
      </c>
      <c r="ER74">
        <v>20.91</v>
      </c>
      <c r="ES74">
        <v>0</v>
      </c>
      <c r="ET74">
        <v>20.91</v>
      </c>
      <c r="EU74">
        <v>0</v>
      </c>
      <c r="EV74">
        <v>0</v>
      </c>
      <c r="EW74">
        <v>0</v>
      </c>
      <c r="EX74">
        <v>0</v>
      </c>
      <c r="EY74">
        <v>0</v>
      </c>
      <c r="FQ74">
        <v>0</v>
      </c>
      <c r="FR74">
        <f t="shared" si="56"/>
        <v>0</v>
      </c>
      <c r="FS74">
        <v>0</v>
      </c>
      <c r="FX74">
        <v>0</v>
      </c>
      <c r="FY74">
        <v>0</v>
      </c>
      <c r="GA74" t="s">
        <v>3</v>
      </c>
      <c r="GD74">
        <v>1</v>
      </c>
      <c r="GF74">
        <v>1293652068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57"/>
        <v>0</v>
      </c>
      <c r="GM74">
        <f t="shared" si="58"/>
        <v>124.08</v>
      </c>
      <c r="GN74">
        <f t="shared" si="59"/>
        <v>124.08</v>
      </c>
      <c r="GO74">
        <f t="shared" si="60"/>
        <v>0</v>
      </c>
      <c r="GP74">
        <f t="shared" si="61"/>
        <v>0</v>
      </c>
      <c r="GR74">
        <v>0</v>
      </c>
      <c r="GS74">
        <v>3</v>
      </c>
      <c r="GT74">
        <v>0</v>
      </c>
      <c r="GU74" t="s">
        <v>3</v>
      </c>
      <c r="GV74">
        <f t="shared" si="62"/>
        <v>0</v>
      </c>
      <c r="GW74">
        <v>1</v>
      </c>
      <c r="GX74">
        <f t="shared" si="63"/>
        <v>0</v>
      </c>
      <c r="HA74">
        <v>0</v>
      </c>
      <c r="HB74">
        <v>0</v>
      </c>
      <c r="HC74">
        <f t="shared" si="64"/>
        <v>0</v>
      </c>
      <c r="HD74">
        <f>GM74</f>
        <v>124.08</v>
      </c>
      <c r="HE74" t="s">
        <v>3</v>
      </c>
      <c r="HF74" t="s">
        <v>3</v>
      </c>
      <c r="IK74">
        <v>0</v>
      </c>
    </row>
    <row r="76" spans="1:245">
      <c r="A76" s="2">
        <v>51</v>
      </c>
      <c r="B76" s="2">
        <f>B60</f>
        <v>1</v>
      </c>
      <c r="C76" s="2">
        <f>A60</f>
        <v>4</v>
      </c>
      <c r="D76" s="2">
        <f>ROW(A60)</f>
        <v>60</v>
      </c>
      <c r="E76" s="2"/>
      <c r="F76" s="2" t="str">
        <f>IF(F60&lt;&gt;"",F60,"")</f>
        <v>Новый раздел</v>
      </c>
      <c r="G76" s="2" t="str">
        <f>IF(G60&lt;&gt;"",G60,"")</f>
        <v>Ремонт</v>
      </c>
      <c r="H76" s="2">
        <v>0</v>
      </c>
      <c r="I76" s="2"/>
      <c r="J76" s="2"/>
      <c r="K76" s="2"/>
      <c r="L76" s="2"/>
      <c r="M76" s="2"/>
      <c r="N76" s="2"/>
      <c r="O76" s="2">
        <f t="shared" ref="O76:T76" si="65">ROUND(AB76,2)</f>
        <v>414386.6</v>
      </c>
      <c r="P76" s="2">
        <f t="shared" si="65"/>
        <v>349224.76</v>
      </c>
      <c r="Q76" s="2">
        <f t="shared" si="65"/>
        <v>4893.7299999999996</v>
      </c>
      <c r="R76" s="2">
        <f t="shared" si="65"/>
        <v>992.72</v>
      </c>
      <c r="S76" s="2">
        <f t="shared" si="65"/>
        <v>60268.11</v>
      </c>
      <c r="T76" s="2">
        <f t="shared" si="65"/>
        <v>0</v>
      </c>
      <c r="U76" s="2">
        <f>AH76</f>
        <v>198.17179999999996</v>
      </c>
      <c r="V76" s="2">
        <f>AI76</f>
        <v>2.2847499999999998</v>
      </c>
      <c r="W76" s="2">
        <f>ROUND(AJ76,2)</f>
        <v>0</v>
      </c>
      <c r="X76" s="2">
        <f>ROUND(AK76,2)</f>
        <v>64537.46</v>
      </c>
      <c r="Y76" s="2">
        <f>ROUND(AL76,2)</f>
        <v>35170.76</v>
      </c>
      <c r="Z76" s="2"/>
      <c r="AA76" s="2"/>
      <c r="AB76" s="2">
        <f>ROUND(SUMIF(AA64:AA74,"=36145237",O64:O74),2)</f>
        <v>414386.6</v>
      </c>
      <c r="AC76" s="2">
        <f>ROUND(SUMIF(AA64:AA74,"=36145237",P64:P74),2)</f>
        <v>349224.76</v>
      </c>
      <c r="AD76" s="2">
        <f>ROUND(SUMIF(AA64:AA74,"=36145237",Q64:Q74),2)</f>
        <v>4893.7299999999996</v>
      </c>
      <c r="AE76" s="2">
        <f>ROUND(SUMIF(AA64:AA74,"=36145237",R64:R74),2)</f>
        <v>992.72</v>
      </c>
      <c r="AF76" s="2">
        <f>ROUND(SUMIF(AA64:AA74,"=36145237",S64:S74),2)</f>
        <v>60268.11</v>
      </c>
      <c r="AG76" s="2">
        <f>ROUND(SUMIF(AA64:AA74,"=36145237",T64:T74),2)</f>
        <v>0</v>
      </c>
      <c r="AH76" s="2">
        <f>SUMIF(AA64:AA74,"=36145237",U64:U74)</f>
        <v>198.17179999999996</v>
      </c>
      <c r="AI76" s="2">
        <f>SUMIF(AA64:AA74,"=36145237",V64:V74)</f>
        <v>2.2847499999999998</v>
      </c>
      <c r="AJ76" s="2">
        <f>ROUND(SUMIF(AA64:AA74,"=36145237",W64:W74),2)</f>
        <v>0</v>
      </c>
      <c r="AK76" s="2">
        <f>ROUND(SUMIF(AA64:AA74,"=36145237",X64:X74),2)</f>
        <v>64537.46</v>
      </c>
      <c r="AL76" s="2">
        <f>ROUND(SUMIF(AA64:AA74,"=36145237",Y64:Y74),2)</f>
        <v>35170.76</v>
      </c>
      <c r="AM76" s="2"/>
      <c r="AN76" s="2"/>
      <c r="AO76" s="2">
        <f t="shared" ref="AO76:BD76" si="66">ROUND(BX76,2)</f>
        <v>0</v>
      </c>
      <c r="AP76" s="2">
        <f t="shared" si="66"/>
        <v>0</v>
      </c>
      <c r="AQ76" s="2">
        <f t="shared" si="66"/>
        <v>0</v>
      </c>
      <c r="AR76" s="2">
        <f t="shared" si="66"/>
        <v>514094.82</v>
      </c>
      <c r="AS76" s="2">
        <f t="shared" si="66"/>
        <v>514094.82</v>
      </c>
      <c r="AT76" s="2">
        <f t="shared" si="66"/>
        <v>0</v>
      </c>
      <c r="AU76" s="2">
        <f t="shared" si="66"/>
        <v>0</v>
      </c>
      <c r="AV76" s="2">
        <f t="shared" si="66"/>
        <v>349224.76</v>
      </c>
      <c r="AW76" s="2">
        <f t="shared" si="66"/>
        <v>349224.76</v>
      </c>
      <c r="AX76" s="2">
        <f t="shared" si="66"/>
        <v>0</v>
      </c>
      <c r="AY76" s="2">
        <f t="shared" si="66"/>
        <v>349224.76</v>
      </c>
      <c r="AZ76" s="2">
        <f t="shared" si="66"/>
        <v>0</v>
      </c>
      <c r="BA76" s="2">
        <f t="shared" si="66"/>
        <v>0</v>
      </c>
      <c r="BB76" s="2">
        <f t="shared" si="66"/>
        <v>0</v>
      </c>
      <c r="BC76" s="2">
        <f t="shared" si="66"/>
        <v>0</v>
      </c>
      <c r="BD76" s="2">
        <f t="shared" si="66"/>
        <v>497.23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>
        <f>ROUND(SUMIF(AA64:AA74,"=36145237",FQ64:FQ74),2)</f>
        <v>0</v>
      </c>
      <c r="BY76" s="2">
        <f>ROUND(SUMIF(AA64:AA74,"=36145237",FR64:FR74),2)</f>
        <v>0</v>
      </c>
      <c r="BZ76" s="2">
        <f>ROUND(SUMIF(AA64:AA74,"=36145237",GL64:GL74),2)</f>
        <v>0</v>
      </c>
      <c r="CA76" s="2">
        <f>ROUND(SUMIF(AA64:AA74,"=36145237",GM64:GM74),2)</f>
        <v>514094.82</v>
      </c>
      <c r="CB76" s="2">
        <f>ROUND(SUMIF(AA64:AA74,"=36145237",GN64:GN74),2)</f>
        <v>514094.82</v>
      </c>
      <c r="CC76" s="2">
        <f>ROUND(SUMIF(AA64:AA74,"=36145237",GO64:GO74),2)</f>
        <v>0</v>
      </c>
      <c r="CD76" s="2">
        <f>ROUND(SUMIF(AA64:AA74,"=36145237",GP64:GP74),2)</f>
        <v>0</v>
      </c>
      <c r="CE76" s="2">
        <f>AC76-BX76</f>
        <v>349224.76</v>
      </c>
      <c r="CF76" s="2">
        <f>AC76-BY76</f>
        <v>349224.76</v>
      </c>
      <c r="CG76" s="2">
        <f>BX76-BZ76</f>
        <v>0</v>
      </c>
      <c r="CH76" s="2">
        <f>AC76-BX76-BY76+BZ76</f>
        <v>349224.76</v>
      </c>
      <c r="CI76" s="2">
        <f>BY76-BZ76</f>
        <v>0</v>
      </c>
      <c r="CJ76" s="2">
        <f>ROUND(SUMIF(AA64:AA74,"=36145237",GX64:GX74),2)</f>
        <v>0</v>
      </c>
      <c r="CK76" s="2">
        <f>ROUND(SUMIF(AA64:AA74,"=36145237",GY64:GY74),2)</f>
        <v>0</v>
      </c>
      <c r="CL76" s="2">
        <f>ROUND(SUMIF(AA64:AA74,"=36145237",GZ64:GZ74),2)</f>
        <v>0</v>
      </c>
      <c r="CM76" s="2">
        <f>ROUND(SUMIF(AA64:AA74,"=36145237",HD64:HD74),2)</f>
        <v>497.23</v>
      </c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>
        <v>0</v>
      </c>
    </row>
    <row r="78" spans="1:245">
      <c r="A78" s="4">
        <v>50</v>
      </c>
      <c r="B78" s="4">
        <v>0</v>
      </c>
      <c r="C78" s="4">
        <v>0</v>
      </c>
      <c r="D78" s="4">
        <v>1</v>
      </c>
      <c r="E78" s="4">
        <v>201</v>
      </c>
      <c r="F78" s="4">
        <f>ROUND(Source!O76,O78)</f>
        <v>414386.6</v>
      </c>
      <c r="G78" s="4" t="s">
        <v>25</v>
      </c>
      <c r="H78" s="4" t="s">
        <v>26</v>
      </c>
      <c r="I78" s="4"/>
      <c r="J78" s="4"/>
      <c r="K78" s="4">
        <v>201</v>
      </c>
      <c r="L78" s="4">
        <v>1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45">
      <c r="A79" s="4">
        <v>50</v>
      </c>
      <c r="B79" s="4">
        <v>0</v>
      </c>
      <c r="C79" s="4">
        <v>0</v>
      </c>
      <c r="D79" s="4">
        <v>1</v>
      </c>
      <c r="E79" s="4">
        <v>202</v>
      </c>
      <c r="F79" s="4">
        <f>ROUND(Source!P76,O79)</f>
        <v>349224.76</v>
      </c>
      <c r="G79" s="4" t="s">
        <v>27</v>
      </c>
      <c r="H79" s="4" t="s">
        <v>28</v>
      </c>
      <c r="I79" s="4"/>
      <c r="J79" s="4"/>
      <c r="K79" s="4">
        <v>202</v>
      </c>
      <c r="L79" s="4">
        <v>2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45">
      <c r="A80" s="4">
        <v>50</v>
      </c>
      <c r="B80" s="4">
        <v>0</v>
      </c>
      <c r="C80" s="4">
        <v>0</v>
      </c>
      <c r="D80" s="4">
        <v>1</v>
      </c>
      <c r="E80" s="4">
        <v>222</v>
      </c>
      <c r="F80" s="4">
        <f>ROUND(Source!AO76,O80)</f>
        <v>0</v>
      </c>
      <c r="G80" s="4" t="s">
        <v>29</v>
      </c>
      <c r="H80" s="4" t="s">
        <v>30</v>
      </c>
      <c r="I80" s="4"/>
      <c r="J80" s="4"/>
      <c r="K80" s="4">
        <v>222</v>
      </c>
      <c r="L80" s="4">
        <v>3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225</v>
      </c>
      <c r="F81" s="4">
        <f>ROUND(Source!AV76,O81)</f>
        <v>349224.76</v>
      </c>
      <c r="G81" s="4" t="s">
        <v>31</v>
      </c>
      <c r="H81" s="4" t="s">
        <v>32</v>
      </c>
      <c r="I81" s="4"/>
      <c r="J81" s="4"/>
      <c r="K81" s="4">
        <v>225</v>
      </c>
      <c r="L81" s="4">
        <v>4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226</v>
      </c>
      <c r="F82" s="4">
        <f>ROUND(Source!AW76,O82)</f>
        <v>349224.76</v>
      </c>
      <c r="G82" s="4" t="s">
        <v>33</v>
      </c>
      <c r="H82" s="4" t="s">
        <v>34</v>
      </c>
      <c r="I82" s="4"/>
      <c r="J82" s="4"/>
      <c r="K82" s="4">
        <v>226</v>
      </c>
      <c r="L82" s="4">
        <v>5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227</v>
      </c>
      <c r="F83" s="4">
        <f>ROUND(Source!AX76,O83)</f>
        <v>0</v>
      </c>
      <c r="G83" s="4" t="s">
        <v>35</v>
      </c>
      <c r="H83" s="4" t="s">
        <v>36</v>
      </c>
      <c r="I83" s="4"/>
      <c r="J83" s="4"/>
      <c r="K83" s="4">
        <v>227</v>
      </c>
      <c r="L83" s="4">
        <v>6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228</v>
      </c>
      <c r="F84" s="4">
        <f>ROUND(Source!AY76,O84)</f>
        <v>349224.76</v>
      </c>
      <c r="G84" s="4" t="s">
        <v>37</v>
      </c>
      <c r="H84" s="4" t="s">
        <v>38</v>
      </c>
      <c r="I84" s="4"/>
      <c r="J84" s="4"/>
      <c r="K84" s="4">
        <v>228</v>
      </c>
      <c r="L84" s="4">
        <v>7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216</v>
      </c>
      <c r="F85" s="4">
        <f>ROUND(Source!AP76,O85)</f>
        <v>0</v>
      </c>
      <c r="G85" s="4" t="s">
        <v>39</v>
      </c>
      <c r="H85" s="4" t="s">
        <v>40</v>
      </c>
      <c r="I85" s="4"/>
      <c r="J85" s="4"/>
      <c r="K85" s="4">
        <v>216</v>
      </c>
      <c r="L85" s="4">
        <v>8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223</v>
      </c>
      <c r="F86" s="4">
        <f>ROUND(Source!AQ76,O86)</f>
        <v>0</v>
      </c>
      <c r="G86" s="4" t="s">
        <v>41</v>
      </c>
      <c r="H86" s="4" t="s">
        <v>42</v>
      </c>
      <c r="I86" s="4"/>
      <c r="J86" s="4"/>
      <c r="K86" s="4">
        <v>223</v>
      </c>
      <c r="L86" s="4">
        <v>9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229</v>
      </c>
      <c r="F87" s="4">
        <f>ROUND(Source!AZ76,O87)</f>
        <v>0</v>
      </c>
      <c r="G87" s="4" t="s">
        <v>43</v>
      </c>
      <c r="H87" s="4" t="s">
        <v>44</v>
      </c>
      <c r="I87" s="4"/>
      <c r="J87" s="4"/>
      <c r="K87" s="4">
        <v>229</v>
      </c>
      <c r="L87" s="4">
        <v>10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203</v>
      </c>
      <c r="F88" s="4">
        <f>ROUND(Source!Q76,O88)</f>
        <v>4893.7299999999996</v>
      </c>
      <c r="G88" s="4" t="s">
        <v>45</v>
      </c>
      <c r="H88" s="4" t="s">
        <v>46</v>
      </c>
      <c r="I88" s="4"/>
      <c r="J88" s="4"/>
      <c r="K88" s="4">
        <v>203</v>
      </c>
      <c r="L88" s="4">
        <v>11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231</v>
      </c>
      <c r="F89" s="4">
        <f>ROUND(Source!BB76,O89)</f>
        <v>0</v>
      </c>
      <c r="G89" s="4" t="s">
        <v>47</v>
      </c>
      <c r="H89" s="4" t="s">
        <v>48</v>
      </c>
      <c r="I89" s="4"/>
      <c r="J89" s="4"/>
      <c r="K89" s="4">
        <v>231</v>
      </c>
      <c r="L89" s="4">
        <v>12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204</v>
      </c>
      <c r="F90" s="4">
        <f>ROUND(Source!R76,O90)</f>
        <v>992.72</v>
      </c>
      <c r="G90" s="4" t="s">
        <v>49</v>
      </c>
      <c r="H90" s="4" t="s">
        <v>50</v>
      </c>
      <c r="I90" s="4"/>
      <c r="J90" s="4"/>
      <c r="K90" s="4">
        <v>204</v>
      </c>
      <c r="L90" s="4">
        <v>13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205</v>
      </c>
      <c r="F91" s="4">
        <f>ROUND(Source!S76,O91)</f>
        <v>60268.11</v>
      </c>
      <c r="G91" s="4" t="s">
        <v>51</v>
      </c>
      <c r="H91" s="4" t="s">
        <v>52</v>
      </c>
      <c r="I91" s="4"/>
      <c r="J91" s="4"/>
      <c r="K91" s="4">
        <v>205</v>
      </c>
      <c r="L91" s="4">
        <v>14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232</v>
      </c>
      <c r="F92" s="4">
        <f>ROUND(Source!BC76,O92)</f>
        <v>0</v>
      </c>
      <c r="G92" s="4" t="s">
        <v>53</v>
      </c>
      <c r="H92" s="4" t="s">
        <v>54</v>
      </c>
      <c r="I92" s="4"/>
      <c r="J92" s="4"/>
      <c r="K92" s="4">
        <v>232</v>
      </c>
      <c r="L92" s="4">
        <v>15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214</v>
      </c>
      <c r="F93" s="4">
        <f>ROUND(Source!AS76,O93)</f>
        <v>514094.82</v>
      </c>
      <c r="G93" s="4" t="s">
        <v>55</v>
      </c>
      <c r="H93" s="4" t="s">
        <v>56</v>
      </c>
      <c r="I93" s="4"/>
      <c r="J93" s="4"/>
      <c r="K93" s="4">
        <v>214</v>
      </c>
      <c r="L93" s="4">
        <v>16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215</v>
      </c>
      <c r="F94" s="4">
        <f>ROUND(Source!AT76,O94)</f>
        <v>0</v>
      </c>
      <c r="G94" s="4" t="s">
        <v>57</v>
      </c>
      <c r="H94" s="4" t="s">
        <v>58</v>
      </c>
      <c r="I94" s="4"/>
      <c r="J94" s="4"/>
      <c r="K94" s="4">
        <v>215</v>
      </c>
      <c r="L94" s="4">
        <v>17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217</v>
      </c>
      <c r="F95" s="4">
        <f>ROUND(Source!AU76,O95)</f>
        <v>0</v>
      </c>
      <c r="G95" s="4" t="s">
        <v>59</v>
      </c>
      <c r="H95" s="4" t="s">
        <v>60</v>
      </c>
      <c r="I95" s="4"/>
      <c r="J95" s="4"/>
      <c r="K95" s="4">
        <v>217</v>
      </c>
      <c r="L95" s="4">
        <v>18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230</v>
      </c>
      <c r="F96" s="4">
        <f>ROUND(Source!BA76,O96)</f>
        <v>0</v>
      </c>
      <c r="G96" s="4" t="s">
        <v>61</v>
      </c>
      <c r="H96" s="4" t="s">
        <v>62</v>
      </c>
      <c r="I96" s="4"/>
      <c r="J96" s="4"/>
      <c r="K96" s="4">
        <v>230</v>
      </c>
      <c r="L96" s="4">
        <v>19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06">
      <c r="A97" s="4">
        <v>50</v>
      </c>
      <c r="B97" s="4">
        <v>0</v>
      </c>
      <c r="C97" s="4">
        <v>0</v>
      </c>
      <c r="D97" s="4">
        <v>1</v>
      </c>
      <c r="E97" s="4">
        <v>206</v>
      </c>
      <c r="F97" s="4">
        <f>ROUND(Source!T76,O97)</f>
        <v>0</v>
      </c>
      <c r="G97" s="4" t="s">
        <v>63</v>
      </c>
      <c r="H97" s="4" t="s">
        <v>64</v>
      </c>
      <c r="I97" s="4"/>
      <c r="J97" s="4"/>
      <c r="K97" s="4">
        <v>206</v>
      </c>
      <c r="L97" s="4">
        <v>20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06">
      <c r="A98" s="4">
        <v>50</v>
      </c>
      <c r="B98" s="4">
        <v>0</v>
      </c>
      <c r="C98" s="4">
        <v>0</v>
      </c>
      <c r="D98" s="4">
        <v>1</v>
      </c>
      <c r="E98" s="4">
        <v>207</v>
      </c>
      <c r="F98" s="4">
        <f>Source!U76</f>
        <v>198.17179999999996</v>
      </c>
      <c r="G98" s="4" t="s">
        <v>65</v>
      </c>
      <c r="H98" s="4" t="s">
        <v>66</v>
      </c>
      <c r="I98" s="4"/>
      <c r="J98" s="4"/>
      <c r="K98" s="4">
        <v>207</v>
      </c>
      <c r="L98" s="4">
        <v>21</v>
      </c>
      <c r="M98" s="4">
        <v>3</v>
      </c>
      <c r="N98" s="4" t="s">
        <v>3</v>
      </c>
      <c r="O98" s="4">
        <v>-1</v>
      </c>
      <c r="P98" s="4"/>
      <c r="Q98" s="4"/>
      <c r="R98" s="4"/>
      <c r="S98" s="4"/>
      <c r="T98" s="4"/>
      <c r="U98" s="4"/>
      <c r="V98" s="4"/>
      <c r="W98" s="4"/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208</v>
      </c>
      <c r="F99" s="4">
        <f>Source!V76</f>
        <v>2.2847499999999998</v>
      </c>
      <c r="G99" s="4" t="s">
        <v>67</v>
      </c>
      <c r="H99" s="4" t="s">
        <v>68</v>
      </c>
      <c r="I99" s="4"/>
      <c r="J99" s="4"/>
      <c r="K99" s="4">
        <v>208</v>
      </c>
      <c r="L99" s="4">
        <v>22</v>
      </c>
      <c r="M99" s="4">
        <v>3</v>
      </c>
      <c r="N99" s="4" t="s">
        <v>3</v>
      </c>
      <c r="O99" s="4">
        <v>-1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209</v>
      </c>
      <c r="F100" s="4">
        <f>ROUND(Source!W76,O100)</f>
        <v>0</v>
      </c>
      <c r="G100" s="4" t="s">
        <v>69</v>
      </c>
      <c r="H100" s="4" t="s">
        <v>70</v>
      </c>
      <c r="I100" s="4"/>
      <c r="J100" s="4"/>
      <c r="K100" s="4">
        <v>209</v>
      </c>
      <c r="L100" s="4">
        <v>23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233</v>
      </c>
      <c r="F101" s="4">
        <f>ROUND(Source!BD76,O101)</f>
        <v>497.23</v>
      </c>
      <c r="G101" s="4" t="s">
        <v>71</v>
      </c>
      <c r="H101" s="4" t="s">
        <v>72</v>
      </c>
      <c r="I101" s="4"/>
      <c r="J101" s="4"/>
      <c r="K101" s="4">
        <v>233</v>
      </c>
      <c r="L101" s="4">
        <v>24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06">
      <c r="A102" s="4">
        <v>50</v>
      </c>
      <c r="B102" s="4">
        <v>0</v>
      </c>
      <c r="C102" s="4">
        <v>0</v>
      </c>
      <c r="D102" s="4">
        <v>1</v>
      </c>
      <c r="E102" s="4">
        <v>210</v>
      </c>
      <c r="F102" s="4">
        <f>ROUND(Source!X76,O102)</f>
        <v>64537.46</v>
      </c>
      <c r="G102" s="4" t="s">
        <v>73</v>
      </c>
      <c r="H102" s="4" t="s">
        <v>74</v>
      </c>
      <c r="I102" s="4"/>
      <c r="J102" s="4"/>
      <c r="K102" s="4">
        <v>210</v>
      </c>
      <c r="L102" s="4">
        <v>25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06">
      <c r="A103" s="4">
        <v>50</v>
      </c>
      <c r="B103" s="4">
        <v>0</v>
      </c>
      <c r="C103" s="4">
        <v>0</v>
      </c>
      <c r="D103" s="4">
        <v>1</v>
      </c>
      <c r="E103" s="4">
        <v>211</v>
      </c>
      <c r="F103" s="4">
        <f>ROUND(Source!Y76,O103)</f>
        <v>35170.76</v>
      </c>
      <c r="G103" s="4" t="s">
        <v>75</v>
      </c>
      <c r="H103" s="4" t="s">
        <v>76</v>
      </c>
      <c r="I103" s="4"/>
      <c r="J103" s="4"/>
      <c r="K103" s="4">
        <v>211</v>
      </c>
      <c r="L103" s="4">
        <v>26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06">
      <c r="A104" s="4">
        <v>50</v>
      </c>
      <c r="B104" s="4">
        <v>0</v>
      </c>
      <c r="C104" s="4">
        <v>0</v>
      </c>
      <c r="D104" s="4">
        <v>1</v>
      </c>
      <c r="E104" s="4">
        <v>224</v>
      </c>
      <c r="F104" s="4">
        <f>ROUND(Source!AR76,O104)</f>
        <v>514094.82</v>
      </c>
      <c r="G104" s="4" t="s">
        <v>77</v>
      </c>
      <c r="H104" s="4" t="s">
        <v>78</v>
      </c>
      <c r="I104" s="4"/>
      <c r="J104" s="4"/>
      <c r="K104" s="4">
        <v>224</v>
      </c>
      <c r="L104" s="4">
        <v>27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6" spans="1:206">
      <c r="A106" s="2">
        <v>51</v>
      </c>
      <c r="B106" s="2">
        <f>B20</f>
        <v>1</v>
      </c>
      <c r="C106" s="2">
        <f>A20</f>
        <v>3</v>
      </c>
      <c r="D106" s="2">
        <f>ROW(A20)</f>
        <v>20</v>
      </c>
      <c r="E106" s="2"/>
      <c r="F106" s="2" t="str">
        <f>IF(F20&lt;&gt;"",F20,"")</f>
        <v>Новая локальная смета</v>
      </c>
      <c r="G106" s="2" t="str">
        <f>IF(G20&lt;&gt;"",G20,"")</f>
        <v>Новая локальная смета</v>
      </c>
      <c r="H106" s="2">
        <v>0</v>
      </c>
      <c r="I106" s="2"/>
      <c r="J106" s="2"/>
      <c r="K106" s="2"/>
      <c r="L106" s="2"/>
      <c r="M106" s="2"/>
      <c r="N106" s="2"/>
      <c r="O106" s="2">
        <f t="shared" ref="O106:T106" si="67">ROUND(O30+O76+AB106,2)</f>
        <v>440658.69</v>
      </c>
      <c r="P106" s="2">
        <f t="shared" si="67"/>
        <v>349224.76</v>
      </c>
      <c r="Q106" s="2">
        <f t="shared" si="67"/>
        <v>7069.31</v>
      </c>
      <c r="R106" s="2">
        <f t="shared" si="67"/>
        <v>992.72</v>
      </c>
      <c r="S106" s="2">
        <f t="shared" si="67"/>
        <v>84364.62</v>
      </c>
      <c r="T106" s="2">
        <f t="shared" si="67"/>
        <v>0</v>
      </c>
      <c r="U106" s="2">
        <f>U30+U76+AH106</f>
        <v>291.28229999999996</v>
      </c>
      <c r="V106" s="2">
        <f>V30+V76+AI106</f>
        <v>2.2847499999999998</v>
      </c>
      <c r="W106" s="2">
        <f>ROUND(W30+W76+AJ106,2)</f>
        <v>0</v>
      </c>
      <c r="X106" s="2">
        <f>ROUND(X30+X76+AK106,2)</f>
        <v>88393</v>
      </c>
      <c r="Y106" s="2">
        <f>ROUND(Y30+Y76+AL106,2)</f>
        <v>49628.67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>
        <f t="shared" ref="AO106:BD106" si="68">ROUND(AO30+AO76+BX106,2)</f>
        <v>0</v>
      </c>
      <c r="AP106" s="2">
        <f t="shared" si="68"/>
        <v>0</v>
      </c>
      <c r="AQ106" s="2">
        <f t="shared" si="68"/>
        <v>0</v>
      </c>
      <c r="AR106" s="2">
        <f t="shared" si="68"/>
        <v>578680.36</v>
      </c>
      <c r="AS106" s="2">
        <f t="shared" si="68"/>
        <v>578680.36</v>
      </c>
      <c r="AT106" s="2">
        <f t="shared" si="68"/>
        <v>0</v>
      </c>
      <c r="AU106" s="2">
        <f t="shared" si="68"/>
        <v>0</v>
      </c>
      <c r="AV106" s="2">
        <f t="shared" si="68"/>
        <v>349224.76</v>
      </c>
      <c r="AW106" s="2">
        <f t="shared" si="68"/>
        <v>349224.76</v>
      </c>
      <c r="AX106" s="2">
        <f t="shared" si="68"/>
        <v>0</v>
      </c>
      <c r="AY106" s="2">
        <f t="shared" si="68"/>
        <v>349224.76</v>
      </c>
      <c r="AZ106" s="2">
        <f t="shared" si="68"/>
        <v>0</v>
      </c>
      <c r="BA106" s="2">
        <f t="shared" si="68"/>
        <v>0</v>
      </c>
      <c r="BB106" s="2">
        <f t="shared" si="68"/>
        <v>0</v>
      </c>
      <c r="BC106" s="2">
        <f t="shared" si="68"/>
        <v>0</v>
      </c>
      <c r="BD106" s="2">
        <f t="shared" si="68"/>
        <v>497.23</v>
      </c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>
        <v>0</v>
      </c>
    </row>
    <row r="108" spans="1:206">
      <c r="A108" s="4">
        <v>50</v>
      </c>
      <c r="B108" s="4">
        <v>0</v>
      </c>
      <c r="C108" s="4">
        <v>0</v>
      </c>
      <c r="D108" s="4">
        <v>1</v>
      </c>
      <c r="E108" s="4">
        <v>201</v>
      </c>
      <c r="F108" s="4">
        <f>ROUND(Source!O106,O108)</f>
        <v>440658.69</v>
      </c>
      <c r="G108" s="4" t="s">
        <v>25</v>
      </c>
      <c r="H108" s="4" t="s">
        <v>26</v>
      </c>
      <c r="I108" s="4"/>
      <c r="J108" s="4"/>
      <c r="K108" s="4">
        <v>201</v>
      </c>
      <c r="L108" s="4">
        <v>1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>
      <c r="A109" s="4">
        <v>50</v>
      </c>
      <c r="B109" s="4">
        <v>0</v>
      </c>
      <c r="C109" s="4">
        <v>0</v>
      </c>
      <c r="D109" s="4">
        <v>1</v>
      </c>
      <c r="E109" s="4">
        <v>202</v>
      </c>
      <c r="F109" s="4">
        <f>ROUND(Source!P106,O109)</f>
        <v>349224.76</v>
      </c>
      <c r="G109" s="4" t="s">
        <v>27</v>
      </c>
      <c r="H109" s="4" t="s">
        <v>28</v>
      </c>
      <c r="I109" s="4"/>
      <c r="J109" s="4"/>
      <c r="K109" s="4">
        <v>202</v>
      </c>
      <c r="L109" s="4">
        <v>2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>
      <c r="A110" s="4">
        <v>50</v>
      </c>
      <c r="B110" s="4">
        <v>0</v>
      </c>
      <c r="C110" s="4">
        <v>0</v>
      </c>
      <c r="D110" s="4">
        <v>1</v>
      </c>
      <c r="E110" s="4">
        <v>222</v>
      </c>
      <c r="F110" s="4">
        <f>ROUND(Source!AO106,O110)</f>
        <v>0</v>
      </c>
      <c r="G110" s="4" t="s">
        <v>29</v>
      </c>
      <c r="H110" s="4" t="s">
        <v>30</v>
      </c>
      <c r="I110" s="4"/>
      <c r="J110" s="4"/>
      <c r="K110" s="4">
        <v>222</v>
      </c>
      <c r="L110" s="4">
        <v>3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>
      <c r="A111" s="4">
        <v>50</v>
      </c>
      <c r="B111" s="4">
        <v>0</v>
      </c>
      <c r="C111" s="4">
        <v>0</v>
      </c>
      <c r="D111" s="4">
        <v>1</v>
      </c>
      <c r="E111" s="4">
        <v>225</v>
      </c>
      <c r="F111" s="4">
        <f>ROUND(Source!AV106,O111)</f>
        <v>349224.76</v>
      </c>
      <c r="G111" s="4" t="s">
        <v>31</v>
      </c>
      <c r="H111" s="4" t="s">
        <v>32</v>
      </c>
      <c r="I111" s="4"/>
      <c r="J111" s="4"/>
      <c r="K111" s="4">
        <v>225</v>
      </c>
      <c r="L111" s="4">
        <v>4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>
      <c r="A112" s="4">
        <v>50</v>
      </c>
      <c r="B112" s="4">
        <v>0</v>
      </c>
      <c r="C112" s="4">
        <v>0</v>
      </c>
      <c r="D112" s="4">
        <v>1</v>
      </c>
      <c r="E112" s="4">
        <v>226</v>
      </c>
      <c r="F112" s="4">
        <f>ROUND(Source!AW106,O112)</f>
        <v>349224.76</v>
      </c>
      <c r="G112" s="4" t="s">
        <v>33</v>
      </c>
      <c r="H112" s="4" t="s">
        <v>34</v>
      </c>
      <c r="I112" s="4"/>
      <c r="J112" s="4"/>
      <c r="K112" s="4">
        <v>226</v>
      </c>
      <c r="L112" s="4">
        <v>5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227</v>
      </c>
      <c r="F113" s="4">
        <f>ROUND(Source!AX106,O113)</f>
        <v>0</v>
      </c>
      <c r="G113" s="4" t="s">
        <v>35</v>
      </c>
      <c r="H113" s="4" t="s">
        <v>36</v>
      </c>
      <c r="I113" s="4"/>
      <c r="J113" s="4"/>
      <c r="K113" s="4">
        <v>227</v>
      </c>
      <c r="L113" s="4">
        <v>6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228</v>
      </c>
      <c r="F114" s="4">
        <f>ROUND(Source!AY106,O114)</f>
        <v>349224.76</v>
      </c>
      <c r="G114" s="4" t="s">
        <v>37</v>
      </c>
      <c r="H114" s="4" t="s">
        <v>38</v>
      </c>
      <c r="I114" s="4"/>
      <c r="J114" s="4"/>
      <c r="K114" s="4">
        <v>228</v>
      </c>
      <c r="L114" s="4">
        <v>7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216</v>
      </c>
      <c r="F115" s="4">
        <f>ROUND(Source!AP106,O115)</f>
        <v>0</v>
      </c>
      <c r="G115" s="4" t="s">
        <v>39</v>
      </c>
      <c r="H115" s="4" t="s">
        <v>40</v>
      </c>
      <c r="I115" s="4"/>
      <c r="J115" s="4"/>
      <c r="K115" s="4">
        <v>216</v>
      </c>
      <c r="L115" s="4">
        <v>8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223</v>
      </c>
      <c r="F116" s="4">
        <f>ROUND(Source!AQ106,O116)</f>
        <v>0</v>
      </c>
      <c r="G116" s="4" t="s">
        <v>41</v>
      </c>
      <c r="H116" s="4" t="s">
        <v>42</v>
      </c>
      <c r="I116" s="4"/>
      <c r="J116" s="4"/>
      <c r="K116" s="4">
        <v>223</v>
      </c>
      <c r="L116" s="4">
        <v>9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229</v>
      </c>
      <c r="F117" s="4">
        <f>ROUND(Source!AZ106,O117)</f>
        <v>0</v>
      </c>
      <c r="G117" s="4" t="s">
        <v>43</v>
      </c>
      <c r="H117" s="4" t="s">
        <v>44</v>
      </c>
      <c r="I117" s="4"/>
      <c r="J117" s="4"/>
      <c r="K117" s="4">
        <v>229</v>
      </c>
      <c r="L117" s="4">
        <v>10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203</v>
      </c>
      <c r="F118" s="4">
        <f>ROUND(Source!Q106,O118)</f>
        <v>7069.31</v>
      </c>
      <c r="G118" s="4" t="s">
        <v>45</v>
      </c>
      <c r="H118" s="4" t="s">
        <v>46</v>
      </c>
      <c r="I118" s="4"/>
      <c r="J118" s="4"/>
      <c r="K118" s="4">
        <v>203</v>
      </c>
      <c r="L118" s="4">
        <v>11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231</v>
      </c>
      <c r="F119" s="4">
        <f>ROUND(Source!BB106,O119)</f>
        <v>0</v>
      </c>
      <c r="G119" s="4" t="s">
        <v>47</v>
      </c>
      <c r="H119" s="4" t="s">
        <v>48</v>
      </c>
      <c r="I119" s="4"/>
      <c r="J119" s="4"/>
      <c r="K119" s="4">
        <v>231</v>
      </c>
      <c r="L119" s="4">
        <v>12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204</v>
      </c>
      <c r="F120" s="4">
        <f>ROUND(Source!R106,O120)</f>
        <v>992.72</v>
      </c>
      <c r="G120" s="4" t="s">
        <v>49</v>
      </c>
      <c r="H120" s="4" t="s">
        <v>50</v>
      </c>
      <c r="I120" s="4"/>
      <c r="J120" s="4"/>
      <c r="K120" s="4">
        <v>204</v>
      </c>
      <c r="L120" s="4">
        <v>13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205</v>
      </c>
      <c r="F121" s="4">
        <f>ROUND(Source!S106,O121)</f>
        <v>84364.62</v>
      </c>
      <c r="G121" s="4" t="s">
        <v>51</v>
      </c>
      <c r="H121" s="4" t="s">
        <v>52</v>
      </c>
      <c r="I121" s="4"/>
      <c r="J121" s="4"/>
      <c r="K121" s="4">
        <v>205</v>
      </c>
      <c r="L121" s="4">
        <v>14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232</v>
      </c>
      <c r="F122" s="4">
        <f>ROUND(Source!BC106,O122)</f>
        <v>0</v>
      </c>
      <c r="G122" s="4" t="s">
        <v>53</v>
      </c>
      <c r="H122" s="4" t="s">
        <v>54</v>
      </c>
      <c r="I122" s="4"/>
      <c r="J122" s="4"/>
      <c r="K122" s="4">
        <v>232</v>
      </c>
      <c r="L122" s="4">
        <v>15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214</v>
      </c>
      <c r="F123" s="4">
        <f>ROUND(Source!AS106,O123)</f>
        <v>578680.36</v>
      </c>
      <c r="G123" s="4" t="s">
        <v>55</v>
      </c>
      <c r="H123" s="4" t="s">
        <v>56</v>
      </c>
      <c r="I123" s="4"/>
      <c r="J123" s="4"/>
      <c r="K123" s="4">
        <v>214</v>
      </c>
      <c r="L123" s="4">
        <v>16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215</v>
      </c>
      <c r="F124" s="4">
        <f>ROUND(Source!AT106,O124)</f>
        <v>0</v>
      </c>
      <c r="G124" s="4" t="s">
        <v>57</v>
      </c>
      <c r="H124" s="4" t="s">
        <v>58</v>
      </c>
      <c r="I124" s="4"/>
      <c r="J124" s="4"/>
      <c r="K124" s="4">
        <v>215</v>
      </c>
      <c r="L124" s="4">
        <v>17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217</v>
      </c>
      <c r="F125" s="4">
        <f>ROUND(Source!AU106,O125)</f>
        <v>0</v>
      </c>
      <c r="G125" s="4" t="s">
        <v>59</v>
      </c>
      <c r="H125" s="4" t="s">
        <v>60</v>
      </c>
      <c r="I125" s="4"/>
      <c r="J125" s="4"/>
      <c r="K125" s="4">
        <v>217</v>
      </c>
      <c r="L125" s="4">
        <v>18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230</v>
      </c>
      <c r="F126" s="4">
        <f>ROUND(Source!BA106,O126)</f>
        <v>0</v>
      </c>
      <c r="G126" s="4" t="s">
        <v>61</v>
      </c>
      <c r="H126" s="4" t="s">
        <v>62</v>
      </c>
      <c r="I126" s="4"/>
      <c r="J126" s="4"/>
      <c r="K126" s="4">
        <v>230</v>
      </c>
      <c r="L126" s="4">
        <v>19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206</v>
      </c>
      <c r="F127" s="4">
        <f>ROUND(Source!T106,O127)</f>
        <v>0</v>
      </c>
      <c r="G127" s="4" t="s">
        <v>63</v>
      </c>
      <c r="H127" s="4" t="s">
        <v>64</v>
      </c>
      <c r="I127" s="4"/>
      <c r="J127" s="4"/>
      <c r="K127" s="4">
        <v>206</v>
      </c>
      <c r="L127" s="4">
        <v>20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207</v>
      </c>
      <c r="F128" s="4">
        <f>Source!U106</f>
        <v>291.28229999999996</v>
      </c>
      <c r="G128" s="4" t="s">
        <v>65</v>
      </c>
      <c r="H128" s="4" t="s">
        <v>66</v>
      </c>
      <c r="I128" s="4"/>
      <c r="J128" s="4"/>
      <c r="K128" s="4">
        <v>207</v>
      </c>
      <c r="L128" s="4">
        <v>21</v>
      </c>
      <c r="M128" s="4">
        <v>3</v>
      </c>
      <c r="N128" s="4" t="s">
        <v>3</v>
      </c>
      <c r="O128" s="4">
        <v>-1</v>
      </c>
      <c r="P128" s="4"/>
      <c r="Q128" s="4"/>
      <c r="R128" s="4"/>
      <c r="S128" s="4"/>
      <c r="T128" s="4"/>
      <c r="U128" s="4"/>
      <c r="V128" s="4"/>
      <c r="W128" s="4"/>
    </row>
    <row r="129" spans="1:206">
      <c r="A129" s="4">
        <v>50</v>
      </c>
      <c r="B129" s="4">
        <v>0</v>
      </c>
      <c r="C129" s="4">
        <v>0</v>
      </c>
      <c r="D129" s="4">
        <v>1</v>
      </c>
      <c r="E129" s="4">
        <v>208</v>
      </c>
      <c r="F129" s="4">
        <f>Source!V106</f>
        <v>2.2847499999999998</v>
      </c>
      <c r="G129" s="4" t="s">
        <v>67</v>
      </c>
      <c r="H129" s="4" t="s">
        <v>68</v>
      </c>
      <c r="I129" s="4"/>
      <c r="J129" s="4"/>
      <c r="K129" s="4">
        <v>208</v>
      </c>
      <c r="L129" s="4">
        <v>22</v>
      </c>
      <c r="M129" s="4">
        <v>3</v>
      </c>
      <c r="N129" s="4" t="s">
        <v>3</v>
      </c>
      <c r="O129" s="4">
        <v>-1</v>
      </c>
      <c r="P129" s="4"/>
      <c r="Q129" s="4"/>
      <c r="R129" s="4"/>
      <c r="S129" s="4"/>
      <c r="T129" s="4"/>
      <c r="U129" s="4"/>
      <c r="V129" s="4"/>
      <c r="W129" s="4"/>
    </row>
    <row r="130" spans="1:206">
      <c r="A130" s="4">
        <v>50</v>
      </c>
      <c r="B130" s="4">
        <v>0</v>
      </c>
      <c r="C130" s="4">
        <v>0</v>
      </c>
      <c r="D130" s="4">
        <v>1</v>
      </c>
      <c r="E130" s="4">
        <v>209</v>
      </c>
      <c r="F130" s="4">
        <f>ROUND(Source!W106,O130)</f>
        <v>0</v>
      </c>
      <c r="G130" s="4" t="s">
        <v>69</v>
      </c>
      <c r="H130" s="4" t="s">
        <v>70</v>
      </c>
      <c r="I130" s="4"/>
      <c r="J130" s="4"/>
      <c r="K130" s="4">
        <v>209</v>
      </c>
      <c r="L130" s="4">
        <v>23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233</v>
      </c>
      <c r="F131" s="4">
        <f>ROUND(Source!BD106,O131)</f>
        <v>497.23</v>
      </c>
      <c r="G131" s="4" t="s">
        <v>71</v>
      </c>
      <c r="H131" s="4" t="s">
        <v>72</v>
      </c>
      <c r="I131" s="4"/>
      <c r="J131" s="4"/>
      <c r="K131" s="4">
        <v>233</v>
      </c>
      <c r="L131" s="4">
        <v>24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210</v>
      </c>
      <c r="F132" s="4">
        <f>ROUND(Source!X106,O132)</f>
        <v>88393</v>
      </c>
      <c r="G132" s="4" t="s">
        <v>73</v>
      </c>
      <c r="H132" s="4" t="s">
        <v>74</v>
      </c>
      <c r="I132" s="4"/>
      <c r="J132" s="4"/>
      <c r="K132" s="4">
        <v>210</v>
      </c>
      <c r="L132" s="4">
        <v>25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06">
      <c r="A133" s="4">
        <v>50</v>
      </c>
      <c r="B133" s="4">
        <v>0</v>
      </c>
      <c r="C133" s="4">
        <v>0</v>
      </c>
      <c r="D133" s="4">
        <v>1</v>
      </c>
      <c r="E133" s="4">
        <v>211</v>
      </c>
      <c r="F133" s="4">
        <f>ROUND(Source!Y106,O133)</f>
        <v>49628.67</v>
      </c>
      <c r="G133" s="4" t="s">
        <v>75</v>
      </c>
      <c r="H133" s="4" t="s">
        <v>76</v>
      </c>
      <c r="I133" s="4"/>
      <c r="J133" s="4"/>
      <c r="K133" s="4">
        <v>211</v>
      </c>
      <c r="L133" s="4">
        <v>26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06">
      <c r="A134" s="4">
        <v>50</v>
      </c>
      <c r="B134" s="4">
        <v>0</v>
      </c>
      <c r="C134" s="4">
        <v>0</v>
      </c>
      <c r="D134" s="4">
        <v>1</v>
      </c>
      <c r="E134" s="4">
        <v>224</v>
      </c>
      <c r="F134" s="4">
        <f>ROUND(Source!AR106,O134)</f>
        <v>578680.36</v>
      </c>
      <c r="G134" s="4" t="s">
        <v>77</v>
      </c>
      <c r="H134" s="4" t="s">
        <v>78</v>
      </c>
      <c r="I134" s="4"/>
      <c r="J134" s="4"/>
      <c r="K134" s="4">
        <v>224</v>
      </c>
      <c r="L134" s="4">
        <v>27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6" spans="1:206">
      <c r="A136" s="2">
        <v>51</v>
      </c>
      <c r="B136" s="2">
        <f>B12</f>
        <v>197</v>
      </c>
      <c r="C136" s="2">
        <f>A12</f>
        <v>1</v>
      </c>
      <c r="D136" s="2">
        <f>ROW(A12)</f>
        <v>12</v>
      </c>
      <c r="E136" s="2"/>
      <c r="F136" s="2" t="str">
        <f>IF(F12&lt;&gt;"",F12,"")</f>
        <v>Новый объект</v>
      </c>
      <c r="G136" s="2" t="str">
        <f>IF(G12&lt;&gt;"",G12,"")</f>
        <v>Ильинский Погост ремонт мягкой кровли ОВП 2021</v>
      </c>
      <c r="H136" s="2">
        <v>0</v>
      </c>
      <c r="I136" s="2"/>
      <c r="J136" s="2"/>
      <c r="K136" s="2"/>
      <c r="L136" s="2"/>
      <c r="M136" s="2"/>
      <c r="N136" s="2"/>
      <c r="O136" s="2">
        <f t="shared" ref="O136:T136" si="69">ROUND(O106,2)</f>
        <v>440658.69</v>
      </c>
      <c r="P136" s="2">
        <f t="shared" si="69"/>
        <v>349224.76</v>
      </c>
      <c r="Q136" s="2">
        <f t="shared" si="69"/>
        <v>7069.31</v>
      </c>
      <c r="R136" s="2">
        <f t="shared" si="69"/>
        <v>992.72</v>
      </c>
      <c r="S136" s="2">
        <f t="shared" si="69"/>
        <v>84364.62</v>
      </c>
      <c r="T136" s="2">
        <f t="shared" si="69"/>
        <v>0</v>
      </c>
      <c r="U136" s="2">
        <f>U106</f>
        <v>291.28229999999996</v>
      </c>
      <c r="V136" s="2">
        <f>V106</f>
        <v>2.2847499999999998</v>
      </c>
      <c r="W136" s="2">
        <f>ROUND(W106,2)</f>
        <v>0</v>
      </c>
      <c r="X136" s="2">
        <f>ROUND(X106,2)</f>
        <v>88393</v>
      </c>
      <c r="Y136" s="2">
        <f>ROUND(Y106,2)</f>
        <v>49628.67</v>
      </c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>
        <f t="shared" ref="AO136:BD136" si="70">ROUND(AO106,2)</f>
        <v>0</v>
      </c>
      <c r="AP136" s="2">
        <f t="shared" si="70"/>
        <v>0</v>
      </c>
      <c r="AQ136" s="2">
        <f t="shared" si="70"/>
        <v>0</v>
      </c>
      <c r="AR136" s="2">
        <f t="shared" si="70"/>
        <v>578680.36</v>
      </c>
      <c r="AS136" s="2">
        <f t="shared" si="70"/>
        <v>578680.36</v>
      </c>
      <c r="AT136" s="2">
        <f t="shared" si="70"/>
        <v>0</v>
      </c>
      <c r="AU136" s="2">
        <f t="shared" si="70"/>
        <v>0</v>
      </c>
      <c r="AV136" s="2">
        <f t="shared" si="70"/>
        <v>349224.76</v>
      </c>
      <c r="AW136" s="2">
        <f t="shared" si="70"/>
        <v>349224.76</v>
      </c>
      <c r="AX136" s="2">
        <f t="shared" si="70"/>
        <v>0</v>
      </c>
      <c r="AY136" s="2">
        <f t="shared" si="70"/>
        <v>349224.76</v>
      </c>
      <c r="AZ136" s="2">
        <f t="shared" si="70"/>
        <v>0</v>
      </c>
      <c r="BA136" s="2">
        <f t="shared" si="70"/>
        <v>0</v>
      </c>
      <c r="BB136" s="2">
        <f t="shared" si="70"/>
        <v>0</v>
      </c>
      <c r="BC136" s="2">
        <f t="shared" si="70"/>
        <v>0</v>
      </c>
      <c r="BD136" s="2">
        <f t="shared" si="70"/>
        <v>497.23</v>
      </c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>
        <v>0</v>
      </c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201</v>
      </c>
      <c r="F138" s="4">
        <f>ROUND(Source!O136,O138)</f>
        <v>440658.69</v>
      </c>
      <c r="G138" s="4" t="s">
        <v>25</v>
      </c>
      <c r="H138" s="4" t="s">
        <v>26</v>
      </c>
      <c r="I138" s="4"/>
      <c r="J138" s="4"/>
      <c r="K138" s="4">
        <v>201</v>
      </c>
      <c r="L138" s="4">
        <v>1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202</v>
      </c>
      <c r="F139" s="4">
        <f>ROUND(Source!P136,O139)</f>
        <v>349224.76</v>
      </c>
      <c r="G139" s="4" t="s">
        <v>27</v>
      </c>
      <c r="H139" s="4" t="s">
        <v>28</v>
      </c>
      <c r="I139" s="4"/>
      <c r="J139" s="4"/>
      <c r="K139" s="4">
        <v>202</v>
      </c>
      <c r="L139" s="4">
        <v>2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222</v>
      </c>
      <c r="F140" s="4">
        <f>ROUND(Source!AO136,O140)</f>
        <v>0</v>
      </c>
      <c r="G140" s="4" t="s">
        <v>29</v>
      </c>
      <c r="H140" s="4" t="s">
        <v>30</v>
      </c>
      <c r="I140" s="4"/>
      <c r="J140" s="4"/>
      <c r="K140" s="4">
        <v>222</v>
      </c>
      <c r="L140" s="4">
        <v>3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225</v>
      </c>
      <c r="F141" s="4">
        <f>ROUND(Source!AV136,O141)</f>
        <v>349224.76</v>
      </c>
      <c r="G141" s="4" t="s">
        <v>31</v>
      </c>
      <c r="H141" s="4" t="s">
        <v>32</v>
      </c>
      <c r="I141" s="4"/>
      <c r="J141" s="4"/>
      <c r="K141" s="4">
        <v>225</v>
      </c>
      <c r="L141" s="4">
        <v>4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226</v>
      </c>
      <c r="F142" s="4">
        <f>ROUND(Source!AW136,O142)</f>
        <v>349224.76</v>
      </c>
      <c r="G142" s="4" t="s">
        <v>33</v>
      </c>
      <c r="H142" s="4" t="s">
        <v>34</v>
      </c>
      <c r="I142" s="4"/>
      <c r="J142" s="4"/>
      <c r="K142" s="4">
        <v>226</v>
      </c>
      <c r="L142" s="4">
        <v>5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227</v>
      </c>
      <c r="F143" s="4">
        <f>ROUND(Source!AX136,O143)</f>
        <v>0</v>
      </c>
      <c r="G143" s="4" t="s">
        <v>35</v>
      </c>
      <c r="H143" s="4" t="s">
        <v>36</v>
      </c>
      <c r="I143" s="4"/>
      <c r="J143" s="4"/>
      <c r="K143" s="4">
        <v>227</v>
      </c>
      <c r="L143" s="4">
        <v>6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228</v>
      </c>
      <c r="F144" s="4">
        <f>ROUND(Source!AY136,O144)</f>
        <v>349224.76</v>
      </c>
      <c r="G144" s="4" t="s">
        <v>37</v>
      </c>
      <c r="H144" s="4" t="s">
        <v>38</v>
      </c>
      <c r="I144" s="4"/>
      <c r="J144" s="4"/>
      <c r="K144" s="4">
        <v>228</v>
      </c>
      <c r="L144" s="4">
        <v>7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216</v>
      </c>
      <c r="F145" s="4">
        <f>ROUND(Source!AP136,O145)</f>
        <v>0</v>
      </c>
      <c r="G145" s="4" t="s">
        <v>39</v>
      </c>
      <c r="H145" s="4" t="s">
        <v>40</v>
      </c>
      <c r="I145" s="4"/>
      <c r="J145" s="4"/>
      <c r="K145" s="4">
        <v>216</v>
      </c>
      <c r="L145" s="4">
        <v>8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223</v>
      </c>
      <c r="F146" s="4">
        <f>ROUND(Source!AQ136,O146)</f>
        <v>0</v>
      </c>
      <c r="G146" s="4" t="s">
        <v>41</v>
      </c>
      <c r="H146" s="4" t="s">
        <v>42</v>
      </c>
      <c r="I146" s="4"/>
      <c r="J146" s="4"/>
      <c r="K146" s="4">
        <v>223</v>
      </c>
      <c r="L146" s="4">
        <v>9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229</v>
      </c>
      <c r="F147" s="4">
        <f>ROUND(Source!AZ136,O147)</f>
        <v>0</v>
      </c>
      <c r="G147" s="4" t="s">
        <v>43</v>
      </c>
      <c r="H147" s="4" t="s">
        <v>44</v>
      </c>
      <c r="I147" s="4"/>
      <c r="J147" s="4"/>
      <c r="K147" s="4">
        <v>229</v>
      </c>
      <c r="L147" s="4">
        <v>10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203</v>
      </c>
      <c r="F148" s="4">
        <f>ROUND(Source!Q136,O148)</f>
        <v>7069.31</v>
      </c>
      <c r="G148" s="4" t="s">
        <v>45</v>
      </c>
      <c r="H148" s="4" t="s">
        <v>46</v>
      </c>
      <c r="I148" s="4"/>
      <c r="J148" s="4"/>
      <c r="K148" s="4">
        <v>203</v>
      </c>
      <c r="L148" s="4">
        <v>11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231</v>
      </c>
      <c r="F149" s="4">
        <f>ROUND(Source!BB136,O149)</f>
        <v>0</v>
      </c>
      <c r="G149" s="4" t="s">
        <v>47</v>
      </c>
      <c r="H149" s="4" t="s">
        <v>48</v>
      </c>
      <c r="I149" s="4"/>
      <c r="J149" s="4"/>
      <c r="K149" s="4">
        <v>231</v>
      </c>
      <c r="L149" s="4">
        <v>12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204</v>
      </c>
      <c r="F150" s="4">
        <f>ROUND(Source!R136,O150)</f>
        <v>992.72</v>
      </c>
      <c r="G150" s="4" t="s">
        <v>49</v>
      </c>
      <c r="H150" s="4" t="s">
        <v>50</v>
      </c>
      <c r="I150" s="4"/>
      <c r="J150" s="4"/>
      <c r="K150" s="4">
        <v>204</v>
      </c>
      <c r="L150" s="4">
        <v>13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205</v>
      </c>
      <c r="F151" s="4">
        <f>ROUND(Source!S136,O151)</f>
        <v>84364.62</v>
      </c>
      <c r="G151" s="4" t="s">
        <v>51</v>
      </c>
      <c r="H151" s="4" t="s">
        <v>52</v>
      </c>
      <c r="I151" s="4"/>
      <c r="J151" s="4"/>
      <c r="K151" s="4">
        <v>205</v>
      </c>
      <c r="L151" s="4">
        <v>14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232</v>
      </c>
      <c r="F152" s="4">
        <f>ROUND(Source!BC136,O152)</f>
        <v>0</v>
      </c>
      <c r="G152" s="4" t="s">
        <v>53</v>
      </c>
      <c r="H152" s="4" t="s">
        <v>54</v>
      </c>
      <c r="I152" s="4"/>
      <c r="J152" s="4"/>
      <c r="K152" s="4">
        <v>232</v>
      </c>
      <c r="L152" s="4">
        <v>15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214</v>
      </c>
      <c r="F153" s="4">
        <f>ROUND(Source!AS136,O153)</f>
        <v>578680.36</v>
      </c>
      <c r="G153" s="4" t="s">
        <v>55</v>
      </c>
      <c r="H153" s="4" t="s">
        <v>56</v>
      </c>
      <c r="I153" s="4"/>
      <c r="J153" s="4"/>
      <c r="K153" s="4">
        <v>214</v>
      </c>
      <c r="L153" s="4">
        <v>16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215</v>
      </c>
      <c r="F154" s="4">
        <f>ROUND(Source!AT136,O154)</f>
        <v>0</v>
      </c>
      <c r="G154" s="4" t="s">
        <v>57</v>
      </c>
      <c r="H154" s="4" t="s">
        <v>58</v>
      </c>
      <c r="I154" s="4"/>
      <c r="J154" s="4"/>
      <c r="K154" s="4">
        <v>215</v>
      </c>
      <c r="L154" s="4">
        <v>17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217</v>
      </c>
      <c r="F155" s="4">
        <f>ROUND(Source!AU136,O155)</f>
        <v>0</v>
      </c>
      <c r="G155" s="4" t="s">
        <v>59</v>
      </c>
      <c r="H155" s="4" t="s">
        <v>60</v>
      </c>
      <c r="I155" s="4"/>
      <c r="J155" s="4"/>
      <c r="K155" s="4">
        <v>217</v>
      </c>
      <c r="L155" s="4">
        <v>18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230</v>
      </c>
      <c r="F156" s="4">
        <f>ROUND(Source!BA136,O156)</f>
        <v>0</v>
      </c>
      <c r="G156" s="4" t="s">
        <v>61</v>
      </c>
      <c r="H156" s="4" t="s">
        <v>62</v>
      </c>
      <c r="I156" s="4"/>
      <c r="J156" s="4"/>
      <c r="K156" s="4">
        <v>230</v>
      </c>
      <c r="L156" s="4">
        <v>19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206</v>
      </c>
      <c r="F157" s="4">
        <f>ROUND(Source!T136,O157)</f>
        <v>0</v>
      </c>
      <c r="G157" s="4" t="s">
        <v>63</v>
      </c>
      <c r="H157" s="4" t="s">
        <v>64</v>
      </c>
      <c r="I157" s="4"/>
      <c r="J157" s="4"/>
      <c r="K157" s="4">
        <v>206</v>
      </c>
      <c r="L157" s="4">
        <v>20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207</v>
      </c>
      <c r="F158" s="4">
        <f>Source!U136</f>
        <v>291.28229999999996</v>
      </c>
      <c r="G158" s="4" t="s">
        <v>65</v>
      </c>
      <c r="H158" s="4" t="s">
        <v>66</v>
      </c>
      <c r="I158" s="4"/>
      <c r="J158" s="4"/>
      <c r="K158" s="4">
        <v>207</v>
      </c>
      <c r="L158" s="4">
        <v>21</v>
      </c>
      <c r="M158" s="4">
        <v>3</v>
      </c>
      <c r="N158" s="4" t="s">
        <v>3</v>
      </c>
      <c r="O158" s="4">
        <v>-1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208</v>
      </c>
      <c r="F159" s="4">
        <f>Source!V136</f>
        <v>2.2847499999999998</v>
      </c>
      <c r="G159" s="4" t="s">
        <v>67</v>
      </c>
      <c r="H159" s="4" t="s">
        <v>68</v>
      </c>
      <c r="I159" s="4"/>
      <c r="J159" s="4"/>
      <c r="K159" s="4">
        <v>208</v>
      </c>
      <c r="L159" s="4">
        <v>22</v>
      </c>
      <c r="M159" s="4">
        <v>3</v>
      </c>
      <c r="N159" s="4" t="s">
        <v>3</v>
      </c>
      <c r="O159" s="4">
        <v>-1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209</v>
      </c>
      <c r="F160" s="4">
        <f>ROUND(Source!W136,O160)</f>
        <v>0</v>
      </c>
      <c r="G160" s="4" t="s">
        <v>69</v>
      </c>
      <c r="H160" s="4" t="s">
        <v>70</v>
      </c>
      <c r="I160" s="4"/>
      <c r="J160" s="4"/>
      <c r="K160" s="4">
        <v>209</v>
      </c>
      <c r="L160" s="4">
        <v>23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233</v>
      </c>
      <c r="F161" s="4">
        <f>ROUND(Source!BD136,O161)</f>
        <v>497.23</v>
      </c>
      <c r="G161" s="4" t="s">
        <v>71</v>
      </c>
      <c r="H161" s="4" t="s">
        <v>72</v>
      </c>
      <c r="I161" s="4"/>
      <c r="J161" s="4"/>
      <c r="K161" s="4">
        <v>233</v>
      </c>
      <c r="L161" s="4">
        <v>24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210</v>
      </c>
      <c r="F162" s="4">
        <f>ROUND(Source!X136,O162)</f>
        <v>88393</v>
      </c>
      <c r="G162" s="4" t="s">
        <v>73</v>
      </c>
      <c r="H162" s="4" t="s">
        <v>74</v>
      </c>
      <c r="I162" s="4"/>
      <c r="J162" s="4"/>
      <c r="K162" s="4">
        <v>210</v>
      </c>
      <c r="L162" s="4">
        <v>25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0</v>
      </c>
      <c r="C163" s="4">
        <v>0</v>
      </c>
      <c r="D163" s="4">
        <v>1</v>
      </c>
      <c r="E163" s="4">
        <v>211</v>
      </c>
      <c r="F163" s="4">
        <f>ROUND(Source!Y136,O163)</f>
        <v>49628.67</v>
      </c>
      <c r="G163" s="4" t="s">
        <v>75</v>
      </c>
      <c r="H163" s="4" t="s">
        <v>76</v>
      </c>
      <c r="I163" s="4"/>
      <c r="J163" s="4"/>
      <c r="K163" s="4">
        <v>211</v>
      </c>
      <c r="L163" s="4">
        <v>26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0</v>
      </c>
      <c r="C164" s="4">
        <v>0</v>
      </c>
      <c r="D164" s="4">
        <v>1</v>
      </c>
      <c r="E164" s="4">
        <v>224</v>
      </c>
      <c r="F164" s="4">
        <f>ROUND(Source!AR136,O164)</f>
        <v>578680.36</v>
      </c>
      <c r="G164" s="4" t="s">
        <v>77</v>
      </c>
      <c r="H164" s="4" t="s">
        <v>78</v>
      </c>
      <c r="I164" s="4"/>
      <c r="J164" s="4"/>
      <c r="K164" s="4">
        <v>224</v>
      </c>
      <c r="L164" s="4">
        <v>27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>
      <c r="A165" s="4">
        <v>50</v>
      </c>
      <c r="B165" s="4">
        <v>1</v>
      </c>
      <c r="C165" s="4">
        <v>0</v>
      </c>
      <c r="D165" s="4">
        <v>2</v>
      </c>
      <c r="E165" s="4">
        <v>0</v>
      </c>
      <c r="F165" s="4">
        <f>ROUND(F164*0.2,O165)</f>
        <v>115736.1</v>
      </c>
      <c r="G165" s="4" t="s">
        <v>143</v>
      </c>
      <c r="H165" s="4" t="s">
        <v>144</v>
      </c>
      <c r="I165" s="4"/>
      <c r="J165" s="4"/>
      <c r="K165" s="4">
        <v>212</v>
      </c>
      <c r="L165" s="4">
        <v>28</v>
      </c>
      <c r="M165" s="4">
        <v>0</v>
      </c>
      <c r="N165" s="4" t="s">
        <v>3</v>
      </c>
      <c r="O165" s="4">
        <v>1</v>
      </c>
      <c r="P165" s="4"/>
      <c r="Q165" s="4"/>
      <c r="R165" s="4"/>
      <c r="S165" s="4"/>
      <c r="T165" s="4"/>
      <c r="U165" s="4"/>
      <c r="V165" s="4"/>
      <c r="W165" s="4"/>
    </row>
    <row r="166" spans="1:23">
      <c r="A166" s="4">
        <v>50</v>
      </c>
      <c r="B166" s="4">
        <v>1</v>
      </c>
      <c r="C166" s="4">
        <v>0</v>
      </c>
      <c r="D166" s="4">
        <v>2</v>
      </c>
      <c r="E166" s="4">
        <v>213</v>
      </c>
      <c r="F166" s="4">
        <f>ROUND(F164*1.2,O166)</f>
        <v>694416.4</v>
      </c>
      <c r="G166" s="4" t="s">
        <v>145</v>
      </c>
      <c r="H166" s="4" t="s">
        <v>146</v>
      </c>
      <c r="I166" s="4"/>
      <c r="J166" s="4"/>
      <c r="K166" s="4">
        <v>212</v>
      </c>
      <c r="L166" s="4">
        <v>29</v>
      </c>
      <c r="M166" s="4">
        <v>0</v>
      </c>
      <c r="N166" s="4" t="s">
        <v>3</v>
      </c>
      <c r="O166" s="4">
        <v>1</v>
      </c>
      <c r="P166" s="4"/>
      <c r="Q166" s="4"/>
      <c r="R166" s="4"/>
      <c r="S166" s="4"/>
      <c r="T166" s="4"/>
      <c r="U166" s="4"/>
      <c r="V166" s="4"/>
      <c r="W166" s="4"/>
    </row>
    <row r="169" spans="1:23">
      <c r="A169">
        <v>70</v>
      </c>
      <c r="B169">
        <v>1</v>
      </c>
      <c r="D169">
        <v>1</v>
      </c>
      <c r="E169" t="s">
        <v>147</v>
      </c>
      <c r="F169" t="s">
        <v>148</v>
      </c>
      <c r="G169">
        <v>0</v>
      </c>
      <c r="H169">
        <v>0</v>
      </c>
      <c r="I169" t="s">
        <v>3</v>
      </c>
      <c r="J169">
        <v>1</v>
      </c>
      <c r="K169">
        <v>0</v>
      </c>
      <c r="L169" t="s">
        <v>3</v>
      </c>
      <c r="M169" t="s">
        <v>3</v>
      </c>
      <c r="N169">
        <v>0</v>
      </c>
    </row>
    <row r="170" spans="1:23">
      <c r="A170">
        <v>70</v>
      </c>
      <c r="B170">
        <v>1</v>
      </c>
      <c r="D170">
        <v>2</v>
      </c>
      <c r="E170" t="s">
        <v>149</v>
      </c>
      <c r="F170" t="s">
        <v>150</v>
      </c>
      <c r="G170">
        <v>1</v>
      </c>
      <c r="H170">
        <v>0</v>
      </c>
      <c r="I170" t="s">
        <v>3</v>
      </c>
      <c r="J170">
        <v>1</v>
      </c>
      <c r="K170">
        <v>0</v>
      </c>
      <c r="L170" t="s">
        <v>3</v>
      </c>
      <c r="M170" t="s">
        <v>3</v>
      </c>
      <c r="N170">
        <v>0</v>
      </c>
    </row>
    <row r="171" spans="1:23">
      <c r="A171">
        <v>70</v>
      </c>
      <c r="B171">
        <v>1</v>
      </c>
      <c r="D171">
        <v>3</v>
      </c>
      <c r="E171" t="s">
        <v>151</v>
      </c>
      <c r="F171" t="s">
        <v>152</v>
      </c>
      <c r="G171">
        <v>0</v>
      </c>
      <c r="H171">
        <v>0</v>
      </c>
      <c r="I171" t="s">
        <v>3</v>
      </c>
      <c r="J171">
        <v>1</v>
      </c>
      <c r="K171">
        <v>0</v>
      </c>
      <c r="L171" t="s">
        <v>3</v>
      </c>
      <c r="M171" t="s">
        <v>3</v>
      </c>
      <c r="N171">
        <v>0</v>
      </c>
    </row>
    <row r="172" spans="1:23">
      <c r="A172">
        <v>70</v>
      </c>
      <c r="B172">
        <v>1</v>
      </c>
      <c r="D172">
        <v>4</v>
      </c>
      <c r="E172" t="s">
        <v>153</v>
      </c>
      <c r="F172" t="s">
        <v>154</v>
      </c>
      <c r="G172">
        <v>0</v>
      </c>
      <c r="H172">
        <v>0</v>
      </c>
      <c r="I172" t="s">
        <v>155</v>
      </c>
      <c r="J172">
        <v>0</v>
      </c>
      <c r="K172">
        <v>0</v>
      </c>
      <c r="L172" t="s">
        <v>3</v>
      </c>
      <c r="M172" t="s">
        <v>3</v>
      </c>
      <c r="N172">
        <v>0</v>
      </c>
    </row>
    <row r="173" spans="1:23">
      <c r="A173">
        <v>70</v>
      </c>
      <c r="B173">
        <v>1</v>
      </c>
      <c r="D173">
        <v>5</v>
      </c>
      <c r="E173" t="s">
        <v>156</v>
      </c>
      <c r="F173" t="s">
        <v>157</v>
      </c>
      <c r="G173">
        <v>0</v>
      </c>
      <c r="H173">
        <v>0</v>
      </c>
      <c r="I173" t="s">
        <v>158</v>
      </c>
      <c r="J173">
        <v>0</v>
      </c>
      <c r="K173">
        <v>0</v>
      </c>
      <c r="L173" t="s">
        <v>3</v>
      </c>
      <c r="M173" t="s">
        <v>3</v>
      </c>
      <c r="N173">
        <v>0</v>
      </c>
    </row>
    <row r="174" spans="1:23">
      <c r="A174">
        <v>70</v>
      </c>
      <c r="B174">
        <v>1</v>
      </c>
      <c r="D174">
        <v>6</v>
      </c>
      <c r="E174" t="s">
        <v>159</v>
      </c>
      <c r="F174" t="s">
        <v>160</v>
      </c>
      <c r="G174">
        <v>0</v>
      </c>
      <c r="H174">
        <v>0</v>
      </c>
      <c r="I174" t="s">
        <v>161</v>
      </c>
      <c r="J174">
        <v>0</v>
      </c>
      <c r="K174">
        <v>0</v>
      </c>
      <c r="L174" t="s">
        <v>3</v>
      </c>
      <c r="M174" t="s">
        <v>3</v>
      </c>
      <c r="N174">
        <v>0</v>
      </c>
    </row>
    <row r="175" spans="1:23">
      <c r="A175">
        <v>70</v>
      </c>
      <c r="B175">
        <v>1</v>
      </c>
      <c r="D175">
        <v>7</v>
      </c>
      <c r="E175" t="s">
        <v>162</v>
      </c>
      <c r="F175" t="s">
        <v>163</v>
      </c>
      <c r="G175">
        <v>1</v>
      </c>
      <c r="H175">
        <v>0</v>
      </c>
      <c r="I175" t="s">
        <v>3</v>
      </c>
      <c r="J175">
        <v>0</v>
      </c>
      <c r="K175">
        <v>0</v>
      </c>
      <c r="L175" t="s">
        <v>3</v>
      </c>
      <c r="M175" t="s">
        <v>3</v>
      </c>
      <c r="N175">
        <v>0</v>
      </c>
    </row>
    <row r="176" spans="1:23">
      <c r="A176">
        <v>70</v>
      </c>
      <c r="B176">
        <v>1</v>
      </c>
      <c r="D176">
        <v>8</v>
      </c>
      <c r="E176" t="s">
        <v>164</v>
      </c>
      <c r="F176" t="s">
        <v>165</v>
      </c>
      <c r="G176">
        <v>0</v>
      </c>
      <c r="H176">
        <v>0</v>
      </c>
      <c r="I176" t="s">
        <v>166</v>
      </c>
      <c r="J176">
        <v>0</v>
      </c>
      <c r="K176">
        <v>0</v>
      </c>
      <c r="L176" t="s">
        <v>3</v>
      </c>
      <c r="M176" t="s">
        <v>3</v>
      </c>
      <c r="N176">
        <v>0</v>
      </c>
    </row>
    <row r="177" spans="1:14">
      <c r="A177">
        <v>70</v>
      </c>
      <c r="B177">
        <v>1</v>
      </c>
      <c r="D177">
        <v>9</v>
      </c>
      <c r="E177" t="s">
        <v>167</v>
      </c>
      <c r="F177" t="s">
        <v>168</v>
      </c>
      <c r="G177">
        <v>0</v>
      </c>
      <c r="H177">
        <v>0</v>
      </c>
      <c r="I177" t="s">
        <v>169</v>
      </c>
      <c r="J177">
        <v>0</v>
      </c>
      <c r="K177">
        <v>0</v>
      </c>
      <c r="L177" t="s">
        <v>3</v>
      </c>
      <c r="M177" t="s">
        <v>3</v>
      </c>
      <c r="N177">
        <v>0</v>
      </c>
    </row>
    <row r="178" spans="1:14">
      <c r="A178">
        <v>70</v>
      </c>
      <c r="B178">
        <v>1</v>
      </c>
      <c r="D178">
        <v>10</v>
      </c>
      <c r="E178" t="s">
        <v>170</v>
      </c>
      <c r="F178" t="s">
        <v>171</v>
      </c>
      <c r="G178">
        <v>0</v>
      </c>
      <c r="H178">
        <v>0</v>
      </c>
      <c r="I178" t="s">
        <v>172</v>
      </c>
      <c r="J178">
        <v>0</v>
      </c>
      <c r="K178">
        <v>0</v>
      </c>
      <c r="L178" t="s">
        <v>3</v>
      </c>
      <c r="M178" t="s">
        <v>3</v>
      </c>
      <c r="N178">
        <v>0</v>
      </c>
    </row>
    <row r="179" spans="1:14">
      <c r="A179">
        <v>70</v>
      </c>
      <c r="B179">
        <v>1</v>
      </c>
      <c r="D179">
        <v>11</v>
      </c>
      <c r="E179" t="s">
        <v>173</v>
      </c>
      <c r="F179" t="s">
        <v>174</v>
      </c>
      <c r="G179">
        <v>0</v>
      </c>
      <c r="H179">
        <v>0</v>
      </c>
      <c r="I179" t="s">
        <v>175</v>
      </c>
      <c r="J179">
        <v>0</v>
      </c>
      <c r="K179">
        <v>0</v>
      </c>
      <c r="L179" t="s">
        <v>3</v>
      </c>
      <c r="M179" t="s">
        <v>3</v>
      </c>
      <c r="N179">
        <v>0</v>
      </c>
    </row>
    <row r="180" spans="1:14">
      <c r="A180">
        <v>70</v>
      </c>
      <c r="B180">
        <v>1</v>
      </c>
      <c r="D180">
        <v>12</v>
      </c>
      <c r="E180" t="s">
        <v>176</v>
      </c>
      <c r="F180" t="s">
        <v>177</v>
      </c>
      <c r="G180">
        <v>0</v>
      </c>
      <c r="H180">
        <v>0</v>
      </c>
      <c r="I180" t="s">
        <v>3</v>
      </c>
      <c r="J180">
        <v>0</v>
      </c>
      <c r="K180">
        <v>0</v>
      </c>
      <c r="L180" t="s">
        <v>3</v>
      </c>
      <c r="M180" t="s">
        <v>3</v>
      </c>
      <c r="N180">
        <v>0</v>
      </c>
    </row>
    <row r="181" spans="1:14">
      <c r="A181">
        <v>70</v>
      </c>
      <c r="B181">
        <v>1</v>
      </c>
      <c r="D181">
        <v>1</v>
      </c>
      <c r="E181" t="s">
        <v>178</v>
      </c>
      <c r="F181" t="s">
        <v>179</v>
      </c>
      <c r="G181">
        <v>0.9</v>
      </c>
      <c r="H181">
        <v>1</v>
      </c>
      <c r="I181" t="s">
        <v>180</v>
      </c>
      <c r="J181">
        <v>0</v>
      </c>
      <c r="K181">
        <v>0</v>
      </c>
      <c r="L181" t="s">
        <v>3</v>
      </c>
      <c r="M181" t="s">
        <v>3</v>
      </c>
      <c r="N181">
        <v>0</v>
      </c>
    </row>
    <row r="182" spans="1:14">
      <c r="A182">
        <v>70</v>
      </c>
      <c r="B182">
        <v>1</v>
      </c>
      <c r="D182">
        <v>2</v>
      </c>
      <c r="E182" t="s">
        <v>181</v>
      </c>
      <c r="F182" t="s">
        <v>182</v>
      </c>
      <c r="G182">
        <v>0.85</v>
      </c>
      <c r="H182">
        <v>1</v>
      </c>
      <c r="I182" t="s">
        <v>183</v>
      </c>
      <c r="J182">
        <v>0</v>
      </c>
      <c r="K182">
        <v>0</v>
      </c>
      <c r="L182" t="s">
        <v>3</v>
      </c>
      <c r="M182" t="s">
        <v>3</v>
      </c>
      <c r="N182">
        <v>0</v>
      </c>
    </row>
    <row r="183" spans="1:14">
      <c r="A183">
        <v>70</v>
      </c>
      <c r="B183">
        <v>1</v>
      </c>
      <c r="D183">
        <v>3</v>
      </c>
      <c r="E183" t="s">
        <v>184</v>
      </c>
      <c r="F183" t="s">
        <v>185</v>
      </c>
      <c r="G183">
        <v>1</v>
      </c>
      <c r="H183">
        <v>0.85</v>
      </c>
      <c r="I183" t="s">
        <v>186</v>
      </c>
      <c r="J183">
        <v>0</v>
      </c>
      <c r="K183">
        <v>0</v>
      </c>
      <c r="L183" t="s">
        <v>3</v>
      </c>
      <c r="M183" t="s">
        <v>3</v>
      </c>
      <c r="N183">
        <v>0</v>
      </c>
    </row>
    <row r="184" spans="1:14">
      <c r="A184">
        <v>70</v>
      </c>
      <c r="B184">
        <v>1</v>
      </c>
      <c r="D184">
        <v>4</v>
      </c>
      <c r="E184" t="s">
        <v>187</v>
      </c>
      <c r="F184" t="s">
        <v>188</v>
      </c>
      <c r="G184">
        <v>1</v>
      </c>
      <c r="H184">
        <v>0</v>
      </c>
      <c r="I184" t="s">
        <v>3</v>
      </c>
      <c r="J184">
        <v>0</v>
      </c>
      <c r="K184">
        <v>0</v>
      </c>
      <c r="L184" t="s">
        <v>3</v>
      </c>
      <c r="M184" t="s">
        <v>3</v>
      </c>
      <c r="N184">
        <v>0</v>
      </c>
    </row>
    <row r="185" spans="1:14">
      <c r="A185">
        <v>70</v>
      </c>
      <c r="B185">
        <v>1</v>
      </c>
      <c r="D185">
        <v>5</v>
      </c>
      <c r="E185" t="s">
        <v>189</v>
      </c>
      <c r="F185" t="s">
        <v>190</v>
      </c>
      <c r="G185">
        <v>1</v>
      </c>
      <c r="H185">
        <v>0.8</v>
      </c>
      <c r="I185" t="s">
        <v>191</v>
      </c>
      <c r="J185">
        <v>0</v>
      </c>
      <c r="K185">
        <v>0</v>
      </c>
      <c r="L185" t="s">
        <v>3</v>
      </c>
      <c r="M185" t="s">
        <v>3</v>
      </c>
      <c r="N185">
        <v>0</v>
      </c>
    </row>
    <row r="186" spans="1:14">
      <c r="A186">
        <v>70</v>
      </c>
      <c r="B186">
        <v>1</v>
      </c>
      <c r="D186">
        <v>6</v>
      </c>
      <c r="E186" t="s">
        <v>192</v>
      </c>
      <c r="F186" t="s">
        <v>193</v>
      </c>
      <c r="G186">
        <v>0.85</v>
      </c>
      <c r="H186">
        <v>0</v>
      </c>
      <c r="I186" t="s">
        <v>3</v>
      </c>
      <c r="J186">
        <v>0</v>
      </c>
      <c r="K186">
        <v>0</v>
      </c>
      <c r="L186" t="s">
        <v>3</v>
      </c>
      <c r="M186" t="s">
        <v>3</v>
      </c>
      <c r="N186">
        <v>0</v>
      </c>
    </row>
    <row r="187" spans="1:14">
      <c r="A187">
        <v>70</v>
      </c>
      <c r="B187">
        <v>1</v>
      </c>
      <c r="D187">
        <v>7</v>
      </c>
      <c r="E187" t="s">
        <v>194</v>
      </c>
      <c r="F187" t="s">
        <v>195</v>
      </c>
      <c r="G187">
        <v>0.8</v>
      </c>
      <c r="H187">
        <v>0</v>
      </c>
      <c r="I187" t="s">
        <v>3</v>
      </c>
      <c r="J187">
        <v>0</v>
      </c>
      <c r="K187">
        <v>0</v>
      </c>
      <c r="L187" t="s">
        <v>3</v>
      </c>
      <c r="M187" t="s">
        <v>3</v>
      </c>
      <c r="N187">
        <v>0</v>
      </c>
    </row>
    <row r="188" spans="1:14">
      <c r="A188">
        <v>70</v>
      </c>
      <c r="B188">
        <v>1</v>
      </c>
      <c r="D188">
        <v>8</v>
      </c>
      <c r="E188" t="s">
        <v>196</v>
      </c>
      <c r="F188" t="s">
        <v>197</v>
      </c>
      <c r="G188">
        <v>0.7</v>
      </c>
      <c r="H188">
        <v>0</v>
      </c>
      <c r="I188" t="s">
        <v>3</v>
      </c>
      <c r="J188">
        <v>0</v>
      </c>
      <c r="K188">
        <v>0</v>
      </c>
      <c r="L188" t="s">
        <v>3</v>
      </c>
      <c r="M188" t="s">
        <v>3</v>
      </c>
      <c r="N188">
        <v>0</v>
      </c>
    </row>
    <row r="189" spans="1:14">
      <c r="A189">
        <v>70</v>
      </c>
      <c r="B189">
        <v>1</v>
      </c>
      <c r="D189">
        <v>9</v>
      </c>
      <c r="E189" t="s">
        <v>198</v>
      </c>
      <c r="F189" t="s">
        <v>199</v>
      </c>
      <c r="G189">
        <v>0.9</v>
      </c>
      <c r="H189">
        <v>0</v>
      </c>
      <c r="I189" t="s">
        <v>3</v>
      </c>
      <c r="J189">
        <v>0</v>
      </c>
      <c r="K189">
        <v>0</v>
      </c>
      <c r="L189" t="s">
        <v>3</v>
      </c>
      <c r="M189" t="s">
        <v>3</v>
      </c>
      <c r="N189">
        <v>0</v>
      </c>
    </row>
    <row r="190" spans="1:14">
      <c r="A190">
        <v>70</v>
      </c>
      <c r="B190">
        <v>1</v>
      </c>
      <c r="D190">
        <v>10</v>
      </c>
      <c r="E190" t="s">
        <v>200</v>
      </c>
      <c r="F190" t="s">
        <v>201</v>
      </c>
      <c r="G190">
        <v>0.6</v>
      </c>
      <c r="H190">
        <v>0</v>
      </c>
      <c r="I190" t="s">
        <v>3</v>
      </c>
      <c r="J190">
        <v>0</v>
      </c>
      <c r="K190">
        <v>0</v>
      </c>
      <c r="L190" t="s">
        <v>3</v>
      </c>
      <c r="M190" t="s">
        <v>3</v>
      </c>
      <c r="N190">
        <v>0</v>
      </c>
    </row>
    <row r="191" spans="1:14">
      <c r="A191">
        <v>70</v>
      </c>
      <c r="B191">
        <v>1</v>
      </c>
      <c r="D191">
        <v>11</v>
      </c>
      <c r="E191" t="s">
        <v>202</v>
      </c>
      <c r="F191" t="s">
        <v>203</v>
      </c>
      <c r="G191">
        <v>1.2</v>
      </c>
      <c r="H191">
        <v>0</v>
      </c>
      <c r="I191" t="s">
        <v>3</v>
      </c>
      <c r="J191">
        <v>0</v>
      </c>
      <c r="K191">
        <v>0</v>
      </c>
      <c r="L191" t="s">
        <v>3</v>
      </c>
      <c r="M191" t="s">
        <v>3</v>
      </c>
      <c r="N191">
        <v>0</v>
      </c>
    </row>
    <row r="192" spans="1:14">
      <c r="A192">
        <v>70</v>
      </c>
      <c r="B192">
        <v>1</v>
      </c>
      <c r="D192">
        <v>12</v>
      </c>
      <c r="E192" t="s">
        <v>204</v>
      </c>
      <c r="F192" t="s">
        <v>205</v>
      </c>
      <c r="G192">
        <v>0</v>
      </c>
      <c r="H192">
        <v>0</v>
      </c>
      <c r="I192" t="s">
        <v>3</v>
      </c>
      <c r="J192">
        <v>0</v>
      </c>
      <c r="K192">
        <v>0</v>
      </c>
      <c r="L192" t="s">
        <v>3</v>
      </c>
      <c r="M192" t="s">
        <v>3</v>
      </c>
      <c r="N192">
        <v>0</v>
      </c>
    </row>
    <row r="193" spans="1:40">
      <c r="A193">
        <v>70</v>
      </c>
      <c r="B193">
        <v>1</v>
      </c>
      <c r="D193">
        <v>13</v>
      </c>
      <c r="E193" t="s">
        <v>206</v>
      </c>
      <c r="F193" t="s">
        <v>207</v>
      </c>
      <c r="G193">
        <v>1</v>
      </c>
      <c r="H193">
        <v>0</v>
      </c>
      <c r="I193" t="s">
        <v>3</v>
      </c>
      <c r="J193">
        <v>0</v>
      </c>
      <c r="K193">
        <v>0</v>
      </c>
      <c r="L193" t="s">
        <v>3</v>
      </c>
      <c r="M193" t="s">
        <v>3</v>
      </c>
      <c r="N193">
        <v>0</v>
      </c>
    </row>
    <row r="195" spans="1:40">
      <c r="A195">
        <v>-1</v>
      </c>
    </row>
    <row r="197" spans="1:40">
      <c r="A197" s="3">
        <v>75</v>
      </c>
      <c r="B197" s="3" t="s">
        <v>208</v>
      </c>
      <c r="C197" s="3">
        <v>2021</v>
      </c>
      <c r="D197" s="3">
        <v>0</v>
      </c>
      <c r="E197" s="3">
        <v>2</v>
      </c>
      <c r="F197" s="3"/>
      <c r="G197" s="3">
        <v>0</v>
      </c>
      <c r="H197" s="3">
        <v>1</v>
      </c>
      <c r="I197" s="3">
        <v>0</v>
      </c>
      <c r="J197" s="3">
        <v>3</v>
      </c>
      <c r="K197" s="3">
        <v>0</v>
      </c>
      <c r="L197" s="3">
        <v>0</v>
      </c>
      <c r="M197" s="3">
        <v>0</v>
      </c>
      <c r="N197" s="3">
        <v>36145237</v>
      </c>
      <c r="O197" s="3">
        <v>1</v>
      </c>
    </row>
    <row r="198" spans="1:40">
      <c r="A198" s="5">
        <v>1</v>
      </c>
      <c r="B198" s="5" t="s">
        <v>209</v>
      </c>
      <c r="C198" s="5" t="s">
        <v>210</v>
      </c>
      <c r="D198" s="5">
        <v>2021</v>
      </c>
      <c r="E198" s="5">
        <v>3</v>
      </c>
      <c r="F198" s="5">
        <v>1</v>
      </c>
      <c r="G198" s="5">
        <v>1</v>
      </c>
      <c r="H198" s="5">
        <v>0</v>
      </c>
      <c r="I198" s="5">
        <v>2</v>
      </c>
      <c r="J198" s="5">
        <v>1</v>
      </c>
      <c r="K198" s="5">
        <v>1</v>
      </c>
      <c r="L198" s="5">
        <v>1</v>
      </c>
      <c r="M198" s="5">
        <v>1</v>
      </c>
      <c r="N198" s="5">
        <v>1</v>
      </c>
      <c r="O198" s="5">
        <v>1</v>
      </c>
      <c r="P198" s="5">
        <v>1</v>
      </c>
      <c r="Q198" s="5">
        <v>1</v>
      </c>
      <c r="R198" s="5" t="s">
        <v>3</v>
      </c>
      <c r="S198" s="5" t="s">
        <v>3</v>
      </c>
      <c r="T198" s="5" t="s">
        <v>3</v>
      </c>
      <c r="U198" s="5" t="s">
        <v>3</v>
      </c>
      <c r="V198" s="5" t="s">
        <v>3</v>
      </c>
      <c r="W198" s="5" t="s">
        <v>3</v>
      </c>
      <c r="X198" s="5" t="s">
        <v>3</v>
      </c>
      <c r="Y198" s="5" t="s">
        <v>3</v>
      </c>
      <c r="Z198" s="5" t="s">
        <v>3</v>
      </c>
      <c r="AA198" s="5" t="s">
        <v>3</v>
      </c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>
        <v>36145238</v>
      </c>
    </row>
    <row r="199" spans="1:40">
      <c r="A199" s="5">
        <v>2</v>
      </c>
      <c r="B199" s="5" t="s">
        <v>211</v>
      </c>
      <c r="C199" s="5" t="s">
        <v>212</v>
      </c>
      <c r="D199" s="5">
        <v>0</v>
      </c>
      <c r="E199" s="5">
        <v>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>
        <v>36145239</v>
      </c>
    </row>
    <row r="203" spans="1:40">
      <c r="A203">
        <v>65</v>
      </c>
      <c r="C203">
        <v>1</v>
      </c>
      <c r="D203">
        <v>0</v>
      </c>
      <c r="E20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213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36145237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(Source!F123)/1000</f>
        <v>578.68035999999995</v>
      </c>
      <c r="F16" s="7">
        <f>(Source!F124)/1000</f>
        <v>0</v>
      </c>
      <c r="G16" s="7">
        <f>(Source!F115)/1000</f>
        <v>0</v>
      </c>
      <c r="H16" s="7">
        <f>(Source!F125)/1000+(Source!F126)/1000</f>
        <v>0</v>
      </c>
      <c r="I16" s="7">
        <f>E16+F16+G16+H16</f>
        <v>578.68035999999995</v>
      </c>
      <c r="J16" s="7">
        <f>(Source!F121)/1000</f>
        <v>84.364620000000002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440658.69</v>
      </c>
      <c r="AU16" s="7">
        <v>349224.76</v>
      </c>
      <c r="AV16" s="7">
        <v>0</v>
      </c>
      <c r="AW16" s="7">
        <v>0</v>
      </c>
      <c r="AX16" s="7">
        <v>0</v>
      </c>
      <c r="AY16" s="7">
        <v>7069.31</v>
      </c>
      <c r="AZ16" s="7">
        <v>992.72</v>
      </c>
      <c r="BA16" s="7">
        <v>84364.62</v>
      </c>
      <c r="BB16" s="7">
        <v>578680.36</v>
      </c>
      <c r="BC16" s="7">
        <v>0</v>
      </c>
      <c r="BD16" s="7">
        <v>0</v>
      </c>
      <c r="BE16" s="7">
        <v>0</v>
      </c>
      <c r="BF16" s="7">
        <v>291.28230000000002</v>
      </c>
      <c r="BG16" s="7">
        <v>2.2847499999999998</v>
      </c>
      <c r="BH16" s="7">
        <v>0</v>
      </c>
      <c r="BI16" s="7">
        <v>88393</v>
      </c>
      <c r="BJ16" s="7">
        <v>49628.67</v>
      </c>
      <c r="BK16" s="7">
        <v>578680.36</v>
      </c>
    </row>
    <row r="18" spans="1:19">
      <c r="A18">
        <v>51</v>
      </c>
      <c r="E18" s="8">
        <f>SUMIF(A16:A17,3,E16:E17)</f>
        <v>578.68035999999995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578.68035999999995</v>
      </c>
      <c r="J18" s="8">
        <f>SUMIF(A16:A17,3,J16:J17)</f>
        <v>84.364620000000002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440658.69</v>
      </c>
      <c r="G20" s="4" t="s">
        <v>25</v>
      </c>
      <c r="H20" s="4" t="s">
        <v>26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349224.76</v>
      </c>
      <c r="G21" s="4" t="s">
        <v>27</v>
      </c>
      <c r="H21" s="4" t="s">
        <v>28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29</v>
      </c>
      <c r="H22" s="4" t="s">
        <v>30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349224.76</v>
      </c>
      <c r="G23" s="4" t="s">
        <v>31</v>
      </c>
      <c r="H23" s="4" t="s">
        <v>32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349224.76</v>
      </c>
      <c r="G24" s="4" t="s">
        <v>33</v>
      </c>
      <c r="H24" s="4" t="s">
        <v>34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35</v>
      </c>
      <c r="H25" s="4" t="s">
        <v>36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349224.76</v>
      </c>
      <c r="G26" s="4" t="s">
        <v>37</v>
      </c>
      <c r="H26" s="4" t="s">
        <v>38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39</v>
      </c>
      <c r="H27" s="4" t="s">
        <v>40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41</v>
      </c>
      <c r="H28" s="4" t="s">
        <v>42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43</v>
      </c>
      <c r="H29" s="4" t="s">
        <v>44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7069.31</v>
      </c>
      <c r="G30" s="4" t="s">
        <v>45</v>
      </c>
      <c r="H30" s="4" t="s">
        <v>46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47</v>
      </c>
      <c r="H31" s="4" t="s">
        <v>48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992.72</v>
      </c>
      <c r="G32" s="4" t="s">
        <v>49</v>
      </c>
      <c r="H32" s="4" t="s">
        <v>50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84364.62</v>
      </c>
      <c r="G33" s="4" t="s">
        <v>51</v>
      </c>
      <c r="H33" s="4" t="s">
        <v>52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53</v>
      </c>
      <c r="H34" s="4" t="s">
        <v>54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578680.36</v>
      </c>
      <c r="G35" s="4" t="s">
        <v>55</v>
      </c>
      <c r="H35" s="4" t="s">
        <v>56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57</v>
      </c>
      <c r="H36" s="4" t="s">
        <v>58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59</v>
      </c>
      <c r="H37" s="4" t="s">
        <v>60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61</v>
      </c>
      <c r="H38" s="4" t="s">
        <v>62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63</v>
      </c>
      <c r="H39" s="4" t="s">
        <v>64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291.28230000000002</v>
      </c>
      <c r="G40" s="4" t="s">
        <v>65</v>
      </c>
      <c r="H40" s="4" t="s">
        <v>66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2.2847499999999998</v>
      </c>
      <c r="G41" s="4" t="s">
        <v>67</v>
      </c>
      <c r="H41" s="4" t="s">
        <v>68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69</v>
      </c>
      <c r="H42" s="4" t="s">
        <v>70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497.23</v>
      </c>
      <c r="G43" s="4" t="s">
        <v>71</v>
      </c>
      <c r="H43" s="4" t="s">
        <v>72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88393</v>
      </c>
      <c r="G44" s="4" t="s">
        <v>73</v>
      </c>
      <c r="H44" s="4" t="s">
        <v>74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49628.67</v>
      </c>
      <c r="G45" s="4" t="s">
        <v>75</v>
      </c>
      <c r="H45" s="4" t="s">
        <v>76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578680.36</v>
      </c>
      <c r="G46" s="4" t="s">
        <v>77</v>
      </c>
      <c r="H46" s="4" t="s">
        <v>78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115736.1</v>
      </c>
      <c r="G47" s="4" t="s">
        <v>143</v>
      </c>
      <c r="H47" s="4" t="s">
        <v>144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694416.4</v>
      </c>
      <c r="G48" s="4" t="s">
        <v>145</v>
      </c>
      <c r="H48" s="4" t="s">
        <v>146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208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36145237</v>
      </c>
      <c r="O53" s="3">
        <v>1</v>
      </c>
    </row>
    <row r="54" spans="1:40">
      <c r="A54" s="5">
        <v>1</v>
      </c>
      <c r="B54" s="5" t="s">
        <v>209</v>
      </c>
      <c r="C54" s="5" t="s">
        <v>210</v>
      </c>
      <c r="D54" s="5">
        <v>2021</v>
      </c>
      <c r="E54" s="5">
        <v>3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36145238</v>
      </c>
    </row>
    <row r="55" spans="1:40">
      <c r="A55" s="5">
        <v>2</v>
      </c>
      <c r="B55" s="5" t="s">
        <v>211</v>
      </c>
      <c r="C55" s="5" t="s">
        <v>212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36145239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5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36145237</v>
      </c>
      <c r="C1">
        <v>36145442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214</v>
      </c>
      <c r="J1" t="s">
        <v>3</v>
      </c>
      <c r="K1" t="s">
        <v>215</v>
      </c>
      <c r="L1">
        <v>1369</v>
      </c>
      <c r="N1">
        <v>1013</v>
      </c>
      <c r="O1" t="s">
        <v>216</v>
      </c>
      <c r="P1" t="s">
        <v>216</v>
      </c>
      <c r="Q1">
        <v>1</v>
      </c>
      <c r="W1">
        <v>0</v>
      </c>
      <c r="X1">
        <v>254330056</v>
      </c>
      <c r="Y1">
        <v>14.38</v>
      </c>
      <c r="AA1">
        <v>0</v>
      </c>
      <c r="AB1">
        <v>0</v>
      </c>
      <c r="AC1">
        <v>0</v>
      </c>
      <c r="AD1">
        <v>258.83999999999997</v>
      </c>
      <c r="AE1">
        <v>0</v>
      </c>
      <c r="AF1">
        <v>0</v>
      </c>
      <c r="AG1">
        <v>0</v>
      </c>
      <c r="AH1">
        <v>258.83999999999997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14.38</v>
      </c>
      <c r="AU1" t="s">
        <v>3</v>
      </c>
      <c r="AV1">
        <v>1</v>
      </c>
      <c r="AW1">
        <v>2</v>
      </c>
      <c r="AX1">
        <v>36145443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93.110500000000002</v>
      </c>
      <c r="CY1">
        <f>AD1</f>
        <v>258.83999999999997</v>
      </c>
      <c r="CZ1">
        <f>AH1</f>
        <v>258.83999999999997</v>
      </c>
      <c r="DA1">
        <f>AL1</f>
        <v>1</v>
      </c>
      <c r="DB1">
        <f t="shared" ref="DB1:DB10" si="0">ROUND(ROUND(AT1*CZ1,2),6)</f>
        <v>3722.12</v>
      </c>
      <c r="DC1">
        <f t="shared" ref="DC1:DC10" si="1">ROUND(ROUND(AT1*AG1,2),6)</f>
        <v>0</v>
      </c>
    </row>
    <row r="2" spans="1:107">
      <c r="A2">
        <f>ROW(Source!A28)</f>
        <v>28</v>
      </c>
      <c r="B2">
        <v>36145237</v>
      </c>
      <c r="C2">
        <v>36145442</v>
      </c>
      <c r="D2">
        <v>29172515</v>
      </c>
      <c r="E2">
        <v>1</v>
      </c>
      <c r="F2">
        <v>1</v>
      </c>
      <c r="G2">
        <v>1</v>
      </c>
      <c r="H2">
        <v>2</v>
      </c>
      <c r="I2" t="s">
        <v>217</v>
      </c>
      <c r="J2" t="s">
        <v>218</v>
      </c>
      <c r="K2" t="s">
        <v>219</v>
      </c>
      <c r="L2">
        <v>1368</v>
      </c>
      <c r="N2">
        <v>1011</v>
      </c>
      <c r="O2" t="s">
        <v>220</v>
      </c>
      <c r="P2" t="s">
        <v>220</v>
      </c>
      <c r="Q2">
        <v>1</v>
      </c>
      <c r="W2">
        <v>0</v>
      </c>
      <c r="X2">
        <v>-434635516</v>
      </c>
      <c r="Y2">
        <v>6.22</v>
      </c>
      <c r="AA2">
        <v>0</v>
      </c>
      <c r="AB2">
        <v>54.01</v>
      </c>
      <c r="AC2">
        <v>0</v>
      </c>
      <c r="AD2">
        <v>0</v>
      </c>
      <c r="AE2">
        <v>0</v>
      </c>
      <c r="AF2">
        <v>6.66</v>
      </c>
      <c r="AG2">
        <v>0</v>
      </c>
      <c r="AH2">
        <v>0</v>
      </c>
      <c r="AI2">
        <v>1</v>
      </c>
      <c r="AJ2">
        <v>8.11</v>
      </c>
      <c r="AK2">
        <v>33.18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6.22</v>
      </c>
      <c r="AU2" t="s">
        <v>3</v>
      </c>
      <c r="AV2">
        <v>0</v>
      </c>
      <c r="AW2">
        <v>2</v>
      </c>
      <c r="AX2">
        <v>36145444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40.274499999999996</v>
      </c>
      <c r="CY2">
        <f>AB2</f>
        <v>54.01</v>
      </c>
      <c r="CZ2">
        <f>AF2</f>
        <v>6.66</v>
      </c>
      <c r="DA2">
        <f>AJ2</f>
        <v>8.11</v>
      </c>
      <c r="DB2">
        <f t="shared" si="0"/>
        <v>41.43</v>
      </c>
      <c r="DC2">
        <f t="shared" si="1"/>
        <v>0</v>
      </c>
    </row>
    <row r="3" spans="1:107">
      <c r="A3">
        <f>ROW(Source!A64)</f>
        <v>64</v>
      </c>
      <c r="B3">
        <v>36145237</v>
      </c>
      <c r="C3">
        <v>36151064</v>
      </c>
      <c r="D3">
        <v>18406785</v>
      </c>
      <c r="E3">
        <v>1</v>
      </c>
      <c r="F3">
        <v>1</v>
      </c>
      <c r="G3">
        <v>1</v>
      </c>
      <c r="H3">
        <v>1</v>
      </c>
      <c r="I3" t="s">
        <v>221</v>
      </c>
      <c r="J3" t="s">
        <v>3</v>
      </c>
      <c r="K3" t="s">
        <v>222</v>
      </c>
      <c r="L3">
        <v>1369</v>
      </c>
      <c r="N3">
        <v>1013</v>
      </c>
      <c r="O3" t="s">
        <v>216</v>
      </c>
      <c r="P3" t="s">
        <v>216</v>
      </c>
      <c r="Q3">
        <v>1</v>
      </c>
      <c r="W3">
        <v>0</v>
      </c>
      <c r="X3">
        <v>645971194</v>
      </c>
      <c r="Y3">
        <v>129.9</v>
      </c>
      <c r="AA3">
        <v>0</v>
      </c>
      <c r="AB3">
        <v>0</v>
      </c>
      <c r="AC3">
        <v>0</v>
      </c>
      <c r="AD3">
        <v>294.02</v>
      </c>
      <c r="AE3">
        <v>0</v>
      </c>
      <c r="AF3">
        <v>0</v>
      </c>
      <c r="AG3">
        <v>0</v>
      </c>
      <c r="AH3">
        <v>294.02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129.9</v>
      </c>
      <c r="AU3" t="s">
        <v>3</v>
      </c>
      <c r="AV3">
        <v>1</v>
      </c>
      <c r="AW3">
        <v>2</v>
      </c>
      <c r="AX3">
        <v>36151065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Y3*Source!I64</f>
        <v>25.980000000000004</v>
      </c>
      <c r="CY3">
        <f>AD3</f>
        <v>294.02</v>
      </c>
      <c r="CZ3">
        <f>AH3</f>
        <v>294.02</v>
      </c>
      <c r="DA3">
        <f>AL3</f>
        <v>1</v>
      </c>
      <c r="DB3">
        <f t="shared" si="0"/>
        <v>38193.199999999997</v>
      </c>
      <c r="DC3">
        <f t="shared" si="1"/>
        <v>0</v>
      </c>
    </row>
    <row r="4" spans="1:107">
      <c r="A4">
        <f>ROW(Source!A64)</f>
        <v>64</v>
      </c>
      <c r="B4">
        <v>36145237</v>
      </c>
      <c r="C4">
        <v>36151064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15</v>
      </c>
      <c r="J4" t="s">
        <v>3</v>
      </c>
      <c r="K4" t="s">
        <v>223</v>
      </c>
      <c r="L4">
        <v>608254</v>
      </c>
      <c r="N4">
        <v>1013</v>
      </c>
      <c r="O4" t="s">
        <v>224</v>
      </c>
      <c r="P4" t="s">
        <v>224</v>
      </c>
      <c r="Q4">
        <v>1</v>
      </c>
      <c r="W4">
        <v>0</v>
      </c>
      <c r="X4">
        <v>-185737400</v>
      </c>
      <c r="Y4">
        <v>1.38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1.38</v>
      </c>
      <c r="AU4" t="s">
        <v>3</v>
      </c>
      <c r="AV4">
        <v>2</v>
      </c>
      <c r="AW4">
        <v>2</v>
      </c>
      <c r="AX4">
        <v>36151066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Y4*Source!I64</f>
        <v>0.27599999999999997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>
      <c r="A5">
        <f>ROW(Source!A64)</f>
        <v>64</v>
      </c>
      <c r="B5">
        <v>36145237</v>
      </c>
      <c r="C5">
        <v>36151064</v>
      </c>
      <c r="D5">
        <v>29172513</v>
      </c>
      <c r="E5">
        <v>1</v>
      </c>
      <c r="F5">
        <v>1</v>
      </c>
      <c r="G5">
        <v>1</v>
      </c>
      <c r="H5">
        <v>2</v>
      </c>
      <c r="I5" t="s">
        <v>225</v>
      </c>
      <c r="J5" t="s">
        <v>226</v>
      </c>
      <c r="K5" t="s">
        <v>227</v>
      </c>
      <c r="L5">
        <v>1368</v>
      </c>
      <c r="N5">
        <v>1011</v>
      </c>
      <c r="O5" t="s">
        <v>220</v>
      </c>
      <c r="P5" t="s">
        <v>220</v>
      </c>
      <c r="Q5">
        <v>1</v>
      </c>
      <c r="W5">
        <v>0</v>
      </c>
      <c r="X5">
        <v>1679132089</v>
      </c>
      <c r="Y5">
        <v>2.1</v>
      </c>
      <c r="AA5">
        <v>0</v>
      </c>
      <c r="AB5">
        <v>18.02</v>
      </c>
      <c r="AC5">
        <v>0</v>
      </c>
      <c r="AD5">
        <v>0</v>
      </c>
      <c r="AE5">
        <v>0</v>
      </c>
      <c r="AF5">
        <v>1.7</v>
      </c>
      <c r="AG5">
        <v>0</v>
      </c>
      <c r="AH5">
        <v>0</v>
      </c>
      <c r="AI5">
        <v>1</v>
      </c>
      <c r="AJ5">
        <v>10.6</v>
      </c>
      <c r="AK5">
        <v>33.18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2.1</v>
      </c>
      <c r="AU5" t="s">
        <v>3</v>
      </c>
      <c r="AV5">
        <v>0</v>
      </c>
      <c r="AW5">
        <v>2</v>
      </c>
      <c r="AX5">
        <v>36151067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Y5*Source!I64</f>
        <v>0.42000000000000004</v>
      </c>
      <c r="CY5">
        <f>AB5</f>
        <v>18.02</v>
      </c>
      <c r="CZ5">
        <f>AF5</f>
        <v>1.7</v>
      </c>
      <c r="DA5">
        <f>AJ5</f>
        <v>10.6</v>
      </c>
      <c r="DB5">
        <f t="shared" si="0"/>
        <v>3.57</v>
      </c>
      <c r="DC5">
        <f t="shared" si="1"/>
        <v>0</v>
      </c>
    </row>
    <row r="6" spans="1:107">
      <c r="A6">
        <f>ROW(Source!A64)</f>
        <v>64</v>
      </c>
      <c r="B6">
        <v>36145237</v>
      </c>
      <c r="C6">
        <v>36151064</v>
      </c>
      <c r="D6">
        <v>29172710</v>
      </c>
      <c r="E6">
        <v>1</v>
      </c>
      <c r="F6">
        <v>1</v>
      </c>
      <c r="G6">
        <v>1</v>
      </c>
      <c r="H6">
        <v>2</v>
      </c>
      <c r="I6" t="s">
        <v>228</v>
      </c>
      <c r="J6" t="s">
        <v>229</v>
      </c>
      <c r="K6" t="s">
        <v>230</v>
      </c>
      <c r="L6">
        <v>1368</v>
      </c>
      <c r="N6">
        <v>1011</v>
      </c>
      <c r="O6" t="s">
        <v>220</v>
      </c>
      <c r="P6" t="s">
        <v>220</v>
      </c>
      <c r="Q6">
        <v>1</v>
      </c>
      <c r="W6">
        <v>0</v>
      </c>
      <c r="X6">
        <v>-1676841219</v>
      </c>
      <c r="Y6">
        <v>1.38</v>
      </c>
      <c r="AA6">
        <v>0</v>
      </c>
      <c r="AB6">
        <v>539.16</v>
      </c>
      <c r="AC6">
        <v>333.79</v>
      </c>
      <c r="AD6">
        <v>0</v>
      </c>
      <c r="AE6">
        <v>0</v>
      </c>
      <c r="AF6">
        <v>46.56</v>
      </c>
      <c r="AG6">
        <v>10.06</v>
      </c>
      <c r="AH6">
        <v>0</v>
      </c>
      <c r="AI6">
        <v>1</v>
      </c>
      <c r="AJ6">
        <v>11.58</v>
      </c>
      <c r="AK6">
        <v>33.18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1.38</v>
      </c>
      <c r="AU6" t="s">
        <v>3</v>
      </c>
      <c r="AV6">
        <v>0</v>
      </c>
      <c r="AW6">
        <v>2</v>
      </c>
      <c r="AX6">
        <v>36151068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Y6*Source!I64</f>
        <v>0.27599999999999997</v>
      </c>
      <c r="CY6">
        <f>AB6</f>
        <v>539.16</v>
      </c>
      <c r="CZ6">
        <f>AF6</f>
        <v>46.56</v>
      </c>
      <c r="DA6">
        <f>AJ6</f>
        <v>11.58</v>
      </c>
      <c r="DB6">
        <f t="shared" si="0"/>
        <v>64.25</v>
      </c>
      <c r="DC6">
        <f t="shared" si="1"/>
        <v>13.88</v>
      </c>
    </row>
    <row r="7" spans="1:107">
      <c r="A7">
        <f>ROW(Source!A64)</f>
        <v>64</v>
      </c>
      <c r="B7">
        <v>36145237</v>
      </c>
      <c r="C7">
        <v>36151064</v>
      </c>
      <c r="D7">
        <v>29174533</v>
      </c>
      <c r="E7">
        <v>1</v>
      </c>
      <c r="F7">
        <v>1</v>
      </c>
      <c r="G7">
        <v>1</v>
      </c>
      <c r="H7">
        <v>2</v>
      </c>
      <c r="I7" t="s">
        <v>231</v>
      </c>
      <c r="J7" t="s">
        <v>232</v>
      </c>
      <c r="K7" t="s">
        <v>233</v>
      </c>
      <c r="L7">
        <v>1368</v>
      </c>
      <c r="N7">
        <v>1011</v>
      </c>
      <c r="O7" t="s">
        <v>220</v>
      </c>
      <c r="P7" t="s">
        <v>220</v>
      </c>
      <c r="Q7">
        <v>1</v>
      </c>
      <c r="W7">
        <v>0</v>
      </c>
      <c r="X7">
        <v>1235896746</v>
      </c>
      <c r="Y7">
        <v>1.38</v>
      </c>
      <c r="AA7">
        <v>0</v>
      </c>
      <c r="AB7">
        <v>5.0599999999999996</v>
      </c>
      <c r="AC7">
        <v>0</v>
      </c>
      <c r="AD7">
        <v>0</v>
      </c>
      <c r="AE7">
        <v>0</v>
      </c>
      <c r="AF7">
        <v>1.53</v>
      </c>
      <c r="AG7">
        <v>0</v>
      </c>
      <c r="AH7">
        <v>0</v>
      </c>
      <c r="AI7">
        <v>1</v>
      </c>
      <c r="AJ7">
        <v>3.31</v>
      </c>
      <c r="AK7">
        <v>33.18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1.38</v>
      </c>
      <c r="AU7" t="s">
        <v>3</v>
      </c>
      <c r="AV7">
        <v>0</v>
      </c>
      <c r="AW7">
        <v>2</v>
      </c>
      <c r="AX7">
        <v>36151069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Y7*Source!I64</f>
        <v>0.27599999999999997</v>
      </c>
      <c r="CY7">
        <f>AB7</f>
        <v>5.0599999999999996</v>
      </c>
      <c r="CZ7">
        <f>AF7</f>
        <v>1.53</v>
      </c>
      <c r="DA7">
        <f>AJ7</f>
        <v>3.31</v>
      </c>
      <c r="DB7">
        <f t="shared" si="0"/>
        <v>2.11</v>
      </c>
      <c r="DC7">
        <f t="shared" si="1"/>
        <v>0</v>
      </c>
    </row>
    <row r="8" spans="1:107">
      <c r="A8">
        <f>ROW(Source!A64)</f>
        <v>64</v>
      </c>
      <c r="B8">
        <v>36145237</v>
      </c>
      <c r="C8">
        <v>36151064</v>
      </c>
      <c r="D8">
        <v>29109197</v>
      </c>
      <c r="E8">
        <v>1</v>
      </c>
      <c r="F8">
        <v>1</v>
      </c>
      <c r="G8">
        <v>1</v>
      </c>
      <c r="H8">
        <v>3</v>
      </c>
      <c r="I8" t="s">
        <v>234</v>
      </c>
      <c r="J8" t="s">
        <v>235</v>
      </c>
      <c r="K8" t="s">
        <v>236</v>
      </c>
      <c r="L8">
        <v>1348</v>
      </c>
      <c r="N8">
        <v>1009</v>
      </c>
      <c r="O8" t="s">
        <v>91</v>
      </c>
      <c r="P8" t="s">
        <v>91</v>
      </c>
      <c r="Q8">
        <v>1000</v>
      </c>
      <c r="W8">
        <v>0</v>
      </c>
      <c r="X8">
        <v>-725440123</v>
      </c>
      <c r="Y8">
        <v>2.1000000000000001E-2</v>
      </c>
      <c r="AA8">
        <v>3675.13</v>
      </c>
      <c r="AB8">
        <v>0</v>
      </c>
      <c r="AC8">
        <v>0</v>
      </c>
      <c r="AD8">
        <v>0</v>
      </c>
      <c r="AE8">
        <v>412.01</v>
      </c>
      <c r="AF8">
        <v>0</v>
      </c>
      <c r="AG8">
        <v>0</v>
      </c>
      <c r="AH8">
        <v>0</v>
      </c>
      <c r="AI8">
        <v>8.92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2.1000000000000001E-2</v>
      </c>
      <c r="AU8" t="s">
        <v>3</v>
      </c>
      <c r="AV8">
        <v>0</v>
      </c>
      <c r="AW8">
        <v>2</v>
      </c>
      <c r="AX8">
        <v>36151070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Y8*Source!I64</f>
        <v>4.2000000000000006E-3</v>
      </c>
      <c r="CY8">
        <f>AA8</f>
        <v>3675.13</v>
      </c>
      <c r="CZ8">
        <f>AE8</f>
        <v>412.01</v>
      </c>
      <c r="DA8">
        <f>AI8</f>
        <v>8.92</v>
      </c>
      <c r="DB8">
        <f t="shared" si="0"/>
        <v>8.65</v>
      </c>
      <c r="DC8">
        <f t="shared" si="1"/>
        <v>0</v>
      </c>
    </row>
    <row r="9" spans="1:107">
      <c r="A9">
        <f>ROW(Source!A64)</f>
        <v>64</v>
      </c>
      <c r="B9">
        <v>36145237</v>
      </c>
      <c r="C9">
        <v>36151064</v>
      </c>
      <c r="D9">
        <v>29145157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1339</v>
      </c>
      <c r="N9">
        <v>1007</v>
      </c>
      <c r="O9" t="s">
        <v>240</v>
      </c>
      <c r="P9" t="s">
        <v>240</v>
      </c>
      <c r="Q9">
        <v>1</v>
      </c>
      <c r="W9">
        <v>0</v>
      </c>
      <c r="X9">
        <v>54517115</v>
      </c>
      <c r="Y9">
        <v>2.14</v>
      </c>
      <c r="AA9">
        <v>3233.16</v>
      </c>
      <c r="AB9">
        <v>0</v>
      </c>
      <c r="AC9">
        <v>0</v>
      </c>
      <c r="AD9">
        <v>0</v>
      </c>
      <c r="AE9">
        <v>519.79999999999995</v>
      </c>
      <c r="AF9">
        <v>0</v>
      </c>
      <c r="AG9">
        <v>0</v>
      </c>
      <c r="AH9">
        <v>0</v>
      </c>
      <c r="AI9">
        <v>6.22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2.14</v>
      </c>
      <c r="AU9" t="s">
        <v>3</v>
      </c>
      <c r="AV9">
        <v>0</v>
      </c>
      <c r="AW9">
        <v>2</v>
      </c>
      <c r="AX9">
        <v>36151071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Y9*Source!I64</f>
        <v>0.42800000000000005</v>
      </c>
      <c r="CY9">
        <f>AA9</f>
        <v>3233.16</v>
      </c>
      <c r="CZ9">
        <f>AE9</f>
        <v>519.79999999999995</v>
      </c>
      <c r="DA9">
        <f>AI9</f>
        <v>6.22</v>
      </c>
      <c r="DB9">
        <f t="shared" si="0"/>
        <v>1112.3699999999999</v>
      </c>
      <c r="DC9">
        <f t="shared" si="1"/>
        <v>0</v>
      </c>
    </row>
    <row r="10" spans="1:107">
      <c r="A10">
        <f>ROW(Source!A64)</f>
        <v>64</v>
      </c>
      <c r="B10">
        <v>36145237</v>
      </c>
      <c r="C10">
        <v>36151064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89</v>
      </c>
      <c r="J10" t="s">
        <v>92</v>
      </c>
      <c r="K10" t="s">
        <v>90</v>
      </c>
      <c r="L10">
        <v>1348</v>
      </c>
      <c r="N10">
        <v>1009</v>
      </c>
      <c r="O10" t="s">
        <v>91</v>
      </c>
      <c r="P10" t="s">
        <v>91</v>
      </c>
      <c r="Q10">
        <v>1000</v>
      </c>
      <c r="W10">
        <v>0</v>
      </c>
      <c r="X10">
        <v>-304821490</v>
      </c>
      <c r="Y10">
        <v>1.48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1.48</v>
      </c>
      <c r="AU10" t="s">
        <v>3</v>
      </c>
      <c r="AV10">
        <v>0</v>
      </c>
      <c r="AW10">
        <v>2</v>
      </c>
      <c r="AX10">
        <v>36151072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Y10*Source!I64</f>
        <v>0.29599999999999999</v>
      </c>
      <c r="CY10">
        <f>AA10</f>
        <v>0</v>
      </c>
      <c r="CZ10">
        <f>AE10</f>
        <v>0</v>
      </c>
      <c r="DA10">
        <f>AI10</f>
        <v>1</v>
      </c>
      <c r="DB10">
        <f t="shared" si="0"/>
        <v>0</v>
      </c>
      <c r="DC10">
        <f t="shared" si="1"/>
        <v>0</v>
      </c>
    </row>
    <row r="11" spans="1:107">
      <c r="A11">
        <f>ROW(Source!A66)</f>
        <v>66</v>
      </c>
      <c r="B11">
        <v>36145237</v>
      </c>
      <c r="C11">
        <v>36145744</v>
      </c>
      <c r="D11">
        <v>18407546</v>
      </c>
      <c r="E11">
        <v>1</v>
      </c>
      <c r="F11">
        <v>1</v>
      </c>
      <c r="G11">
        <v>1</v>
      </c>
      <c r="H11">
        <v>1</v>
      </c>
      <c r="I11" t="s">
        <v>241</v>
      </c>
      <c r="J11" t="s">
        <v>3</v>
      </c>
      <c r="K11" t="s">
        <v>242</v>
      </c>
      <c r="L11">
        <v>1369</v>
      </c>
      <c r="N11">
        <v>1013</v>
      </c>
      <c r="O11" t="s">
        <v>216</v>
      </c>
      <c r="P11" t="s">
        <v>216</v>
      </c>
      <c r="Q11">
        <v>1</v>
      </c>
      <c r="W11">
        <v>0</v>
      </c>
      <c r="X11">
        <v>1709986911</v>
      </c>
      <c r="Y11">
        <v>16.513999999999999</v>
      </c>
      <c r="AA11">
        <v>0</v>
      </c>
      <c r="AB11">
        <v>0</v>
      </c>
      <c r="AC11">
        <v>0</v>
      </c>
      <c r="AD11">
        <v>311.94</v>
      </c>
      <c r="AE11">
        <v>0</v>
      </c>
      <c r="AF11">
        <v>0</v>
      </c>
      <c r="AG11">
        <v>0</v>
      </c>
      <c r="AH11">
        <v>311.94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14.36</v>
      </c>
      <c r="AU11" t="s">
        <v>99</v>
      </c>
      <c r="AV11">
        <v>1</v>
      </c>
      <c r="AW11">
        <v>2</v>
      </c>
      <c r="AX11">
        <v>36145745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Y11*Source!I66</f>
        <v>106.92814999999999</v>
      </c>
      <c r="CY11">
        <f>AD11</f>
        <v>311.94</v>
      </c>
      <c r="CZ11">
        <f>AH11</f>
        <v>311.94</v>
      </c>
      <c r="DA11">
        <f>AL11</f>
        <v>1</v>
      </c>
      <c r="DB11">
        <f>ROUND((ROUND(AT11*CZ11,2)*1.15),6)</f>
        <v>5151.3789999999999</v>
      </c>
      <c r="DC11">
        <f>ROUND((ROUND(AT11*AG11,2)*1.15),6)</f>
        <v>0</v>
      </c>
    </row>
    <row r="12" spans="1:107">
      <c r="A12">
        <f>ROW(Source!A66)</f>
        <v>66</v>
      </c>
      <c r="B12">
        <v>36145237</v>
      </c>
      <c r="C12">
        <v>36145744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15</v>
      </c>
      <c r="J12" t="s">
        <v>3</v>
      </c>
      <c r="K12" t="s">
        <v>223</v>
      </c>
      <c r="L12">
        <v>608254</v>
      </c>
      <c r="N12">
        <v>1013</v>
      </c>
      <c r="O12" t="s">
        <v>224</v>
      </c>
      <c r="P12" t="s">
        <v>224</v>
      </c>
      <c r="Q12">
        <v>1</v>
      </c>
      <c r="W12">
        <v>0</v>
      </c>
      <c r="X12">
        <v>-185737400</v>
      </c>
      <c r="Y12">
        <v>0.25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0.2</v>
      </c>
      <c r="AU12" t="s">
        <v>98</v>
      </c>
      <c r="AV12">
        <v>2</v>
      </c>
      <c r="AW12">
        <v>2</v>
      </c>
      <c r="AX12">
        <v>36145746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Y12*Source!I66</f>
        <v>1.6187499999999999</v>
      </c>
      <c r="CY12">
        <f>AD12</f>
        <v>0</v>
      </c>
      <c r="CZ12">
        <f>AH12</f>
        <v>0</v>
      </c>
      <c r="DA12">
        <f>AL12</f>
        <v>1</v>
      </c>
      <c r="DB12">
        <f>ROUND((ROUND(AT12*CZ12,2)*1.25),6)</f>
        <v>0</v>
      </c>
      <c r="DC12">
        <f>ROUND((ROUND(AT12*AG12,2)*1.25),6)</f>
        <v>0</v>
      </c>
    </row>
    <row r="13" spans="1:107">
      <c r="A13">
        <f>ROW(Source!A66)</f>
        <v>66</v>
      </c>
      <c r="B13">
        <v>36145237</v>
      </c>
      <c r="C13">
        <v>36145744</v>
      </c>
      <c r="D13">
        <v>29172268</v>
      </c>
      <c r="E13">
        <v>1</v>
      </c>
      <c r="F13">
        <v>1</v>
      </c>
      <c r="G13">
        <v>1</v>
      </c>
      <c r="H13">
        <v>2</v>
      </c>
      <c r="I13" t="s">
        <v>243</v>
      </c>
      <c r="J13" t="s">
        <v>244</v>
      </c>
      <c r="K13" t="s">
        <v>245</v>
      </c>
      <c r="L13">
        <v>1368</v>
      </c>
      <c r="N13">
        <v>1011</v>
      </c>
      <c r="O13" t="s">
        <v>220</v>
      </c>
      <c r="P13" t="s">
        <v>220</v>
      </c>
      <c r="Q13">
        <v>1</v>
      </c>
      <c r="W13">
        <v>0</v>
      </c>
      <c r="X13">
        <v>-1117034689</v>
      </c>
      <c r="Y13">
        <v>0.1875</v>
      </c>
      <c r="AA13">
        <v>0</v>
      </c>
      <c r="AB13">
        <v>889.06</v>
      </c>
      <c r="AC13">
        <v>447.93</v>
      </c>
      <c r="AD13">
        <v>0</v>
      </c>
      <c r="AE13">
        <v>0</v>
      </c>
      <c r="AF13">
        <v>86.4</v>
      </c>
      <c r="AG13">
        <v>13.5</v>
      </c>
      <c r="AH13">
        <v>0</v>
      </c>
      <c r="AI13">
        <v>1</v>
      </c>
      <c r="AJ13">
        <v>10.29</v>
      </c>
      <c r="AK13">
        <v>33.18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0.15</v>
      </c>
      <c r="AU13" t="s">
        <v>98</v>
      </c>
      <c r="AV13">
        <v>0</v>
      </c>
      <c r="AW13">
        <v>2</v>
      </c>
      <c r="AX13">
        <v>36145747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Y13*Source!I66</f>
        <v>1.2140624999999998</v>
      </c>
      <c r="CY13">
        <f>AB13</f>
        <v>889.06</v>
      </c>
      <c r="CZ13">
        <f>AF13</f>
        <v>86.4</v>
      </c>
      <c r="DA13">
        <f>AJ13</f>
        <v>10.29</v>
      </c>
      <c r="DB13">
        <f>ROUND((ROUND(AT13*CZ13,2)*1.25),6)</f>
        <v>16.2</v>
      </c>
      <c r="DC13">
        <f>ROUND((ROUND(AT13*AG13,2)*1.25),6)</f>
        <v>2.5375000000000001</v>
      </c>
    </row>
    <row r="14" spans="1:107">
      <c r="A14">
        <f>ROW(Source!A66)</f>
        <v>66</v>
      </c>
      <c r="B14">
        <v>36145237</v>
      </c>
      <c r="C14">
        <v>36145744</v>
      </c>
      <c r="D14">
        <v>29172379</v>
      </c>
      <c r="E14">
        <v>1</v>
      </c>
      <c r="F14">
        <v>1</v>
      </c>
      <c r="G14">
        <v>1</v>
      </c>
      <c r="H14">
        <v>2</v>
      </c>
      <c r="I14" t="s">
        <v>246</v>
      </c>
      <c r="J14" t="s">
        <v>247</v>
      </c>
      <c r="K14" t="s">
        <v>248</v>
      </c>
      <c r="L14">
        <v>1368</v>
      </c>
      <c r="N14">
        <v>1011</v>
      </c>
      <c r="O14" t="s">
        <v>220</v>
      </c>
      <c r="P14" t="s">
        <v>220</v>
      </c>
      <c r="Q14">
        <v>1</v>
      </c>
      <c r="W14">
        <v>0</v>
      </c>
      <c r="X14">
        <v>-151619853</v>
      </c>
      <c r="Y14">
        <v>6.25E-2</v>
      </c>
      <c r="AA14">
        <v>0</v>
      </c>
      <c r="AB14">
        <v>1102.08</v>
      </c>
      <c r="AC14">
        <v>447.93</v>
      </c>
      <c r="AD14">
        <v>0</v>
      </c>
      <c r="AE14">
        <v>0</v>
      </c>
      <c r="AF14">
        <v>112</v>
      </c>
      <c r="AG14">
        <v>13.5</v>
      </c>
      <c r="AH14">
        <v>0</v>
      </c>
      <c r="AI14">
        <v>1</v>
      </c>
      <c r="AJ14">
        <v>9.84</v>
      </c>
      <c r="AK14">
        <v>33.18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0.05</v>
      </c>
      <c r="AU14" t="s">
        <v>98</v>
      </c>
      <c r="AV14">
        <v>0</v>
      </c>
      <c r="AW14">
        <v>2</v>
      </c>
      <c r="AX14">
        <v>36145748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Y14*Source!I66</f>
        <v>0.40468749999999998</v>
      </c>
      <c r="CY14">
        <f>AB14</f>
        <v>1102.08</v>
      </c>
      <c r="CZ14">
        <f>AF14</f>
        <v>112</v>
      </c>
      <c r="DA14">
        <f>AJ14</f>
        <v>9.84</v>
      </c>
      <c r="DB14">
        <f>ROUND((ROUND(AT14*CZ14,2)*1.25),6)</f>
        <v>7</v>
      </c>
      <c r="DC14">
        <f>ROUND((ROUND(AT14*AG14,2)*1.25),6)</f>
        <v>0.85</v>
      </c>
    </row>
    <row r="15" spans="1:107">
      <c r="A15">
        <f>ROW(Source!A66)</f>
        <v>66</v>
      </c>
      <c r="B15">
        <v>36145237</v>
      </c>
      <c r="C15">
        <v>36145744</v>
      </c>
      <c r="D15">
        <v>29173572</v>
      </c>
      <c r="E15">
        <v>1</v>
      </c>
      <c r="F15">
        <v>1</v>
      </c>
      <c r="G15">
        <v>1</v>
      </c>
      <c r="H15">
        <v>2</v>
      </c>
      <c r="I15" t="s">
        <v>249</v>
      </c>
      <c r="J15" t="s">
        <v>250</v>
      </c>
      <c r="K15" t="s">
        <v>251</v>
      </c>
      <c r="L15">
        <v>1368</v>
      </c>
      <c r="N15">
        <v>1011</v>
      </c>
      <c r="O15" t="s">
        <v>220</v>
      </c>
      <c r="P15" t="s">
        <v>220</v>
      </c>
      <c r="Q15">
        <v>1</v>
      </c>
      <c r="W15">
        <v>0</v>
      </c>
      <c r="X15">
        <v>598315873</v>
      </c>
      <c r="Y15">
        <v>5.75</v>
      </c>
      <c r="AA15">
        <v>0</v>
      </c>
      <c r="AB15">
        <v>17.57</v>
      </c>
      <c r="AC15">
        <v>0</v>
      </c>
      <c r="AD15">
        <v>0</v>
      </c>
      <c r="AE15">
        <v>0</v>
      </c>
      <c r="AF15">
        <v>3.5</v>
      </c>
      <c r="AG15">
        <v>0</v>
      </c>
      <c r="AH15">
        <v>0</v>
      </c>
      <c r="AI15">
        <v>1</v>
      </c>
      <c r="AJ15">
        <v>5.0199999999999996</v>
      </c>
      <c r="AK15">
        <v>33.18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4.5999999999999996</v>
      </c>
      <c r="AU15" t="s">
        <v>98</v>
      </c>
      <c r="AV15">
        <v>0</v>
      </c>
      <c r="AW15">
        <v>2</v>
      </c>
      <c r="AX15">
        <v>36145749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Y15*Source!I66</f>
        <v>37.231249999999996</v>
      </c>
      <c r="CY15">
        <f>AB15</f>
        <v>17.57</v>
      </c>
      <c r="CZ15">
        <f>AF15</f>
        <v>3.5</v>
      </c>
      <c r="DA15">
        <f>AJ15</f>
        <v>5.0199999999999996</v>
      </c>
      <c r="DB15">
        <f>ROUND((ROUND(AT15*CZ15,2)*1.25),6)</f>
        <v>20.125</v>
      </c>
      <c r="DC15">
        <f>ROUND((ROUND(AT15*AG15,2)*1.25),6)</f>
        <v>0</v>
      </c>
    </row>
    <row r="16" spans="1:107">
      <c r="A16">
        <f>ROW(Source!A66)</f>
        <v>66</v>
      </c>
      <c r="B16">
        <v>36145237</v>
      </c>
      <c r="C16">
        <v>36145744</v>
      </c>
      <c r="D16">
        <v>29174913</v>
      </c>
      <c r="E16">
        <v>1</v>
      </c>
      <c r="F16">
        <v>1</v>
      </c>
      <c r="G16">
        <v>1</v>
      </c>
      <c r="H16">
        <v>2</v>
      </c>
      <c r="I16" t="s">
        <v>252</v>
      </c>
      <c r="J16" t="s">
        <v>253</v>
      </c>
      <c r="K16" t="s">
        <v>254</v>
      </c>
      <c r="L16">
        <v>1368</v>
      </c>
      <c r="N16">
        <v>1011</v>
      </c>
      <c r="O16" t="s">
        <v>220</v>
      </c>
      <c r="P16" t="s">
        <v>220</v>
      </c>
      <c r="Q16">
        <v>1</v>
      </c>
      <c r="W16">
        <v>0</v>
      </c>
      <c r="X16">
        <v>458544584</v>
      </c>
      <c r="Y16">
        <v>0.11249999999999999</v>
      </c>
      <c r="AA16">
        <v>0</v>
      </c>
      <c r="AB16">
        <v>932.72</v>
      </c>
      <c r="AC16">
        <v>384.89</v>
      </c>
      <c r="AD16">
        <v>0</v>
      </c>
      <c r="AE16">
        <v>0</v>
      </c>
      <c r="AF16">
        <v>87.17</v>
      </c>
      <c r="AG16">
        <v>11.6</v>
      </c>
      <c r="AH16">
        <v>0</v>
      </c>
      <c r="AI16">
        <v>1</v>
      </c>
      <c r="AJ16">
        <v>10.7</v>
      </c>
      <c r="AK16">
        <v>33.18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0.09</v>
      </c>
      <c r="AU16" t="s">
        <v>98</v>
      </c>
      <c r="AV16">
        <v>0</v>
      </c>
      <c r="AW16">
        <v>2</v>
      </c>
      <c r="AX16">
        <v>36145750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Y16*Source!I66</f>
        <v>0.72843749999999985</v>
      </c>
      <c r="CY16">
        <f>AB16</f>
        <v>932.72</v>
      </c>
      <c r="CZ16">
        <f>AF16</f>
        <v>87.17</v>
      </c>
      <c r="DA16">
        <f>AJ16</f>
        <v>10.7</v>
      </c>
      <c r="DB16">
        <f>ROUND((ROUND(AT16*CZ16,2)*1.25),6)</f>
        <v>9.8125</v>
      </c>
      <c r="DC16">
        <f>ROUND((ROUND(AT16*AG16,2)*1.25),6)</f>
        <v>1.3</v>
      </c>
    </row>
    <row r="17" spans="1:107">
      <c r="A17">
        <f>ROW(Source!A66)</f>
        <v>66</v>
      </c>
      <c r="B17">
        <v>36145237</v>
      </c>
      <c r="C17">
        <v>36145744</v>
      </c>
      <c r="D17">
        <v>29107444</v>
      </c>
      <c r="E17">
        <v>1</v>
      </c>
      <c r="F17">
        <v>1</v>
      </c>
      <c r="G17">
        <v>1</v>
      </c>
      <c r="H17">
        <v>3</v>
      </c>
      <c r="I17" t="s">
        <v>255</v>
      </c>
      <c r="J17" t="s">
        <v>256</v>
      </c>
      <c r="K17" t="s">
        <v>257</v>
      </c>
      <c r="L17">
        <v>1346</v>
      </c>
      <c r="N17">
        <v>1009</v>
      </c>
      <c r="O17" t="s">
        <v>258</v>
      </c>
      <c r="P17" t="s">
        <v>258</v>
      </c>
      <c r="Q17">
        <v>1</v>
      </c>
      <c r="W17">
        <v>0</v>
      </c>
      <c r="X17">
        <v>-1984574147</v>
      </c>
      <c r="Y17">
        <v>29.94</v>
      </c>
      <c r="AA17">
        <v>55.54</v>
      </c>
      <c r="AB17">
        <v>0</v>
      </c>
      <c r="AC17">
        <v>0</v>
      </c>
      <c r="AD17">
        <v>0</v>
      </c>
      <c r="AE17">
        <v>6.09</v>
      </c>
      <c r="AF17">
        <v>0</v>
      </c>
      <c r="AG17">
        <v>0</v>
      </c>
      <c r="AH17">
        <v>0</v>
      </c>
      <c r="AI17">
        <v>9.1199999999999992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29.94</v>
      </c>
      <c r="AU17" t="s">
        <v>3</v>
      </c>
      <c r="AV17">
        <v>0</v>
      </c>
      <c r="AW17">
        <v>2</v>
      </c>
      <c r="AX17">
        <v>36145751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Y17*Source!I66</f>
        <v>193.86150000000001</v>
      </c>
      <c r="CY17">
        <f>AA17</f>
        <v>55.54</v>
      </c>
      <c r="CZ17">
        <f>AE17</f>
        <v>6.09</v>
      </c>
      <c r="DA17">
        <f>AI17</f>
        <v>9.1199999999999992</v>
      </c>
      <c r="DB17">
        <f>ROUND(ROUND(AT17*CZ17,2),6)</f>
        <v>182.33</v>
      </c>
      <c r="DC17">
        <f>ROUND(ROUND(AT17*AG17,2),6)</f>
        <v>0</v>
      </c>
    </row>
    <row r="18" spans="1:107">
      <c r="A18">
        <f>ROW(Source!A66)</f>
        <v>66</v>
      </c>
      <c r="B18">
        <v>36145237</v>
      </c>
      <c r="C18">
        <v>36145744</v>
      </c>
      <c r="D18">
        <v>0</v>
      </c>
      <c r="E18">
        <v>0</v>
      </c>
      <c r="F18">
        <v>1</v>
      </c>
      <c r="G18">
        <v>1</v>
      </c>
      <c r="H18">
        <v>3</v>
      </c>
      <c r="I18" t="s">
        <v>104</v>
      </c>
      <c r="J18" t="s">
        <v>3</v>
      </c>
      <c r="K18" t="s">
        <v>105</v>
      </c>
      <c r="L18">
        <v>0</v>
      </c>
      <c r="W18">
        <v>0</v>
      </c>
      <c r="X18">
        <v>-620086577</v>
      </c>
      <c r="Y18">
        <v>114</v>
      </c>
      <c r="AA18">
        <v>190</v>
      </c>
      <c r="AB18">
        <v>0</v>
      </c>
      <c r="AC18">
        <v>0</v>
      </c>
      <c r="AD18">
        <v>0</v>
      </c>
      <c r="AE18">
        <v>190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0</v>
      </c>
      <c r="AP18">
        <v>2</v>
      </c>
      <c r="AQ18">
        <v>0</v>
      </c>
      <c r="AR18">
        <v>0</v>
      </c>
      <c r="AS18" t="s">
        <v>3</v>
      </c>
      <c r="AT18">
        <v>114</v>
      </c>
      <c r="AU18" t="s">
        <v>3</v>
      </c>
      <c r="AV18">
        <v>0</v>
      </c>
      <c r="AW18">
        <v>1</v>
      </c>
      <c r="AX18">
        <v>-1</v>
      </c>
      <c r="AY18">
        <v>0</v>
      </c>
      <c r="AZ18">
        <v>0</v>
      </c>
      <c r="BA18" t="s">
        <v>3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Y18*Source!I66</f>
        <v>738.15</v>
      </c>
      <c r="CY18">
        <f>AA18</f>
        <v>190</v>
      </c>
      <c r="CZ18">
        <f>AE18</f>
        <v>190</v>
      </c>
      <c r="DA18">
        <f>AI18</f>
        <v>1</v>
      </c>
      <c r="DB18">
        <f>ROUND(ROUND(AT18*CZ18,2),6)</f>
        <v>21660</v>
      </c>
      <c r="DC18">
        <f>ROUND(ROUND(AT18*AG18,2),6)</f>
        <v>0</v>
      </c>
    </row>
    <row r="19" spans="1:107">
      <c r="A19">
        <f>ROW(Source!A66)</f>
        <v>66</v>
      </c>
      <c r="B19">
        <v>36145237</v>
      </c>
      <c r="C19">
        <v>36145744</v>
      </c>
      <c r="D19">
        <v>0</v>
      </c>
      <c r="E19">
        <v>0</v>
      </c>
      <c r="F19">
        <v>1</v>
      </c>
      <c r="G19">
        <v>1</v>
      </c>
      <c r="H19">
        <v>3</v>
      </c>
      <c r="I19" t="s">
        <v>104</v>
      </c>
      <c r="J19" t="s">
        <v>3</v>
      </c>
      <c r="K19" t="s">
        <v>108</v>
      </c>
      <c r="L19">
        <v>0</v>
      </c>
      <c r="W19">
        <v>0</v>
      </c>
      <c r="X19">
        <v>-1669006344</v>
      </c>
      <c r="Y19">
        <v>116</v>
      </c>
      <c r="AA19">
        <v>152</v>
      </c>
      <c r="AB19">
        <v>0</v>
      </c>
      <c r="AC19">
        <v>0</v>
      </c>
      <c r="AD19">
        <v>0</v>
      </c>
      <c r="AE19">
        <v>152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0</v>
      </c>
      <c r="AP19">
        <v>2</v>
      </c>
      <c r="AQ19">
        <v>0</v>
      </c>
      <c r="AR19">
        <v>0</v>
      </c>
      <c r="AS19" t="s">
        <v>3</v>
      </c>
      <c r="AT19">
        <v>116</v>
      </c>
      <c r="AU19" t="s">
        <v>3</v>
      </c>
      <c r="AV19">
        <v>0</v>
      </c>
      <c r="AW19">
        <v>1</v>
      </c>
      <c r="AX19">
        <v>-1</v>
      </c>
      <c r="AY19">
        <v>0</v>
      </c>
      <c r="AZ19">
        <v>0</v>
      </c>
      <c r="BA19" t="s">
        <v>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Y19*Source!I66</f>
        <v>751.09999999999991</v>
      </c>
      <c r="CY19">
        <f>AA19</f>
        <v>152</v>
      </c>
      <c r="CZ19">
        <f>AE19</f>
        <v>152</v>
      </c>
      <c r="DA19">
        <f>AI19</f>
        <v>1</v>
      </c>
      <c r="DB19">
        <f>ROUND(ROUND(AT19*CZ19,2),6)</f>
        <v>17632</v>
      </c>
      <c r="DC19">
        <f>ROUND(ROUND(AT19*AG19,2),6)</f>
        <v>0</v>
      </c>
    </row>
    <row r="20" spans="1:107">
      <c r="A20">
        <f>ROW(Source!A69)</f>
        <v>69</v>
      </c>
      <c r="B20">
        <v>36145237</v>
      </c>
      <c r="C20">
        <v>36145550</v>
      </c>
      <c r="D20">
        <v>18413230</v>
      </c>
      <c r="E20">
        <v>1</v>
      </c>
      <c r="F20">
        <v>1</v>
      </c>
      <c r="G20">
        <v>1</v>
      </c>
      <c r="H20">
        <v>1</v>
      </c>
      <c r="I20" t="s">
        <v>259</v>
      </c>
      <c r="J20" t="s">
        <v>3</v>
      </c>
      <c r="K20" t="s">
        <v>260</v>
      </c>
      <c r="L20">
        <v>1369</v>
      </c>
      <c r="N20">
        <v>1013</v>
      </c>
      <c r="O20" t="s">
        <v>216</v>
      </c>
      <c r="P20" t="s">
        <v>216</v>
      </c>
      <c r="Q20">
        <v>1</v>
      </c>
      <c r="W20">
        <v>0</v>
      </c>
      <c r="X20">
        <v>355262106</v>
      </c>
      <c r="Y20">
        <v>30.015000000000001</v>
      </c>
      <c r="AA20">
        <v>0</v>
      </c>
      <c r="AB20">
        <v>0</v>
      </c>
      <c r="AC20">
        <v>0</v>
      </c>
      <c r="AD20">
        <v>304.64</v>
      </c>
      <c r="AE20">
        <v>0</v>
      </c>
      <c r="AF20">
        <v>0</v>
      </c>
      <c r="AG20">
        <v>0</v>
      </c>
      <c r="AH20">
        <v>304.64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26.1</v>
      </c>
      <c r="AU20" t="s">
        <v>99</v>
      </c>
      <c r="AV20">
        <v>1</v>
      </c>
      <c r="AW20">
        <v>2</v>
      </c>
      <c r="AX20">
        <v>36145551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Y20*Source!I69</f>
        <v>12.006</v>
      </c>
      <c r="CY20">
        <f>AD20</f>
        <v>304.64</v>
      </c>
      <c r="CZ20">
        <f>AH20</f>
        <v>304.64</v>
      </c>
      <c r="DA20">
        <f>AL20</f>
        <v>1</v>
      </c>
      <c r="DB20">
        <f>ROUND((ROUND(AT20*CZ20,2)*1.15),6)</f>
        <v>9143.7649999999994</v>
      </c>
      <c r="DC20">
        <f>ROUND((ROUND(AT20*AG20,2)*1.15),6)</f>
        <v>0</v>
      </c>
    </row>
    <row r="21" spans="1:107">
      <c r="A21">
        <f>ROW(Source!A69)</f>
        <v>69</v>
      </c>
      <c r="B21">
        <v>36145237</v>
      </c>
      <c r="C21">
        <v>36145550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15</v>
      </c>
      <c r="J21" t="s">
        <v>3</v>
      </c>
      <c r="K21" t="s">
        <v>223</v>
      </c>
      <c r="L21">
        <v>608254</v>
      </c>
      <c r="N21">
        <v>1013</v>
      </c>
      <c r="O21" t="s">
        <v>224</v>
      </c>
      <c r="P21" t="s">
        <v>224</v>
      </c>
      <c r="Q21">
        <v>1</v>
      </c>
      <c r="W21">
        <v>0</v>
      </c>
      <c r="X21">
        <v>-185737400</v>
      </c>
      <c r="Y21">
        <v>0.3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0.24</v>
      </c>
      <c r="AU21" t="s">
        <v>98</v>
      </c>
      <c r="AV21">
        <v>2</v>
      </c>
      <c r="AW21">
        <v>2</v>
      </c>
      <c r="AX21">
        <v>36145552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Y21*Source!I69</f>
        <v>0.12</v>
      </c>
      <c r="CY21">
        <f>AD21</f>
        <v>0</v>
      </c>
      <c r="CZ21">
        <f>AH21</f>
        <v>0</v>
      </c>
      <c r="DA21">
        <f>AL21</f>
        <v>1</v>
      </c>
      <c r="DB21">
        <f>ROUND((ROUND(AT21*CZ21,2)*1.25),6)</f>
        <v>0</v>
      </c>
      <c r="DC21">
        <f>ROUND((ROUND(AT21*AG21,2)*1.25),6)</f>
        <v>0</v>
      </c>
    </row>
    <row r="22" spans="1:107">
      <c r="A22">
        <f>ROW(Source!A69)</f>
        <v>69</v>
      </c>
      <c r="B22">
        <v>36145237</v>
      </c>
      <c r="C22">
        <v>36145550</v>
      </c>
      <c r="D22">
        <v>29172268</v>
      </c>
      <c r="E22">
        <v>1</v>
      </c>
      <c r="F22">
        <v>1</v>
      </c>
      <c r="G22">
        <v>1</v>
      </c>
      <c r="H22">
        <v>2</v>
      </c>
      <c r="I22" t="s">
        <v>243</v>
      </c>
      <c r="J22" t="s">
        <v>244</v>
      </c>
      <c r="K22" t="s">
        <v>245</v>
      </c>
      <c r="L22">
        <v>1368</v>
      </c>
      <c r="N22">
        <v>1011</v>
      </c>
      <c r="O22" t="s">
        <v>220</v>
      </c>
      <c r="P22" t="s">
        <v>220</v>
      </c>
      <c r="Q22">
        <v>1</v>
      </c>
      <c r="W22">
        <v>0</v>
      </c>
      <c r="X22">
        <v>-1117034689</v>
      </c>
      <c r="Y22">
        <v>0.1875</v>
      </c>
      <c r="AA22">
        <v>0</v>
      </c>
      <c r="AB22">
        <v>889.06</v>
      </c>
      <c r="AC22">
        <v>447.93</v>
      </c>
      <c r="AD22">
        <v>0</v>
      </c>
      <c r="AE22">
        <v>0</v>
      </c>
      <c r="AF22">
        <v>86.4</v>
      </c>
      <c r="AG22">
        <v>13.5</v>
      </c>
      <c r="AH22">
        <v>0</v>
      </c>
      <c r="AI22">
        <v>1</v>
      </c>
      <c r="AJ22">
        <v>10.29</v>
      </c>
      <c r="AK22">
        <v>33.18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0.15</v>
      </c>
      <c r="AU22" t="s">
        <v>98</v>
      </c>
      <c r="AV22">
        <v>0</v>
      </c>
      <c r="AW22">
        <v>2</v>
      </c>
      <c r="AX22">
        <v>36145553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Y22*Source!I69</f>
        <v>7.5000000000000011E-2</v>
      </c>
      <c r="CY22">
        <f>AB22</f>
        <v>889.06</v>
      </c>
      <c r="CZ22">
        <f>AF22</f>
        <v>86.4</v>
      </c>
      <c r="DA22">
        <f>AJ22</f>
        <v>10.29</v>
      </c>
      <c r="DB22">
        <f>ROUND((ROUND(AT22*CZ22,2)*1.25),6)</f>
        <v>16.2</v>
      </c>
      <c r="DC22">
        <f>ROUND((ROUND(AT22*AG22,2)*1.25),6)</f>
        <v>2.5375000000000001</v>
      </c>
    </row>
    <row r="23" spans="1:107">
      <c r="A23">
        <f>ROW(Source!A69)</f>
        <v>69</v>
      </c>
      <c r="B23">
        <v>36145237</v>
      </c>
      <c r="C23">
        <v>36145550</v>
      </c>
      <c r="D23">
        <v>29172379</v>
      </c>
      <c r="E23">
        <v>1</v>
      </c>
      <c r="F23">
        <v>1</v>
      </c>
      <c r="G23">
        <v>1</v>
      </c>
      <c r="H23">
        <v>2</v>
      </c>
      <c r="I23" t="s">
        <v>246</v>
      </c>
      <c r="J23" t="s">
        <v>247</v>
      </c>
      <c r="K23" t="s">
        <v>248</v>
      </c>
      <c r="L23">
        <v>1368</v>
      </c>
      <c r="N23">
        <v>1011</v>
      </c>
      <c r="O23" t="s">
        <v>220</v>
      </c>
      <c r="P23" t="s">
        <v>220</v>
      </c>
      <c r="Q23">
        <v>1</v>
      </c>
      <c r="W23">
        <v>0</v>
      </c>
      <c r="X23">
        <v>-151619853</v>
      </c>
      <c r="Y23">
        <v>0.11249999999999999</v>
      </c>
      <c r="AA23">
        <v>0</v>
      </c>
      <c r="AB23">
        <v>1102.08</v>
      </c>
      <c r="AC23">
        <v>447.93</v>
      </c>
      <c r="AD23">
        <v>0</v>
      </c>
      <c r="AE23">
        <v>0</v>
      </c>
      <c r="AF23">
        <v>112</v>
      </c>
      <c r="AG23">
        <v>13.5</v>
      </c>
      <c r="AH23">
        <v>0</v>
      </c>
      <c r="AI23">
        <v>1</v>
      </c>
      <c r="AJ23">
        <v>9.84</v>
      </c>
      <c r="AK23">
        <v>33.18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0.09</v>
      </c>
      <c r="AU23" t="s">
        <v>98</v>
      </c>
      <c r="AV23">
        <v>0</v>
      </c>
      <c r="AW23">
        <v>2</v>
      </c>
      <c r="AX23">
        <v>36145554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Y23*Source!I69</f>
        <v>4.4999999999999998E-2</v>
      </c>
      <c r="CY23">
        <f>AB23</f>
        <v>1102.08</v>
      </c>
      <c r="CZ23">
        <f>AF23</f>
        <v>112</v>
      </c>
      <c r="DA23">
        <f>AJ23</f>
        <v>9.84</v>
      </c>
      <c r="DB23">
        <f>ROUND((ROUND(AT23*CZ23,2)*1.25),6)</f>
        <v>12.6</v>
      </c>
      <c r="DC23">
        <f>ROUND((ROUND(AT23*AG23,2)*1.25),6)</f>
        <v>1.5249999999999999</v>
      </c>
    </row>
    <row r="24" spans="1:107">
      <c r="A24">
        <f>ROW(Source!A69)</f>
        <v>69</v>
      </c>
      <c r="B24">
        <v>36145237</v>
      </c>
      <c r="C24">
        <v>36145550</v>
      </c>
      <c r="D24">
        <v>29173252</v>
      </c>
      <c r="E24">
        <v>1</v>
      </c>
      <c r="F24">
        <v>1</v>
      </c>
      <c r="G24">
        <v>1</v>
      </c>
      <c r="H24">
        <v>2</v>
      </c>
      <c r="I24" t="s">
        <v>261</v>
      </c>
      <c r="J24" t="s">
        <v>262</v>
      </c>
      <c r="K24" t="s">
        <v>263</v>
      </c>
      <c r="L24">
        <v>1368</v>
      </c>
      <c r="N24">
        <v>1011</v>
      </c>
      <c r="O24" t="s">
        <v>220</v>
      </c>
      <c r="P24" t="s">
        <v>220</v>
      </c>
      <c r="Q24">
        <v>1</v>
      </c>
      <c r="W24">
        <v>0</v>
      </c>
      <c r="X24">
        <v>1507480458</v>
      </c>
      <c r="Y24">
        <v>6.1750000000000007</v>
      </c>
      <c r="AA24">
        <v>0</v>
      </c>
      <c r="AB24">
        <v>124.8</v>
      </c>
      <c r="AC24">
        <v>0</v>
      </c>
      <c r="AD24">
        <v>0</v>
      </c>
      <c r="AE24">
        <v>0</v>
      </c>
      <c r="AF24">
        <v>30</v>
      </c>
      <c r="AG24">
        <v>0</v>
      </c>
      <c r="AH24">
        <v>0</v>
      </c>
      <c r="AI24">
        <v>1</v>
      </c>
      <c r="AJ24">
        <v>4.16</v>
      </c>
      <c r="AK24">
        <v>33.18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4.9400000000000004</v>
      </c>
      <c r="AU24" t="s">
        <v>98</v>
      </c>
      <c r="AV24">
        <v>0</v>
      </c>
      <c r="AW24">
        <v>2</v>
      </c>
      <c r="AX24">
        <v>36145555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Y24*Source!I69</f>
        <v>2.4700000000000006</v>
      </c>
      <c r="CY24">
        <f>AB24</f>
        <v>124.8</v>
      </c>
      <c r="CZ24">
        <f>AF24</f>
        <v>30</v>
      </c>
      <c r="DA24">
        <f>AJ24</f>
        <v>4.16</v>
      </c>
      <c r="DB24">
        <f>ROUND((ROUND(AT24*CZ24,2)*1.25),6)</f>
        <v>185.25</v>
      </c>
      <c r="DC24">
        <f>ROUND((ROUND(AT24*AG24,2)*1.25),6)</f>
        <v>0</v>
      </c>
    </row>
    <row r="25" spans="1:107">
      <c r="A25">
        <f>ROW(Source!A69)</f>
        <v>69</v>
      </c>
      <c r="B25">
        <v>36145237</v>
      </c>
      <c r="C25">
        <v>36145550</v>
      </c>
      <c r="D25">
        <v>29174913</v>
      </c>
      <c r="E25">
        <v>1</v>
      </c>
      <c r="F25">
        <v>1</v>
      </c>
      <c r="G25">
        <v>1</v>
      </c>
      <c r="H25">
        <v>2</v>
      </c>
      <c r="I25" t="s">
        <v>252</v>
      </c>
      <c r="J25" t="s">
        <v>253</v>
      </c>
      <c r="K25" t="s">
        <v>254</v>
      </c>
      <c r="L25">
        <v>1368</v>
      </c>
      <c r="N25">
        <v>1011</v>
      </c>
      <c r="O25" t="s">
        <v>220</v>
      </c>
      <c r="P25" t="s">
        <v>220</v>
      </c>
      <c r="Q25">
        <v>1</v>
      </c>
      <c r="W25">
        <v>0</v>
      </c>
      <c r="X25">
        <v>458544584</v>
      </c>
      <c r="Y25">
        <v>0.15</v>
      </c>
      <c r="AA25">
        <v>0</v>
      </c>
      <c r="AB25">
        <v>932.72</v>
      </c>
      <c r="AC25">
        <v>384.89</v>
      </c>
      <c r="AD25">
        <v>0</v>
      </c>
      <c r="AE25">
        <v>0</v>
      </c>
      <c r="AF25">
        <v>87.17</v>
      </c>
      <c r="AG25">
        <v>11.6</v>
      </c>
      <c r="AH25">
        <v>0</v>
      </c>
      <c r="AI25">
        <v>1</v>
      </c>
      <c r="AJ25">
        <v>10.7</v>
      </c>
      <c r="AK25">
        <v>33.18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0.12</v>
      </c>
      <c r="AU25" t="s">
        <v>98</v>
      </c>
      <c r="AV25">
        <v>0</v>
      </c>
      <c r="AW25">
        <v>2</v>
      </c>
      <c r="AX25">
        <v>36145556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Y25*Source!I69</f>
        <v>0.06</v>
      </c>
      <c r="CY25">
        <f>AB25</f>
        <v>932.72</v>
      </c>
      <c r="CZ25">
        <f>AF25</f>
        <v>87.17</v>
      </c>
      <c r="DA25">
        <f>AJ25</f>
        <v>10.7</v>
      </c>
      <c r="DB25">
        <f>ROUND((ROUND(AT25*CZ25,2)*1.25),6)</f>
        <v>13.074999999999999</v>
      </c>
      <c r="DC25">
        <f>ROUND((ROUND(AT25*AG25,2)*1.25),6)</f>
        <v>1.7375</v>
      </c>
    </row>
    <row r="26" spans="1:107">
      <c r="A26">
        <f>ROW(Source!A69)</f>
        <v>69</v>
      </c>
      <c r="B26">
        <v>36145237</v>
      </c>
      <c r="C26">
        <v>36145550</v>
      </c>
      <c r="D26">
        <v>29108442</v>
      </c>
      <c r="E26">
        <v>1</v>
      </c>
      <c r="F26">
        <v>1</v>
      </c>
      <c r="G26">
        <v>1</v>
      </c>
      <c r="H26">
        <v>3</v>
      </c>
      <c r="I26" t="s">
        <v>264</v>
      </c>
      <c r="J26" t="s">
        <v>265</v>
      </c>
      <c r="K26" t="s">
        <v>266</v>
      </c>
      <c r="L26">
        <v>1348</v>
      </c>
      <c r="N26">
        <v>1009</v>
      </c>
      <c r="O26" t="s">
        <v>91</v>
      </c>
      <c r="P26" t="s">
        <v>91</v>
      </c>
      <c r="Q26">
        <v>1000</v>
      </c>
      <c r="W26">
        <v>0</v>
      </c>
      <c r="X26">
        <v>-1355052668</v>
      </c>
      <c r="Y26">
        <v>0.60499999999999998</v>
      </c>
      <c r="AA26">
        <v>21696</v>
      </c>
      <c r="AB26">
        <v>0</v>
      </c>
      <c r="AC26">
        <v>0</v>
      </c>
      <c r="AD26">
        <v>0</v>
      </c>
      <c r="AE26">
        <v>3390</v>
      </c>
      <c r="AF26">
        <v>0</v>
      </c>
      <c r="AG26">
        <v>0</v>
      </c>
      <c r="AH26">
        <v>0</v>
      </c>
      <c r="AI26">
        <v>6.4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0.60499999999999998</v>
      </c>
      <c r="AU26" t="s">
        <v>3</v>
      </c>
      <c r="AV26">
        <v>0</v>
      </c>
      <c r="AW26">
        <v>2</v>
      </c>
      <c r="AX26">
        <v>36145557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Y26*Source!I69</f>
        <v>0.24199999999999999</v>
      </c>
      <c r="CY26">
        <f>AA26</f>
        <v>21696</v>
      </c>
      <c r="CZ26">
        <f>AE26</f>
        <v>3390</v>
      </c>
      <c r="DA26">
        <f>AI26</f>
        <v>6.4</v>
      </c>
      <c r="DB26">
        <f>ROUND(ROUND(AT26*CZ26,2),6)</f>
        <v>2050.9499999999998</v>
      </c>
      <c r="DC26">
        <f>ROUND(ROUND(AT26*AG26,2),6)</f>
        <v>0</v>
      </c>
    </row>
    <row r="27" spans="1:107">
      <c r="A27">
        <f>ROW(Source!A69)</f>
        <v>69</v>
      </c>
      <c r="B27">
        <v>36145237</v>
      </c>
      <c r="C27">
        <v>36145550</v>
      </c>
      <c r="D27">
        <v>29145157</v>
      </c>
      <c r="E27">
        <v>1</v>
      </c>
      <c r="F27">
        <v>1</v>
      </c>
      <c r="G27">
        <v>1</v>
      </c>
      <c r="H27">
        <v>3</v>
      </c>
      <c r="I27" t="s">
        <v>237</v>
      </c>
      <c r="J27" t="s">
        <v>238</v>
      </c>
      <c r="K27" t="s">
        <v>239</v>
      </c>
      <c r="L27">
        <v>1339</v>
      </c>
      <c r="N27">
        <v>1007</v>
      </c>
      <c r="O27" t="s">
        <v>240</v>
      </c>
      <c r="P27" t="s">
        <v>240</v>
      </c>
      <c r="Q27">
        <v>1</v>
      </c>
      <c r="W27">
        <v>0</v>
      </c>
      <c r="X27">
        <v>54517115</v>
      </c>
      <c r="Y27">
        <v>0.51</v>
      </c>
      <c r="AA27">
        <v>3233.16</v>
      </c>
      <c r="AB27">
        <v>0</v>
      </c>
      <c r="AC27">
        <v>0</v>
      </c>
      <c r="AD27">
        <v>0</v>
      </c>
      <c r="AE27">
        <v>519.79999999999995</v>
      </c>
      <c r="AF27">
        <v>0</v>
      </c>
      <c r="AG27">
        <v>0</v>
      </c>
      <c r="AH27">
        <v>0</v>
      </c>
      <c r="AI27">
        <v>6.22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0.51</v>
      </c>
      <c r="AU27" t="s">
        <v>3</v>
      </c>
      <c r="AV27">
        <v>0</v>
      </c>
      <c r="AW27">
        <v>2</v>
      </c>
      <c r="AX27">
        <v>36145559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Y27*Source!I69</f>
        <v>0.20400000000000001</v>
      </c>
      <c r="CY27">
        <f>AA27</f>
        <v>3233.16</v>
      </c>
      <c r="CZ27">
        <f>AE27</f>
        <v>519.79999999999995</v>
      </c>
      <c r="DA27">
        <f>AI27</f>
        <v>6.22</v>
      </c>
      <c r="DB27">
        <f>ROUND(ROUND(AT27*CZ27,2),6)</f>
        <v>265.10000000000002</v>
      </c>
      <c r="DC27">
        <f>ROUND(ROUND(AT27*AG27,2),6)</f>
        <v>0</v>
      </c>
    </row>
    <row r="28" spans="1:107">
      <c r="A28">
        <f>ROW(Source!A69)</f>
        <v>69</v>
      </c>
      <c r="B28">
        <v>36145237</v>
      </c>
      <c r="C28">
        <v>36145550</v>
      </c>
      <c r="D28">
        <v>0</v>
      </c>
      <c r="E28">
        <v>0</v>
      </c>
      <c r="F28">
        <v>1</v>
      </c>
      <c r="G28">
        <v>1</v>
      </c>
      <c r="H28">
        <v>3</v>
      </c>
      <c r="I28" t="s">
        <v>104</v>
      </c>
      <c r="J28" t="s">
        <v>3</v>
      </c>
      <c r="K28" t="s">
        <v>115</v>
      </c>
      <c r="L28">
        <v>0</v>
      </c>
      <c r="W28">
        <v>0</v>
      </c>
      <c r="X28">
        <v>273349590</v>
      </c>
      <c r="Y28">
        <v>252</v>
      </c>
      <c r="AA28">
        <v>190</v>
      </c>
      <c r="AB28">
        <v>0</v>
      </c>
      <c r="AC28">
        <v>0</v>
      </c>
      <c r="AD28">
        <v>0</v>
      </c>
      <c r="AE28">
        <v>190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2</v>
      </c>
      <c r="AQ28">
        <v>0</v>
      </c>
      <c r="AR28">
        <v>0</v>
      </c>
      <c r="AS28" t="s">
        <v>3</v>
      </c>
      <c r="AT28">
        <v>252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Y28*Source!I69</f>
        <v>100.80000000000001</v>
      </c>
      <c r="CY28">
        <f>AA28</f>
        <v>190</v>
      </c>
      <c r="CZ28">
        <f>AE28</f>
        <v>190</v>
      </c>
      <c r="DA28">
        <f>AI28</f>
        <v>1</v>
      </c>
      <c r="DB28">
        <f>ROUND(ROUND(AT28*CZ28,2),6)</f>
        <v>47880</v>
      </c>
      <c r="DC28">
        <f>ROUND(ROUND(AT28*AG28,2),6)</f>
        <v>0</v>
      </c>
    </row>
    <row r="29" spans="1:107">
      <c r="A29">
        <f>ROW(Source!A71)</f>
        <v>71</v>
      </c>
      <c r="B29">
        <v>36145237</v>
      </c>
      <c r="C29">
        <v>36145681</v>
      </c>
      <c r="D29">
        <v>18416200</v>
      </c>
      <c r="E29">
        <v>1</v>
      </c>
      <c r="F29">
        <v>1</v>
      </c>
      <c r="G29">
        <v>1</v>
      </c>
      <c r="H29">
        <v>1</v>
      </c>
      <c r="I29" t="s">
        <v>267</v>
      </c>
      <c r="J29" t="s">
        <v>3</v>
      </c>
      <c r="K29" t="s">
        <v>268</v>
      </c>
      <c r="L29">
        <v>1369</v>
      </c>
      <c r="N29">
        <v>1013</v>
      </c>
      <c r="O29" t="s">
        <v>216</v>
      </c>
      <c r="P29" t="s">
        <v>216</v>
      </c>
      <c r="Q29">
        <v>1</v>
      </c>
      <c r="W29">
        <v>0</v>
      </c>
      <c r="X29">
        <v>-1663475933</v>
      </c>
      <c r="Y29">
        <v>3.3809999999999998</v>
      </c>
      <c r="AA29">
        <v>0</v>
      </c>
      <c r="AB29">
        <v>0</v>
      </c>
      <c r="AC29">
        <v>0</v>
      </c>
      <c r="AD29">
        <v>323.89</v>
      </c>
      <c r="AE29">
        <v>0</v>
      </c>
      <c r="AF29">
        <v>0</v>
      </c>
      <c r="AG29">
        <v>0</v>
      </c>
      <c r="AH29">
        <v>323.89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2.94</v>
      </c>
      <c r="AU29" t="s">
        <v>99</v>
      </c>
      <c r="AV29">
        <v>1</v>
      </c>
      <c r="AW29">
        <v>2</v>
      </c>
      <c r="AX29">
        <v>36313820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Y29*Source!I71</f>
        <v>13.523999999999999</v>
      </c>
      <c r="CY29">
        <f>AD29</f>
        <v>323.89</v>
      </c>
      <c r="CZ29">
        <f>AH29</f>
        <v>323.89</v>
      </c>
      <c r="DA29">
        <f>AL29</f>
        <v>1</v>
      </c>
      <c r="DB29">
        <f>ROUND((ROUND(AT29*CZ29,2)*1.15),6)</f>
        <v>1095.076</v>
      </c>
      <c r="DC29">
        <f>ROUND((ROUND(AT29*AG29,2)*1.15),6)</f>
        <v>0</v>
      </c>
    </row>
    <row r="30" spans="1:107">
      <c r="A30">
        <f>ROW(Source!A71)</f>
        <v>71</v>
      </c>
      <c r="B30">
        <v>36145237</v>
      </c>
      <c r="C30">
        <v>36145681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15</v>
      </c>
      <c r="J30" t="s">
        <v>3</v>
      </c>
      <c r="K30" t="s">
        <v>223</v>
      </c>
      <c r="L30">
        <v>608254</v>
      </c>
      <c r="N30">
        <v>1013</v>
      </c>
      <c r="O30" t="s">
        <v>224</v>
      </c>
      <c r="P30" t="s">
        <v>224</v>
      </c>
      <c r="Q30">
        <v>1</v>
      </c>
      <c r="W30">
        <v>0</v>
      </c>
      <c r="X30">
        <v>-185737400</v>
      </c>
      <c r="Y30">
        <v>1.2500000000000001E-2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0.01</v>
      </c>
      <c r="AU30" t="s">
        <v>98</v>
      </c>
      <c r="AV30">
        <v>2</v>
      </c>
      <c r="AW30">
        <v>2</v>
      </c>
      <c r="AX30">
        <v>36313821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Y30*Source!I71</f>
        <v>0.05</v>
      </c>
      <c r="CY30">
        <f>AD30</f>
        <v>0</v>
      </c>
      <c r="CZ30">
        <f>AH30</f>
        <v>0</v>
      </c>
      <c r="DA30">
        <f>AL30</f>
        <v>1</v>
      </c>
      <c r="DB30">
        <f>ROUND((ROUND(AT30*CZ30,2)*1.25),6)</f>
        <v>0</v>
      </c>
      <c r="DC30">
        <f>ROUND((ROUND(AT30*AG30,2)*1.25),6)</f>
        <v>0</v>
      </c>
    </row>
    <row r="31" spans="1:107">
      <c r="A31">
        <f>ROW(Source!A71)</f>
        <v>71</v>
      </c>
      <c r="B31">
        <v>36145237</v>
      </c>
      <c r="C31">
        <v>36145681</v>
      </c>
      <c r="D31">
        <v>29172268</v>
      </c>
      <c r="E31">
        <v>1</v>
      </c>
      <c r="F31">
        <v>1</v>
      </c>
      <c r="G31">
        <v>1</v>
      </c>
      <c r="H31">
        <v>2</v>
      </c>
      <c r="I31" t="s">
        <v>243</v>
      </c>
      <c r="J31" t="s">
        <v>269</v>
      </c>
      <c r="K31" t="s">
        <v>245</v>
      </c>
      <c r="L31">
        <v>1368</v>
      </c>
      <c r="N31">
        <v>1011</v>
      </c>
      <c r="O31" t="s">
        <v>220</v>
      </c>
      <c r="P31" t="s">
        <v>220</v>
      </c>
      <c r="Q31">
        <v>1</v>
      </c>
      <c r="W31">
        <v>0</v>
      </c>
      <c r="X31">
        <v>-438066613</v>
      </c>
      <c r="Y31">
        <v>1.2500000000000001E-2</v>
      </c>
      <c r="AA31">
        <v>0</v>
      </c>
      <c r="AB31">
        <v>889.06</v>
      </c>
      <c r="AC31">
        <v>447.93</v>
      </c>
      <c r="AD31">
        <v>0</v>
      </c>
      <c r="AE31">
        <v>0</v>
      </c>
      <c r="AF31">
        <v>86.4</v>
      </c>
      <c r="AG31">
        <v>13.5</v>
      </c>
      <c r="AH31">
        <v>0</v>
      </c>
      <c r="AI31">
        <v>1</v>
      </c>
      <c r="AJ31">
        <v>10.29</v>
      </c>
      <c r="AK31">
        <v>33.18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0.01</v>
      </c>
      <c r="AU31" t="s">
        <v>98</v>
      </c>
      <c r="AV31">
        <v>0</v>
      </c>
      <c r="AW31">
        <v>2</v>
      </c>
      <c r="AX31">
        <v>36313822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Y31*Source!I71</f>
        <v>0.05</v>
      </c>
      <c r="CY31">
        <f>AB31</f>
        <v>889.06</v>
      </c>
      <c r="CZ31">
        <f>AF31</f>
        <v>86.4</v>
      </c>
      <c r="DA31">
        <f>AJ31</f>
        <v>10.29</v>
      </c>
      <c r="DB31">
        <f>ROUND((ROUND(AT31*CZ31,2)*1.25),6)</f>
        <v>1.075</v>
      </c>
      <c r="DC31">
        <f>ROUND((ROUND(AT31*AG31,2)*1.25),6)</f>
        <v>0.17499999999999999</v>
      </c>
    </row>
    <row r="32" spans="1:107">
      <c r="A32">
        <f>ROW(Source!A71)</f>
        <v>71</v>
      </c>
      <c r="B32">
        <v>36145237</v>
      </c>
      <c r="C32">
        <v>36145681</v>
      </c>
      <c r="D32">
        <v>29172657</v>
      </c>
      <c r="E32">
        <v>1</v>
      </c>
      <c r="F32">
        <v>1</v>
      </c>
      <c r="G32">
        <v>1</v>
      </c>
      <c r="H32">
        <v>2</v>
      </c>
      <c r="I32" t="s">
        <v>270</v>
      </c>
      <c r="J32" t="s">
        <v>271</v>
      </c>
      <c r="K32" t="s">
        <v>272</v>
      </c>
      <c r="L32">
        <v>1368</v>
      </c>
      <c r="N32">
        <v>1011</v>
      </c>
      <c r="O32" t="s">
        <v>220</v>
      </c>
      <c r="P32" t="s">
        <v>220</v>
      </c>
      <c r="Q32">
        <v>1</v>
      </c>
      <c r="W32">
        <v>0</v>
      </c>
      <c r="X32">
        <v>1474986261</v>
      </c>
      <c r="Y32">
        <v>2</v>
      </c>
      <c r="AA32">
        <v>0</v>
      </c>
      <c r="AB32">
        <v>60.26</v>
      </c>
      <c r="AC32">
        <v>0</v>
      </c>
      <c r="AD32">
        <v>0</v>
      </c>
      <c r="AE32">
        <v>0</v>
      </c>
      <c r="AF32">
        <v>8.1</v>
      </c>
      <c r="AG32">
        <v>0</v>
      </c>
      <c r="AH32">
        <v>0</v>
      </c>
      <c r="AI32">
        <v>1</v>
      </c>
      <c r="AJ32">
        <v>7.44</v>
      </c>
      <c r="AK32">
        <v>33.18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1.6</v>
      </c>
      <c r="AU32" t="s">
        <v>98</v>
      </c>
      <c r="AV32">
        <v>0</v>
      </c>
      <c r="AW32">
        <v>2</v>
      </c>
      <c r="AX32">
        <v>36313823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Y32*Source!I71</f>
        <v>8</v>
      </c>
      <c r="CY32">
        <f>AB32</f>
        <v>60.26</v>
      </c>
      <c r="CZ32">
        <f>AF32</f>
        <v>8.1</v>
      </c>
      <c r="DA32">
        <f>AJ32</f>
        <v>7.44</v>
      </c>
      <c r="DB32">
        <f>ROUND((ROUND(AT32*CZ32,2)*1.25),6)</f>
        <v>16.2</v>
      </c>
      <c r="DC32">
        <f>ROUND((ROUND(AT32*AG32,2)*1.25),6)</f>
        <v>0</v>
      </c>
    </row>
    <row r="33" spans="1:107">
      <c r="A33">
        <f>ROW(Source!A71)</f>
        <v>71</v>
      </c>
      <c r="B33">
        <v>36145237</v>
      </c>
      <c r="C33">
        <v>36145681</v>
      </c>
      <c r="D33">
        <v>29174913</v>
      </c>
      <c r="E33">
        <v>1</v>
      </c>
      <c r="F33">
        <v>1</v>
      </c>
      <c r="G33">
        <v>1</v>
      </c>
      <c r="H33">
        <v>2</v>
      </c>
      <c r="I33" t="s">
        <v>252</v>
      </c>
      <c r="J33" t="s">
        <v>273</v>
      </c>
      <c r="K33" t="s">
        <v>254</v>
      </c>
      <c r="L33">
        <v>1368</v>
      </c>
      <c r="N33">
        <v>1011</v>
      </c>
      <c r="O33" t="s">
        <v>220</v>
      </c>
      <c r="P33" t="s">
        <v>220</v>
      </c>
      <c r="Q33">
        <v>1</v>
      </c>
      <c r="W33">
        <v>0</v>
      </c>
      <c r="X33">
        <v>1230759911</v>
      </c>
      <c r="Y33">
        <v>1.2500000000000001E-2</v>
      </c>
      <c r="AA33">
        <v>0</v>
      </c>
      <c r="AB33">
        <v>932.72</v>
      </c>
      <c r="AC33">
        <v>384.89</v>
      </c>
      <c r="AD33">
        <v>0</v>
      </c>
      <c r="AE33">
        <v>0</v>
      </c>
      <c r="AF33">
        <v>87.17</v>
      </c>
      <c r="AG33">
        <v>11.6</v>
      </c>
      <c r="AH33">
        <v>0</v>
      </c>
      <c r="AI33">
        <v>1</v>
      </c>
      <c r="AJ33">
        <v>10.7</v>
      </c>
      <c r="AK33">
        <v>33.18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0.01</v>
      </c>
      <c r="AU33" t="s">
        <v>98</v>
      </c>
      <c r="AV33">
        <v>0</v>
      </c>
      <c r="AW33">
        <v>2</v>
      </c>
      <c r="AX33">
        <v>36313824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Y33*Source!I71</f>
        <v>0.05</v>
      </c>
      <c r="CY33">
        <f>AB33</f>
        <v>932.72</v>
      </c>
      <c r="CZ33">
        <f>AF33</f>
        <v>87.17</v>
      </c>
      <c r="DA33">
        <f>AJ33</f>
        <v>10.7</v>
      </c>
      <c r="DB33">
        <f>ROUND((ROUND(AT33*CZ33,2)*1.25),6)</f>
        <v>1.0874999999999999</v>
      </c>
      <c r="DC33">
        <f>ROUND((ROUND(AT33*AG33,2)*1.25),6)</f>
        <v>0.15</v>
      </c>
    </row>
    <row r="34" spans="1:107">
      <c r="A34">
        <f>ROW(Source!A71)</f>
        <v>71</v>
      </c>
      <c r="B34">
        <v>36145237</v>
      </c>
      <c r="C34">
        <v>36145681</v>
      </c>
      <c r="D34">
        <v>29107886</v>
      </c>
      <c r="E34">
        <v>1</v>
      </c>
      <c r="F34">
        <v>1</v>
      </c>
      <c r="G34">
        <v>1</v>
      </c>
      <c r="H34">
        <v>3</v>
      </c>
      <c r="I34" t="s">
        <v>274</v>
      </c>
      <c r="J34" t="s">
        <v>275</v>
      </c>
      <c r="K34" t="s">
        <v>276</v>
      </c>
      <c r="L34">
        <v>1348</v>
      </c>
      <c r="N34">
        <v>1009</v>
      </c>
      <c r="O34" t="s">
        <v>91</v>
      </c>
      <c r="P34" t="s">
        <v>91</v>
      </c>
      <c r="Q34">
        <v>1000</v>
      </c>
      <c r="W34">
        <v>0</v>
      </c>
      <c r="X34">
        <v>-1081944564</v>
      </c>
      <c r="Y34">
        <v>6.0000000000000002E-5</v>
      </c>
      <c r="AA34">
        <v>139038.85</v>
      </c>
      <c r="AB34">
        <v>0</v>
      </c>
      <c r="AC34">
        <v>0</v>
      </c>
      <c r="AD34">
        <v>0</v>
      </c>
      <c r="AE34">
        <v>30029.99</v>
      </c>
      <c r="AF34">
        <v>0</v>
      </c>
      <c r="AG34">
        <v>0</v>
      </c>
      <c r="AH34">
        <v>0</v>
      </c>
      <c r="AI34">
        <v>4.63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6.0000000000000002E-5</v>
      </c>
      <c r="AU34" t="s">
        <v>3</v>
      </c>
      <c r="AV34">
        <v>0</v>
      </c>
      <c r="AW34">
        <v>2</v>
      </c>
      <c r="AX34">
        <v>36313825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Y34*Source!I71</f>
        <v>2.4000000000000001E-4</v>
      </c>
      <c r="CY34">
        <f>AA34</f>
        <v>139038.85</v>
      </c>
      <c r="CZ34">
        <f>AE34</f>
        <v>30029.99</v>
      </c>
      <c r="DA34">
        <f>AI34</f>
        <v>4.63</v>
      </c>
      <c r="DB34">
        <f>ROUND(ROUND(AT34*CZ34,2),6)</f>
        <v>1.8</v>
      </c>
      <c r="DC34">
        <f>ROUND(ROUND(AT34*AG34,2),6)</f>
        <v>0</v>
      </c>
    </row>
    <row r="35" spans="1:107">
      <c r="A35">
        <f>ROW(Source!A71)</f>
        <v>71</v>
      </c>
      <c r="B35">
        <v>36145237</v>
      </c>
      <c r="C35">
        <v>36145681</v>
      </c>
      <c r="D35">
        <v>29109252</v>
      </c>
      <c r="E35">
        <v>1</v>
      </c>
      <c r="F35">
        <v>1</v>
      </c>
      <c r="G35">
        <v>1</v>
      </c>
      <c r="H35">
        <v>3</v>
      </c>
      <c r="I35" t="s">
        <v>277</v>
      </c>
      <c r="J35" t="s">
        <v>278</v>
      </c>
      <c r="K35" t="s">
        <v>279</v>
      </c>
      <c r="L35">
        <v>1348</v>
      </c>
      <c r="N35">
        <v>1009</v>
      </c>
      <c r="O35" t="s">
        <v>91</v>
      </c>
      <c r="P35" t="s">
        <v>91</v>
      </c>
      <c r="Q35">
        <v>1000</v>
      </c>
      <c r="W35">
        <v>0</v>
      </c>
      <c r="X35">
        <v>1748729848</v>
      </c>
      <c r="Y35">
        <v>1.6000000000000001E-4</v>
      </c>
      <c r="AA35">
        <v>27576.720000000001</v>
      </c>
      <c r="AB35">
        <v>0</v>
      </c>
      <c r="AC35">
        <v>0</v>
      </c>
      <c r="AD35">
        <v>0</v>
      </c>
      <c r="AE35">
        <v>1836</v>
      </c>
      <c r="AF35">
        <v>0</v>
      </c>
      <c r="AG35">
        <v>0</v>
      </c>
      <c r="AH35">
        <v>0</v>
      </c>
      <c r="AI35">
        <v>15.02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1.6000000000000001E-4</v>
      </c>
      <c r="AU35" t="s">
        <v>3</v>
      </c>
      <c r="AV35">
        <v>0</v>
      </c>
      <c r="AW35">
        <v>2</v>
      </c>
      <c r="AX35">
        <v>36313826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Y35*Source!I71</f>
        <v>6.4000000000000005E-4</v>
      </c>
      <c r="CY35">
        <f>AA35</f>
        <v>27576.720000000001</v>
      </c>
      <c r="CZ35">
        <f>AE35</f>
        <v>1836</v>
      </c>
      <c r="DA35">
        <f>AI35</f>
        <v>15.02</v>
      </c>
      <c r="DB35">
        <f>ROUND(ROUND(AT35*CZ35,2),6)</f>
        <v>0.28999999999999998</v>
      </c>
      <c r="DC35">
        <f>ROUND(ROUND(AT35*AG35,2),6)</f>
        <v>0</v>
      </c>
    </row>
    <row r="36" spans="1:107">
      <c r="A36">
        <f>ROW(Source!A71)</f>
        <v>71</v>
      </c>
      <c r="B36">
        <v>36145237</v>
      </c>
      <c r="C36">
        <v>36145681</v>
      </c>
      <c r="D36">
        <v>29113986</v>
      </c>
      <c r="E36">
        <v>1</v>
      </c>
      <c r="F36">
        <v>1</v>
      </c>
      <c r="G36">
        <v>1</v>
      </c>
      <c r="H36">
        <v>3</v>
      </c>
      <c r="I36" t="s">
        <v>280</v>
      </c>
      <c r="J36" t="s">
        <v>281</v>
      </c>
      <c r="K36" t="s">
        <v>282</v>
      </c>
      <c r="L36">
        <v>1348</v>
      </c>
      <c r="N36">
        <v>1009</v>
      </c>
      <c r="O36" t="s">
        <v>91</v>
      </c>
      <c r="P36" t="s">
        <v>91</v>
      </c>
      <c r="Q36">
        <v>1000</v>
      </c>
      <c r="W36">
        <v>0</v>
      </c>
      <c r="X36">
        <v>-2063358494</v>
      </c>
      <c r="Y36">
        <v>1.9000000000000001E-4</v>
      </c>
      <c r="AA36">
        <v>93568.86</v>
      </c>
      <c r="AB36">
        <v>0</v>
      </c>
      <c r="AC36">
        <v>0</v>
      </c>
      <c r="AD36">
        <v>0</v>
      </c>
      <c r="AE36">
        <v>10362</v>
      </c>
      <c r="AF36">
        <v>0</v>
      </c>
      <c r="AG36">
        <v>0</v>
      </c>
      <c r="AH36">
        <v>0</v>
      </c>
      <c r="AI36">
        <v>9.0299999999999994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1.9000000000000001E-4</v>
      </c>
      <c r="AU36" t="s">
        <v>3</v>
      </c>
      <c r="AV36">
        <v>0</v>
      </c>
      <c r="AW36">
        <v>2</v>
      </c>
      <c r="AX36">
        <v>36313827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Y36*Source!I71</f>
        <v>7.6000000000000004E-4</v>
      </c>
      <c r="CY36">
        <f>AA36</f>
        <v>93568.86</v>
      </c>
      <c r="CZ36">
        <f>AE36</f>
        <v>10362</v>
      </c>
      <c r="DA36">
        <f>AI36</f>
        <v>9.0299999999999994</v>
      </c>
      <c r="DB36">
        <f>ROUND(ROUND(AT36*CZ36,2),6)</f>
        <v>1.97</v>
      </c>
      <c r="DC36">
        <f>ROUND(ROUND(AT36*AG36,2),6)</f>
        <v>0</v>
      </c>
    </row>
    <row r="37" spans="1:107">
      <c r="A37">
        <f>ROW(Source!A71)</f>
        <v>71</v>
      </c>
      <c r="B37">
        <v>36145237</v>
      </c>
      <c r="C37">
        <v>36145681</v>
      </c>
      <c r="D37">
        <v>29137031</v>
      </c>
      <c r="E37">
        <v>1</v>
      </c>
      <c r="F37">
        <v>1</v>
      </c>
      <c r="G37">
        <v>1</v>
      </c>
      <c r="H37">
        <v>3</v>
      </c>
      <c r="I37" t="s">
        <v>283</v>
      </c>
      <c r="J37" t="s">
        <v>284</v>
      </c>
      <c r="K37" t="s">
        <v>285</v>
      </c>
      <c r="L37">
        <v>1354</v>
      </c>
      <c r="N37">
        <v>1010</v>
      </c>
      <c r="O37" t="s">
        <v>286</v>
      </c>
      <c r="P37" t="s">
        <v>286</v>
      </c>
      <c r="Q37">
        <v>1</v>
      </c>
      <c r="W37">
        <v>0</v>
      </c>
      <c r="X37">
        <v>-1856479342</v>
      </c>
      <c r="Y37">
        <v>1</v>
      </c>
      <c r="AA37">
        <v>2081.2600000000002</v>
      </c>
      <c r="AB37">
        <v>0</v>
      </c>
      <c r="AC37">
        <v>0</v>
      </c>
      <c r="AD37">
        <v>0</v>
      </c>
      <c r="AE37">
        <v>344.01</v>
      </c>
      <c r="AF37">
        <v>0</v>
      </c>
      <c r="AG37">
        <v>0</v>
      </c>
      <c r="AH37">
        <v>0</v>
      </c>
      <c r="AI37">
        <v>6.05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</v>
      </c>
      <c r="AU37" t="s">
        <v>3</v>
      </c>
      <c r="AV37">
        <v>0</v>
      </c>
      <c r="AW37">
        <v>2</v>
      </c>
      <c r="AX37">
        <v>36313828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Y37*Source!I71</f>
        <v>4</v>
      </c>
      <c r="CY37">
        <f>AA37</f>
        <v>2081.2600000000002</v>
      </c>
      <c r="CZ37">
        <f>AE37</f>
        <v>344.01</v>
      </c>
      <c r="DA37">
        <f>AI37</f>
        <v>6.05</v>
      </c>
      <c r="DB37">
        <f>ROUND(ROUND(AT37*CZ37,2),6)</f>
        <v>344.01</v>
      </c>
      <c r="DC37">
        <f>ROUND(ROUND(AT37*AG37,2),6)</f>
        <v>0</v>
      </c>
    </row>
    <row r="38" spans="1:107">
      <c r="A38">
        <f>ROW(Source!A72)</f>
        <v>72</v>
      </c>
      <c r="B38">
        <v>36145237</v>
      </c>
      <c r="C38">
        <v>36145682</v>
      </c>
      <c r="D38">
        <v>18407150</v>
      </c>
      <c r="E38">
        <v>1</v>
      </c>
      <c r="F38">
        <v>1</v>
      </c>
      <c r="G38">
        <v>1</v>
      </c>
      <c r="H38">
        <v>1</v>
      </c>
      <c r="I38" t="s">
        <v>287</v>
      </c>
      <c r="J38" t="s">
        <v>3</v>
      </c>
      <c r="K38" t="s">
        <v>288</v>
      </c>
      <c r="L38">
        <v>1369</v>
      </c>
      <c r="N38">
        <v>1013</v>
      </c>
      <c r="O38" t="s">
        <v>216</v>
      </c>
      <c r="P38" t="s">
        <v>216</v>
      </c>
      <c r="Q38">
        <v>1</v>
      </c>
      <c r="W38">
        <v>0</v>
      </c>
      <c r="X38">
        <v>-931037793</v>
      </c>
      <c r="Y38">
        <v>36.121499999999997</v>
      </c>
      <c r="AA38">
        <v>0</v>
      </c>
      <c r="AB38">
        <v>0</v>
      </c>
      <c r="AC38">
        <v>0</v>
      </c>
      <c r="AD38">
        <v>283.07</v>
      </c>
      <c r="AE38">
        <v>0</v>
      </c>
      <c r="AF38">
        <v>0</v>
      </c>
      <c r="AG38">
        <v>0</v>
      </c>
      <c r="AH38">
        <v>283.07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31.41</v>
      </c>
      <c r="AU38" t="s">
        <v>99</v>
      </c>
      <c r="AV38">
        <v>1</v>
      </c>
      <c r="AW38">
        <v>2</v>
      </c>
      <c r="AX38">
        <v>36145692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Y38*Source!I72</f>
        <v>39.733649999999997</v>
      </c>
      <c r="CY38">
        <f>AD38</f>
        <v>283.07</v>
      </c>
      <c r="CZ38">
        <f>AH38</f>
        <v>283.07</v>
      </c>
      <c r="DA38">
        <f>AL38</f>
        <v>1</v>
      </c>
      <c r="DB38">
        <f>ROUND((ROUND(AT38*CZ38,2)*1.15),6)</f>
        <v>10224.914500000001</v>
      </c>
      <c r="DC38">
        <f>ROUND((ROUND(AT38*AG38,2)*1.15),6)</f>
        <v>0</v>
      </c>
    </row>
    <row r="39" spans="1:107">
      <c r="A39">
        <f>ROW(Source!A72)</f>
        <v>72</v>
      </c>
      <c r="B39">
        <v>36145237</v>
      </c>
      <c r="C39">
        <v>36145682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15</v>
      </c>
      <c r="J39" t="s">
        <v>3</v>
      </c>
      <c r="K39" t="s">
        <v>223</v>
      </c>
      <c r="L39">
        <v>608254</v>
      </c>
      <c r="N39">
        <v>1013</v>
      </c>
      <c r="O39" t="s">
        <v>224</v>
      </c>
      <c r="P39" t="s">
        <v>224</v>
      </c>
      <c r="Q39">
        <v>1</v>
      </c>
      <c r="W39">
        <v>0</v>
      </c>
      <c r="X39">
        <v>-185737400</v>
      </c>
      <c r="Y39">
        <v>0.2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0.16</v>
      </c>
      <c r="AU39" t="s">
        <v>98</v>
      </c>
      <c r="AV39">
        <v>2</v>
      </c>
      <c r="AW39">
        <v>2</v>
      </c>
      <c r="AX39">
        <v>36145693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Y39*Source!I72</f>
        <v>0.22000000000000003</v>
      </c>
      <c r="CY39">
        <f>AD39</f>
        <v>0</v>
      </c>
      <c r="CZ39">
        <f>AH39</f>
        <v>0</v>
      </c>
      <c r="DA39">
        <f>AL39</f>
        <v>1</v>
      </c>
      <c r="DB39">
        <f>ROUND((ROUND(AT39*CZ39,2)*1.25),6)</f>
        <v>0</v>
      </c>
      <c r="DC39">
        <f>ROUND((ROUND(AT39*AG39,2)*1.25),6)</f>
        <v>0</v>
      </c>
    </row>
    <row r="40" spans="1:107">
      <c r="A40">
        <f>ROW(Source!A72)</f>
        <v>72</v>
      </c>
      <c r="B40">
        <v>36145237</v>
      </c>
      <c r="C40">
        <v>36145682</v>
      </c>
      <c r="D40">
        <v>29172268</v>
      </c>
      <c r="E40">
        <v>1</v>
      </c>
      <c r="F40">
        <v>1</v>
      </c>
      <c r="G40">
        <v>1</v>
      </c>
      <c r="H40">
        <v>2</v>
      </c>
      <c r="I40" t="s">
        <v>243</v>
      </c>
      <c r="J40" t="s">
        <v>244</v>
      </c>
      <c r="K40" t="s">
        <v>245</v>
      </c>
      <c r="L40">
        <v>1368</v>
      </c>
      <c r="N40">
        <v>1011</v>
      </c>
      <c r="O40" t="s">
        <v>220</v>
      </c>
      <c r="P40" t="s">
        <v>220</v>
      </c>
      <c r="Q40">
        <v>1</v>
      </c>
      <c r="W40">
        <v>0</v>
      </c>
      <c r="X40">
        <v>-1117034689</v>
      </c>
      <c r="Y40">
        <v>0.13750000000000001</v>
      </c>
      <c r="AA40">
        <v>0</v>
      </c>
      <c r="AB40">
        <v>889.06</v>
      </c>
      <c r="AC40">
        <v>447.93</v>
      </c>
      <c r="AD40">
        <v>0</v>
      </c>
      <c r="AE40">
        <v>0</v>
      </c>
      <c r="AF40">
        <v>86.4</v>
      </c>
      <c r="AG40">
        <v>13.5</v>
      </c>
      <c r="AH40">
        <v>0</v>
      </c>
      <c r="AI40">
        <v>1</v>
      </c>
      <c r="AJ40">
        <v>10.29</v>
      </c>
      <c r="AK40">
        <v>33.18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0.11</v>
      </c>
      <c r="AU40" t="s">
        <v>98</v>
      </c>
      <c r="AV40">
        <v>0</v>
      </c>
      <c r="AW40">
        <v>2</v>
      </c>
      <c r="AX40">
        <v>36145694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Y40*Source!I72</f>
        <v>0.15125000000000002</v>
      </c>
      <c r="CY40">
        <f>AB40</f>
        <v>889.06</v>
      </c>
      <c r="CZ40">
        <f>AF40</f>
        <v>86.4</v>
      </c>
      <c r="DA40">
        <f>AJ40</f>
        <v>10.29</v>
      </c>
      <c r="DB40">
        <f>ROUND((ROUND(AT40*CZ40,2)*1.25),6)</f>
        <v>11.875</v>
      </c>
      <c r="DC40">
        <f>ROUND((ROUND(AT40*AG40,2)*1.25),6)</f>
        <v>1.8625</v>
      </c>
    </row>
    <row r="41" spans="1:107">
      <c r="A41">
        <f>ROW(Source!A72)</f>
        <v>72</v>
      </c>
      <c r="B41">
        <v>36145237</v>
      </c>
      <c r="C41">
        <v>36145682</v>
      </c>
      <c r="D41">
        <v>29172379</v>
      </c>
      <c r="E41">
        <v>1</v>
      </c>
      <c r="F41">
        <v>1</v>
      </c>
      <c r="G41">
        <v>1</v>
      </c>
      <c r="H41">
        <v>2</v>
      </c>
      <c r="I41" t="s">
        <v>246</v>
      </c>
      <c r="J41" t="s">
        <v>247</v>
      </c>
      <c r="K41" t="s">
        <v>248</v>
      </c>
      <c r="L41">
        <v>1368</v>
      </c>
      <c r="N41">
        <v>1011</v>
      </c>
      <c r="O41" t="s">
        <v>220</v>
      </c>
      <c r="P41" t="s">
        <v>220</v>
      </c>
      <c r="Q41">
        <v>1</v>
      </c>
      <c r="W41">
        <v>0</v>
      </c>
      <c r="X41">
        <v>-151619853</v>
      </c>
      <c r="Y41">
        <v>6.25E-2</v>
      </c>
      <c r="AA41">
        <v>0</v>
      </c>
      <c r="AB41">
        <v>1102.08</v>
      </c>
      <c r="AC41">
        <v>447.93</v>
      </c>
      <c r="AD41">
        <v>0</v>
      </c>
      <c r="AE41">
        <v>0</v>
      </c>
      <c r="AF41">
        <v>112</v>
      </c>
      <c r="AG41">
        <v>13.5</v>
      </c>
      <c r="AH41">
        <v>0</v>
      </c>
      <c r="AI41">
        <v>1</v>
      </c>
      <c r="AJ41">
        <v>9.84</v>
      </c>
      <c r="AK41">
        <v>33.18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0.05</v>
      </c>
      <c r="AU41" t="s">
        <v>98</v>
      </c>
      <c r="AV41">
        <v>0</v>
      </c>
      <c r="AW41">
        <v>2</v>
      </c>
      <c r="AX41">
        <v>36145695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Y41*Source!I72</f>
        <v>6.8750000000000006E-2</v>
      </c>
      <c r="CY41">
        <f>AB41</f>
        <v>1102.08</v>
      </c>
      <c r="CZ41">
        <f>AF41</f>
        <v>112</v>
      </c>
      <c r="DA41">
        <f>AJ41</f>
        <v>9.84</v>
      </c>
      <c r="DB41">
        <f>ROUND((ROUND(AT41*CZ41,2)*1.25),6)</f>
        <v>7</v>
      </c>
      <c r="DC41">
        <f>ROUND((ROUND(AT41*AG41,2)*1.25),6)</f>
        <v>0.85</v>
      </c>
    </row>
    <row r="42" spans="1:107">
      <c r="A42">
        <f>ROW(Source!A72)</f>
        <v>72</v>
      </c>
      <c r="B42">
        <v>36145237</v>
      </c>
      <c r="C42">
        <v>36145682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252</v>
      </c>
      <c r="J42" t="s">
        <v>253</v>
      </c>
      <c r="K42" t="s">
        <v>254</v>
      </c>
      <c r="L42">
        <v>1368</v>
      </c>
      <c r="N42">
        <v>1011</v>
      </c>
      <c r="O42" t="s">
        <v>220</v>
      </c>
      <c r="P42" t="s">
        <v>220</v>
      </c>
      <c r="Q42">
        <v>1</v>
      </c>
      <c r="W42">
        <v>0</v>
      </c>
      <c r="X42">
        <v>458544584</v>
      </c>
      <c r="Y42">
        <v>0.11249999999999999</v>
      </c>
      <c r="AA42">
        <v>0</v>
      </c>
      <c r="AB42">
        <v>932.72</v>
      </c>
      <c r="AC42">
        <v>384.89</v>
      </c>
      <c r="AD42">
        <v>0</v>
      </c>
      <c r="AE42">
        <v>0</v>
      </c>
      <c r="AF42">
        <v>87.17</v>
      </c>
      <c r="AG42">
        <v>11.6</v>
      </c>
      <c r="AH42">
        <v>0</v>
      </c>
      <c r="AI42">
        <v>1</v>
      </c>
      <c r="AJ42">
        <v>10.7</v>
      </c>
      <c r="AK42">
        <v>33.18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0.09</v>
      </c>
      <c r="AU42" t="s">
        <v>98</v>
      </c>
      <c r="AV42">
        <v>0</v>
      </c>
      <c r="AW42">
        <v>2</v>
      </c>
      <c r="AX42">
        <v>36145696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Y42*Source!I72</f>
        <v>0.12375</v>
      </c>
      <c r="CY42">
        <f>AB42</f>
        <v>932.72</v>
      </c>
      <c r="CZ42">
        <f>AF42</f>
        <v>87.17</v>
      </c>
      <c r="DA42">
        <f>AJ42</f>
        <v>10.7</v>
      </c>
      <c r="DB42">
        <f>ROUND((ROUND(AT42*CZ42,2)*1.25),6)</f>
        <v>9.8125</v>
      </c>
      <c r="DC42">
        <f>ROUND((ROUND(AT42*AG42,2)*1.25),6)</f>
        <v>1.3</v>
      </c>
    </row>
    <row r="43" spans="1:107">
      <c r="A43">
        <f>ROW(Source!A72)</f>
        <v>72</v>
      </c>
      <c r="B43">
        <v>36145237</v>
      </c>
      <c r="C43">
        <v>36145682</v>
      </c>
      <c r="D43">
        <v>29114375</v>
      </c>
      <c r="E43">
        <v>1</v>
      </c>
      <c r="F43">
        <v>1</v>
      </c>
      <c r="G43">
        <v>1</v>
      </c>
      <c r="H43">
        <v>3</v>
      </c>
      <c r="I43" t="s">
        <v>289</v>
      </c>
      <c r="J43" t="s">
        <v>290</v>
      </c>
      <c r="K43" t="s">
        <v>291</v>
      </c>
      <c r="L43">
        <v>1348</v>
      </c>
      <c r="N43">
        <v>1009</v>
      </c>
      <c r="O43" t="s">
        <v>91</v>
      </c>
      <c r="P43" t="s">
        <v>91</v>
      </c>
      <c r="Q43">
        <v>1000</v>
      </c>
      <c r="W43">
        <v>0</v>
      </c>
      <c r="X43">
        <v>-967312260</v>
      </c>
      <c r="Y43">
        <v>3.8E-3</v>
      </c>
      <c r="AA43">
        <v>59051.54</v>
      </c>
      <c r="AB43">
        <v>0</v>
      </c>
      <c r="AC43">
        <v>0</v>
      </c>
      <c r="AD43">
        <v>0</v>
      </c>
      <c r="AE43">
        <v>11978</v>
      </c>
      <c r="AF43">
        <v>0</v>
      </c>
      <c r="AG43">
        <v>0</v>
      </c>
      <c r="AH43">
        <v>0</v>
      </c>
      <c r="AI43">
        <v>4.93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3.8E-3</v>
      </c>
      <c r="AU43" t="s">
        <v>3</v>
      </c>
      <c r="AV43">
        <v>0</v>
      </c>
      <c r="AW43">
        <v>2</v>
      </c>
      <c r="AX43">
        <v>36145697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Y43*Source!I72</f>
        <v>4.1800000000000006E-3</v>
      </c>
      <c r="CY43">
        <f>AA43</f>
        <v>59051.54</v>
      </c>
      <c r="CZ43">
        <f>AE43</f>
        <v>11978</v>
      </c>
      <c r="DA43">
        <f>AI43</f>
        <v>4.93</v>
      </c>
      <c r="DB43">
        <f>ROUND(ROUND(AT43*CZ43,2),6)</f>
        <v>45.52</v>
      </c>
      <c r="DC43">
        <f>ROUND(ROUND(AT43*AG43,2),6)</f>
        <v>0</v>
      </c>
    </row>
    <row r="44" spans="1:107">
      <c r="A44">
        <f>ROW(Source!A72)</f>
        <v>72</v>
      </c>
      <c r="B44">
        <v>36145237</v>
      </c>
      <c r="C44">
        <v>36145682</v>
      </c>
      <c r="D44">
        <v>29112731</v>
      </c>
      <c r="E44">
        <v>1</v>
      </c>
      <c r="F44">
        <v>1</v>
      </c>
      <c r="G44">
        <v>1</v>
      </c>
      <c r="H44">
        <v>3</v>
      </c>
      <c r="I44" t="s">
        <v>292</v>
      </c>
      <c r="J44" t="s">
        <v>293</v>
      </c>
      <c r="K44" t="s">
        <v>294</v>
      </c>
      <c r="L44">
        <v>1348</v>
      </c>
      <c r="N44">
        <v>1009</v>
      </c>
      <c r="O44" t="s">
        <v>91</v>
      </c>
      <c r="P44" t="s">
        <v>91</v>
      </c>
      <c r="Q44">
        <v>1000</v>
      </c>
      <c r="W44">
        <v>0</v>
      </c>
      <c r="X44">
        <v>1921846500</v>
      </c>
      <c r="Y44">
        <v>0.16900000000000001</v>
      </c>
      <c r="AA44">
        <v>34061.75</v>
      </c>
      <c r="AB44">
        <v>0</v>
      </c>
      <c r="AC44">
        <v>0</v>
      </c>
      <c r="AD44">
        <v>0</v>
      </c>
      <c r="AE44">
        <v>7976.99</v>
      </c>
      <c r="AF44">
        <v>0</v>
      </c>
      <c r="AG44">
        <v>0</v>
      </c>
      <c r="AH44">
        <v>0</v>
      </c>
      <c r="AI44">
        <v>4.2699999999999996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0.16900000000000001</v>
      </c>
      <c r="AU44" t="s">
        <v>3</v>
      </c>
      <c r="AV44">
        <v>0</v>
      </c>
      <c r="AW44">
        <v>2</v>
      </c>
      <c r="AX44">
        <v>36145698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Y44*Source!I72</f>
        <v>0.18590000000000004</v>
      </c>
      <c r="CY44">
        <f>AA44</f>
        <v>34061.75</v>
      </c>
      <c r="CZ44">
        <f>AE44</f>
        <v>7976.99</v>
      </c>
      <c r="DA44">
        <f>AI44</f>
        <v>4.2699999999999996</v>
      </c>
      <c r="DB44">
        <f>ROUND(ROUND(AT44*CZ44,2),6)</f>
        <v>1348.11</v>
      </c>
      <c r="DC44">
        <f>ROUND(ROUND(AT44*AG44,2),6)</f>
        <v>0</v>
      </c>
    </row>
    <row r="45" spans="1:107">
      <c r="A45">
        <f>ROW(Source!A72)</f>
        <v>72</v>
      </c>
      <c r="B45">
        <v>36145237</v>
      </c>
      <c r="C45">
        <v>36145682</v>
      </c>
      <c r="D45">
        <v>29113168</v>
      </c>
      <c r="E45">
        <v>1</v>
      </c>
      <c r="F45">
        <v>1</v>
      </c>
      <c r="G45">
        <v>1</v>
      </c>
      <c r="H45">
        <v>3</v>
      </c>
      <c r="I45" t="s">
        <v>295</v>
      </c>
      <c r="J45" t="s">
        <v>296</v>
      </c>
      <c r="K45" t="s">
        <v>297</v>
      </c>
      <c r="L45">
        <v>1348</v>
      </c>
      <c r="N45">
        <v>1009</v>
      </c>
      <c r="O45" t="s">
        <v>91</v>
      </c>
      <c r="P45" t="s">
        <v>91</v>
      </c>
      <c r="Q45">
        <v>1000</v>
      </c>
      <c r="W45">
        <v>0</v>
      </c>
      <c r="X45">
        <v>1229086252</v>
      </c>
      <c r="Y45">
        <v>0.45200000000000001</v>
      </c>
      <c r="AA45">
        <v>85568.08</v>
      </c>
      <c r="AB45">
        <v>0</v>
      </c>
      <c r="AC45">
        <v>0</v>
      </c>
      <c r="AD45">
        <v>0</v>
      </c>
      <c r="AE45">
        <v>11200.01</v>
      </c>
      <c r="AF45">
        <v>0</v>
      </c>
      <c r="AG45">
        <v>0</v>
      </c>
      <c r="AH45">
        <v>0</v>
      </c>
      <c r="AI45">
        <v>7.64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0.45200000000000001</v>
      </c>
      <c r="AU45" t="s">
        <v>3</v>
      </c>
      <c r="AV45">
        <v>0</v>
      </c>
      <c r="AW45">
        <v>2</v>
      </c>
      <c r="AX45">
        <v>36145699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Y45*Source!I72</f>
        <v>0.49720000000000003</v>
      </c>
      <c r="CY45">
        <f>AA45</f>
        <v>85568.08</v>
      </c>
      <c r="CZ45">
        <f>AE45</f>
        <v>11200.01</v>
      </c>
      <c r="DA45">
        <f>AI45</f>
        <v>7.64</v>
      </c>
      <c r="DB45">
        <f>ROUND(ROUND(AT45*CZ45,2),6)</f>
        <v>5062.3999999999996</v>
      </c>
      <c r="DC45">
        <f>ROUND(ROUND(AT45*AG45,2),6)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5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36145443</v>
      </c>
      <c r="C1">
        <v>36145442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214</v>
      </c>
      <c r="J1" t="s">
        <v>3</v>
      </c>
      <c r="K1" t="s">
        <v>215</v>
      </c>
      <c r="L1">
        <v>1369</v>
      </c>
      <c r="N1">
        <v>1013</v>
      </c>
      <c r="O1" t="s">
        <v>216</v>
      </c>
      <c r="P1" t="s">
        <v>216</v>
      </c>
      <c r="Q1">
        <v>1</v>
      </c>
      <c r="X1">
        <v>14.38</v>
      </c>
      <c r="Y1">
        <v>0</v>
      </c>
      <c r="Z1">
        <v>0</v>
      </c>
      <c r="AA1">
        <v>0</v>
      </c>
      <c r="AB1">
        <v>258.83999999999997</v>
      </c>
      <c r="AC1">
        <v>0</v>
      </c>
      <c r="AD1">
        <v>1</v>
      </c>
      <c r="AE1">
        <v>1</v>
      </c>
      <c r="AF1" t="s">
        <v>3</v>
      </c>
      <c r="AG1">
        <v>14.38</v>
      </c>
      <c r="AH1">
        <v>2</v>
      </c>
      <c r="AI1">
        <v>36145443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36145444</v>
      </c>
      <c r="C2">
        <v>36145442</v>
      </c>
      <c r="D2">
        <v>29172515</v>
      </c>
      <c r="E2">
        <v>1</v>
      </c>
      <c r="F2">
        <v>1</v>
      </c>
      <c r="G2">
        <v>1</v>
      </c>
      <c r="H2">
        <v>2</v>
      </c>
      <c r="I2" t="s">
        <v>217</v>
      </c>
      <c r="J2" t="s">
        <v>218</v>
      </c>
      <c r="K2" t="s">
        <v>219</v>
      </c>
      <c r="L2">
        <v>1368</v>
      </c>
      <c r="N2">
        <v>1011</v>
      </c>
      <c r="O2" t="s">
        <v>220</v>
      </c>
      <c r="P2" t="s">
        <v>220</v>
      </c>
      <c r="Q2">
        <v>1</v>
      </c>
      <c r="X2">
        <v>6.22</v>
      </c>
      <c r="Y2">
        <v>0</v>
      </c>
      <c r="Z2">
        <v>6.66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6.22</v>
      </c>
      <c r="AH2">
        <v>2</v>
      </c>
      <c r="AI2">
        <v>36145444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ROW(Source!A64)</f>
        <v>64</v>
      </c>
      <c r="B3">
        <v>36151065</v>
      </c>
      <c r="C3">
        <v>36151064</v>
      </c>
      <c r="D3">
        <v>18406785</v>
      </c>
      <c r="E3">
        <v>1</v>
      </c>
      <c r="F3">
        <v>1</v>
      </c>
      <c r="G3">
        <v>1</v>
      </c>
      <c r="H3">
        <v>1</v>
      </c>
      <c r="I3" t="s">
        <v>221</v>
      </c>
      <c r="J3" t="s">
        <v>3</v>
      </c>
      <c r="K3" t="s">
        <v>222</v>
      </c>
      <c r="L3">
        <v>1369</v>
      </c>
      <c r="N3">
        <v>1013</v>
      </c>
      <c r="O3" t="s">
        <v>216</v>
      </c>
      <c r="P3" t="s">
        <v>216</v>
      </c>
      <c r="Q3">
        <v>1</v>
      </c>
      <c r="X3">
        <v>129.9</v>
      </c>
      <c r="Y3">
        <v>0</v>
      </c>
      <c r="Z3">
        <v>0</v>
      </c>
      <c r="AA3">
        <v>0</v>
      </c>
      <c r="AB3">
        <v>294.02</v>
      </c>
      <c r="AC3">
        <v>0</v>
      </c>
      <c r="AD3">
        <v>1</v>
      </c>
      <c r="AE3">
        <v>1</v>
      </c>
      <c r="AF3" t="s">
        <v>3</v>
      </c>
      <c r="AG3">
        <v>129.9</v>
      </c>
      <c r="AH3">
        <v>2</v>
      </c>
      <c r="AI3">
        <v>36151065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ROW(Source!A64)</f>
        <v>64</v>
      </c>
      <c r="B4">
        <v>36151066</v>
      </c>
      <c r="C4">
        <v>36151064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15</v>
      </c>
      <c r="J4" t="s">
        <v>3</v>
      </c>
      <c r="K4" t="s">
        <v>223</v>
      </c>
      <c r="L4">
        <v>608254</v>
      </c>
      <c r="N4">
        <v>1013</v>
      </c>
      <c r="O4" t="s">
        <v>224</v>
      </c>
      <c r="P4" t="s">
        <v>224</v>
      </c>
      <c r="Q4">
        <v>1</v>
      </c>
      <c r="X4">
        <v>1.38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3</v>
      </c>
      <c r="AG4">
        <v>1.38</v>
      </c>
      <c r="AH4">
        <v>2</v>
      </c>
      <c r="AI4">
        <v>36151066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ROW(Source!A64)</f>
        <v>64</v>
      </c>
      <c r="B5">
        <v>36151067</v>
      </c>
      <c r="C5">
        <v>36151064</v>
      </c>
      <c r="D5">
        <v>29172513</v>
      </c>
      <c r="E5">
        <v>1</v>
      </c>
      <c r="F5">
        <v>1</v>
      </c>
      <c r="G5">
        <v>1</v>
      </c>
      <c r="H5">
        <v>2</v>
      </c>
      <c r="I5" t="s">
        <v>225</v>
      </c>
      <c r="J5" t="s">
        <v>226</v>
      </c>
      <c r="K5" t="s">
        <v>227</v>
      </c>
      <c r="L5">
        <v>1368</v>
      </c>
      <c r="N5">
        <v>1011</v>
      </c>
      <c r="O5" t="s">
        <v>220</v>
      </c>
      <c r="P5" t="s">
        <v>220</v>
      </c>
      <c r="Q5">
        <v>1</v>
      </c>
      <c r="X5">
        <v>2.1</v>
      </c>
      <c r="Y5">
        <v>0</v>
      </c>
      <c r="Z5">
        <v>1.7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2.1</v>
      </c>
      <c r="AH5">
        <v>2</v>
      </c>
      <c r="AI5">
        <v>36151067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ROW(Source!A64)</f>
        <v>64</v>
      </c>
      <c r="B6">
        <v>36151068</v>
      </c>
      <c r="C6">
        <v>36151064</v>
      </c>
      <c r="D6">
        <v>29172710</v>
      </c>
      <c r="E6">
        <v>1</v>
      </c>
      <c r="F6">
        <v>1</v>
      </c>
      <c r="G6">
        <v>1</v>
      </c>
      <c r="H6">
        <v>2</v>
      </c>
      <c r="I6" t="s">
        <v>228</v>
      </c>
      <c r="J6" t="s">
        <v>229</v>
      </c>
      <c r="K6" t="s">
        <v>230</v>
      </c>
      <c r="L6">
        <v>1368</v>
      </c>
      <c r="N6">
        <v>1011</v>
      </c>
      <c r="O6" t="s">
        <v>220</v>
      </c>
      <c r="P6" t="s">
        <v>220</v>
      </c>
      <c r="Q6">
        <v>1</v>
      </c>
      <c r="X6">
        <v>1.38</v>
      </c>
      <c r="Y6">
        <v>0</v>
      </c>
      <c r="Z6">
        <v>46.56</v>
      </c>
      <c r="AA6">
        <v>10.06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1.38</v>
      </c>
      <c r="AH6">
        <v>2</v>
      </c>
      <c r="AI6">
        <v>36151068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ROW(Source!A64)</f>
        <v>64</v>
      </c>
      <c r="B7">
        <v>36151069</v>
      </c>
      <c r="C7">
        <v>36151064</v>
      </c>
      <c r="D7">
        <v>29174533</v>
      </c>
      <c r="E7">
        <v>1</v>
      </c>
      <c r="F7">
        <v>1</v>
      </c>
      <c r="G7">
        <v>1</v>
      </c>
      <c r="H7">
        <v>2</v>
      </c>
      <c r="I7" t="s">
        <v>231</v>
      </c>
      <c r="J7" t="s">
        <v>232</v>
      </c>
      <c r="K7" t="s">
        <v>233</v>
      </c>
      <c r="L7">
        <v>1368</v>
      </c>
      <c r="N7">
        <v>1011</v>
      </c>
      <c r="O7" t="s">
        <v>220</v>
      </c>
      <c r="P7" t="s">
        <v>220</v>
      </c>
      <c r="Q7">
        <v>1</v>
      </c>
      <c r="X7">
        <v>1.38</v>
      </c>
      <c r="Y7">
        <v>0</v>
      </c>
      <c r="Z7">
        <v>1.53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1.38</v>
      </c>
      <c r="AH7">
        <v>2</v>
      </c>
      <c r="AI7">
        <v>36151069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ROW(Source!A64)</f>
        <v>64</v>
      </c>
      <c r="B8">
        <v>36151070</v>
      </c>
      <c r="C8">
        <v>36151064</v>
      </c>
      <c r="D8">
        <v>29109197</v>
      </c>
      <c r="E8">
        <v>1</v>
      </c>
      <c r="F8">
        <v>1</v>
      </c>
      <c r="G8">
        <v>1</v>
      </c>
      <c r="H8">
        <v>3</v>
      </c>
      <c r="I8" t="s">
        <v>234</v>
      </c>
      <c r="J8" t="s">
        <v>235</v>
      </c>
      <c r="K8" t="s">
        <v>236</v>
      </c>
      <c r="L8">
        <v>1348</v>
      </c>
      <c r="N8">
        <v>1009</v>
      </c>
      <c r="O8" t="s">
        <v>91</v>
      </c>
      <c r="P8" t="s">
        <v>91</v>
      </c>
      <c r="Q8">
        <v>1000</v>
      </c>
      <c r="X8">
        <v>2.1000000000000001E-2</v>
      </c>
      <c r="Y8">
        <v>412.01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2.1000000000000001E-2</v>
      </c>
      <c r="AH8">
        <v>2</v>
      </c>
      <c r="AI8">
        <v>36151070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ROW(Source!A64)</f>
        <v>64</v>
      </c>
      <c r="B9">
        <v>36151071</v>
      </c>
      <c r="C9">
        <v>36151064</v>
      </c>
      <c r="D9">
        <v>29145157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1339</v>
      </c>
      <c r="N9">
        <v>1007</v>
      </c>
      <c r="O9" t="s">
        <v>240</v>
      </c>
      <c r="P9" t="s">
        <v>240</v>
      </c>
      <c r="Q9">
        <v>1</v>
      </c>
      <c r="X9">
        <v>2.14</v>
      </c>
      <c r="Y9">
        <v>519.79999999999995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2.14</v>
      </c>
      <c r="AH9">
        <v>2</v>
      </c>
      <c r="AI9">
        <v>36151071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ROW(Source!A64)</f>
        <v>64</v>
      </c>
      <c r="B10">
        <v>36151072</v>
      </c>
      <c r="C10">
        <v>36151064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89</v>
      </c>
      <c r="J10" t="s">
        <v>92</v>
      </c>
      <c r="K10" t="s">
        <v>90</v>
      </c>
      <c r="L10">
        <v>1348</v>
      </c>
      <c r="N10">
        <v>1009</v>
      </c>
      <c r="O10" t="s">
        <v>91</v>
      </c>
      <c r="P10" t="s">
        <v>91</v>
      </c>
      <c r="Q10">
        <v>1000</v>
      </c>
      <c r="X10">
        <v>1.48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</v>
      </c>
      <c r="AG10">
        <v>1.48</v>
      </c>
      <c r="AH10">
        <v>2</v>
      </c>
      <c r="AI10">
        <v>36151072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ROW(Source!A66)</f>
        <v>66</v>
      </c>
      <c r="B11">
        <v>36145745</v>
      </c>
      <c r="C11">
        <v>36145744</v>
      </c>
      <c r="D11">
        <v>18407546</v>
      </c>
      <c r="E11">
        <v>1</v>
      </c>
      <c r="F11">
        <v>1</v>
      </c>
      <c r="G11">
        <v>1</v>
      </c>
      <c r="H11">
        <v>1</v>
      </c>
      <c r="I11" t="s">
        <v>241</v>
      </c>
      <c r="J11" t="s">
        <v>3</v>
      </c>
      <c r="K11" t="s">
        <v>242</v>
      </c>
      <c r="L11">
        <v>1369</v>
      </c>
      <c r="N11">
        <v>1013</v>
      </c>
      <c r="O11" t="s">
        <v>216</v>
      </c>
      <c r="P11" t="s">
        <v>216</v>
      </c>
      <c r="Q11">
        <v>1</v>
      </c>
      <c r="X11">
        <v>14.36</v>
      </c>
      <c r="Y11">
        <v>0</v>
      </c>
      <c r="Z11">
        <v>0</v>
      </c>
      <c r="AA11">
        <v>0</v>
      </c>
      <c r="AB11">
        <v>311.94</v>
      </c>
      <c r="AC11">
        <v>0</v>
      </c>
      <c r="AD11">
        <v>1</v>
      </c>
      <c r="AE11">
        <v>1</v>
      </c>
      <c r="AF11" t="s">
        <v>99</v>
      </c>
      <c r="AG11">
        <v>16.513999999999999</v>
      </c>
      <c r="AH11">
        <v>2</v>
      </c>
      <c r="AI11">
        <v>36145745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ROW(Source!A66)</f>
        <v>66</v>
      </c>
      <c r="B12">
        <v>36145746</v>
      </c>
      <c r="C12">
        <v>36145744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15</v>
      </c>
      <c r="J12" t="s">
        <v>3</v>
      </c>
      <c r="K12" t="s">
        <v>223</v>
      </c>
      <c r="L12">
        <v>608254</v>
      </c>
      <c r="N12">
        <v>1013</v>
      </c>
      <c r="O12" t="s">
        <v>224</v>
      </c>
      <c r="P12" t="s">
        <v>224</v>
      </c>
      <c r="Q12">
        <v>1</v>
      </c>
      <c r="X12">
        <v>0.2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98</v>
      </c>
      <c r="AG12">
        <v>0.25</v>
      </c>
      <c r="AH12">
        <v>2</v>
      </c>
      <c r="AI12">
        <v>36145746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ROW(Source!A66)</f>
        <v>66</v>
      </c>
      <c r="B13">
        <v>36145747</v>
      </c>
      <c r="C13">
        <v>36145744</v>
      </c>
      <c r="D13">
        <v>29172268</v>
      </c>
      <c r="E13">
        <v>1</v>
      </c>
      <c r="F13">
        <v>1</v>
      </c>
      <c r="G13">
        <v>1</v>
      </c>
      <c r="H13">
        <v>2</v>
      </c>
      <c r="I13" t="s">
        <v>243</v>
      </c>
      <c r="J13" t="s">
        <v>244</v>
      </c>
      <c r="K13" t="s">
        <v>245</v>
      </c>
      <c r="L13">
        <v>1368</v>
      </c>
      <c r="N13">
        <v>1011</v>
      </c>
      <c r="O13" t="s">
        <v>220</v>
      </c>
      <c r="P13" t="s">
        <v>220</v>
      </c>
      <c r="Q13">
        <v>1</v>
      </c>
      <c r="X13">
        <v>0.15</v>
      </c>
      <c r="Y13">
        <v>0</v>
      </c>
      <c r="Z13">
        <v>86.4</v>
      </c>
      <c r="AA13">
        <v>13.5</v>
      </c>
      <c r="AB13">
        <v>0</v>
      </c>
      <c r="AC13">
        <v>0</v>
      </c>
      <c r="AD13">
        <v>1</v>
      </c>
      <c r="AE13">
        <v>0</v>
      </c>
      <c r="AF13" t="s">
        <v>98</v>
      </c>
      <c r="AG13">
        <v>0.1875</v>
      </c>
      <c r="AH13">
        <v>2</v>
      </c>
      <c r="AI13">
        <v>36145747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ROW(Source!A66)</f>
        <v>66</v>
      </c>
      <c r="B14">
        <v>36145748</v>
      </c>
      <c r="C14">
        <v>36145744</v>
      </c>
      <c r="D14">
        <v>29172379</v>
      </c>
      <c r="E14">
        <v>1</v>
      </c>
      <c r="F14">
        <v>1</v>
      </c>
      <c r="G14">
        <v>1</v>
      </c>
      <c r="H14">
        <v>2</v>
      </c>
      <c r="I14" t="s">
        <v>246</v>
      </c>
      <c r="J14" t="s">
        <v>247</v>
      </c>
      <c r="K14" t="s">
        <v>248</v>
      </c>
      <c r="L14">
        <v>1368</v>
      </c>
      <c r="N14">
        <v>1011</v>
      </c>
      <c r="O14" t="s">
        <v>220</v>
      </c>
      <c r="P14" t="s">
        <v>220</v>
      </c>
      <c r="Q14">
        <v>1</v>
      </c>
      <c r="X14">
        <v>0.05</v>
      </c>
      <c r="Y14">
        <v>0</v>
      </c>
      <c r="Z14">
        <v>112</v>
      </c>
      <c r="AA14">
        <v>13.5</v>
      </c>
      <c r="AB14">
        <v>0</v>
      </c>
      <c r="AC14">
        <v>0</v>
      </c>
      <c r="AD14">
        <v>1</v>
      </c>
      <c r="AE14">
        <v>0</v>
      </c>
      <c r="AF14" t="s">
        <v>98</v>
      </c>
      <c r="AG14">
        <v>6.25E-2</v>
      </c>
      <c r="AH14">
        <v>2</v>
      </c>
      <c r="AI14">
        <v>36145748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ROW(Source!A66)</f>
        <v>66</v>
      </c>
      <c r="B15">
        <v>36145749</v>
      </c>
      <c r="C15">
        <v>36145744</v>
      </c>
      <c r="D15">
        <v>29173572</v>
      </c>
      <c r="E15">
        <v>1</v>
      </c>
      <c r="F15">
        <v>1</v>
      </c>
      <c r="G15">
        <v>1</v>
      </c>
      <c r="H15">
        <v>2</v>
      </c>
      <c r="I15" t="s">
        <v>249</v>
      </c>
      <c r="J15" t="s">
        <v>250</v>
      </c>
      <c r="K15" t="s">
        <v>251</v>
      </c>
      <c r="L15">
        <v>1368</v>
      </c>
      <c r="N15">
        <v>1011</v>
      </c>
      <c r="O15" t="s">
        <v>220</v>
      </c>
      <c r="P15" t="s">
        <v>220</v>
      </c>
      <c r="Q15">
        <v>1</v>
      </c>
      <c r="X15">
        <v>4.5999999999999996</v>
      </c>
      <c r="Y15">
        <v>0</v>
      </c>
      <c r="Z15">
        <v>3.5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98</v>
      </c>
      <c r="AG15">
        <v>5.75</v>
      </c>
      <c r="AH15">
        <v>2</v>
      </c>
      <c r="AI15">
        <v>36145749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ROW(Source!A66)</f>
        <v>66</v>
      </c>
      <c r="B16">
        <v>36145750</v>
      </c>
      <c r="C16">
        <v>36145744</v>
      </c>
      <c r="D16">
        <v>29174913</v>
      </c>
      <c r="E16">
        <v>1</v>
      </c>
      <c r="F16">
        <v>1</v>
      </c>
      <c r="G16">
        <v>1</v>
      </c>
      <c r="H16">
        <v>2</v>
      </c>
      <c r="I16" t="s">
        <v>252</v>
      </c>
      <c r="J16" t="s">
        <v>253</v>
      </c>
      <c r="K16" t="s">
        <v>254</v>
      </c>
      <c r="L16">
        <v>1368</v>
      </c>
      <c r="N16">
        <v>1011</v>
      </c>
      <c r="O16" t="s">
        <v>220</v>
      </c>
      <c r="P16" t="s">
        <v>220</v>
      </c>
      <c r="Q16">
        <v>1</v>
      </c>
      <c r="X16">
        <v>0.09</v>
      </c>
      <c r="Y16">
        <v>0</v>
      </c>
      <c r="Z16">
        <v>87.17</v>
      </c>
      <c r="AA16">
        <v>11.6</v>
      </c>
      <c r="AB16">
        <v>0</v>
      </c>
      <c r="AC16">
        <v>0</v>
      </c>
      <c r="AD16">
        <v>1</v>
      </c>
      <c r="AE16">
        <v>0</v>
      </c>
      <c r="AF16" t="s">
        <v>98</v>
      </c>
      <c r="AG16">
        <v>0.11249999999999999</v>
      </c>
      <c r="AH16">
        <v>2</v>
      </c>
      <c r="AI16">
        <v>36145750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ROW(Source!A66)</f>
        <v>66</v>
      </c>
      <c r="B17">
        <v>36145751</v>
      </c>
      <c r="C17">
        <v>36145744</v>
      </c>
      <c r="D17">
        <v>29107444</v>
      </c>
      <c r="E17">
        <v>1</v>
      </c>
      <c r="F17">
        <v>1</v>
      </c>
      <c r="G17">
        <v>1</v>
      </c>
      <c r="H17">
        <v>3</v>
      </c>
      <c r="I17" t="s">
        <v>255</v>
      </c>
      <c r="J17" t="s">
        <v>256</v>
      </c>
      <c r="K17" t="s">
        <v>257</v>
      </c>
      <c r="L17">
        <v>1346</v>
      </c>
      <c r="N17">
        <v>1009</v>
      </c>
      <c r="O17" t="s">
        <v>258</v>
      </c>
      <c r="P17" t="s">
        <v>258</v>
      </c>
      <c r="Q17">
        <v>1</v>
      </c>
      <c r="X17">
        <v>29.94</v>
      </c>
      <c r="Y17">
        <v>6.09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29.94</v>
      </c>
      <c r="AH17">
        <v>2</v>
      </c>
      <c r="AI17">
        <v>36145751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ROW(Source!A66)</f>
        <v>66</v>
      </c>
      <c r="B18">
        <v>36145752</v>
      </c>
      <c r="C18">
        <v>36145744</v>
      </c>
      <c r="D18">
        <v>29108764</v>
      </c>
      <c r="E18">
        <v>1</v>
      </c>
      <c r="F18">
        <v>1</v>
      </c>
      <c r="G18">
        <v>1</v>
      </c>
      <c r="H18">
        <v>3</v>
      </c>
      <c r="I18" t="s">
        <v>298</v>
      </c>
      <c r="J18" t="s">
        <v>299</v>
      </c>
      <c r="K18" t="s">
        <v>300</v>
      </c>
      <c r="L18">
        <v>1327</v>
      </c>
      <c r="N18">
        <v>1005</v>
      </c>
      <c r="O18" t="s">
        <v>301</v>
      </c>
      <c r="P18" t="s">
        <v>301</v>
      </c>
      <c r="Q18">
        <v>1</v>
      </c>
      <c r="X18">
        <v>114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3</v>
      </c>
      <c r="AG18">
        <v>114</v>
      </c>
      <c r="AH18">
        <v>3</v>
      </c>
      <c r="AI18">
        <v>-1</v>
      </c>
      <c r="AJ18" t="s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ROW(Source!A66)</f>
        <v>66</v>
      </c>
      <c r="B19">
        <v>36145753</v>
      </c>
      <c r="C19">
        <v>36145744</v>
      </c>
      <c r="D19">
        <v>29108765</v>
      </c>
      <c r="E19">
        <v>1</v>
      </c>
      <c r="F19">
        <v>1</v>
      </c>
      <c r="G19">
        <v>1</v>
      </c>
      <c r="H19">
        <v>3</v>
      </c>
      <c r="I19" t="s">
        <v>302</v>
      </c>
      <c r="J19" t="s">
        <v>303</v>
      </c>
      <c r="K19" t="s">
        <v>304</v>
      </c>
      <c r="L19">
        <v>1327</v>
      </c>
      <c r="N19">
        <v>1005</v>
      </c>
      <c r="O19" t="s">
        <v>301</v>
      </c>
      <c r="P19" t="s">
        <v>301</v>
      </c>
      <c r="Q19">
        <v>1</v>
      </c>
      <c r="X19">
        <v>116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116</v>
      </c>
      <c r="AH19">
        <v>3</v>
      </c>
      <c r="AI19">
        <v>-1</v>
      </c>
      <c r="AJ19" t="s">
        <v>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ROW(Source!A69)</f>
        <v>69</v>
      </c>
      <c r="B20">
        <v>36145551</v>
      </c>
      <c r="C20">
        <v>36145550</v>
      </c>
      <c r="D20">
        <v>18413230</v>
      </c>
      <c r="E20">
        <v>1</v>
      </c>
      <c r="F20">
        <v>1</v>
      </c>
      <c r="G20">
        <v>1</v>
      </c>
      <c r="H20">
        <v>1</v>
      </c>
      <c r="I20" t="s">
        <v>259</v>
      </c>
      <c r="J20" t="s">
        <v>3</v>
      </c>
      <c r="K20" t="s">
        <v>260</v>
      </c>
      <c r="L20">
        <v>1369</v>
      </c>
      <c r="N20">
        <v>1013</v>
      </c>
      <c r="O20" t="s">
        <v>216</v>
      </c>
      <c r="P20" t="s">
        <v>216</v>
      </c>
      <c r="Q20">
        <v>1</v>
      </c>
      <c r="X20">
        <v>26.1</v>
      </c>
      <c r="Y20">
        <v>0</v>
      </c>
      <c r="Z20">
        <v>0</v>
      </c>
      <c r="AA20">
        <v>0</v>
      </c>
      <c r="AB20">
        <v>304.64</v>
      </c>
      <c r="AC20">
        <v>0</v>
      </c>
      <c r="AD20">
        <v>1</v>
      </c>
      <c r="AE20">
        <v>1</v>
      </c>
      <c r="AF20" t="s">
        <v>99</v>
      </c>
      <c r="AG20">
        <v>30.015000000000001</v>
      </c>
      <c r="AH20">
        <v>2</v>
      </c>
      <c r="AI20">
        <v>36145551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ROW(Source!A69)</f>
        <v>69</v>
      </c>
      <c r="B21">
        <v>36145552</v>
      </c>
      <c r="C21">
        <v>36145550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15</v>
      </c>
      <c r="J21" t="s">
        <v>3</v>
      </c>
      <c r="K21" t="s">
        <v>223</v>
      </c>
      <c r="L21">
        <v>608254</v>
      </c>
      <c r="N21">
        <v>1013</v>
      </c>
      <c r="O21" t="s">
        <v>224</v>
      </c>
      <c r="P21" t="s">
        <v>224</v>
      </c>
      <c r="Q21">
        <v>1</v>
      </c>
      <c r="X21">
        <v>0.24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98</v>
      </c>
      <c r="AG21">
        <v>0.3</v>
      </c>
      <c r="AH21">
        <v>2</v>
      </c>
      <c r="AI21">
        <v>36145552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ROW(Source!A69)</f>
        <v>69</v>
      </c>
      <c r="B22">
        <v>36145553</v>
      </c>
      <c r="C22">
        <v>36145550</v>
      </c>
      <c r="D22">
        <v>29172268</v>
      </c>
      <c r="E22">
        <v>1</v>
      </c>
      <c r="F22">
        <v>1</v>
      </c>
      <c r="G22">
        <v>1</v>
      </c>
      <c r="H22">
        <v>2</v>
      </c>
      <c r="I22" t="s">
        <v>243</v>
      </c>
      <c r="J22" t="s">
        <v>244</v>
      </c>
      <c r="K22" t="s">
        <v>245</v>
      </c>
      <c r="L22">
        <v>1368</v>
      </c>
      <c r="N22">
        <v>1011</v>
      </c>
      <c r="O22" t="s">
        <v>220</v>
      </c>
      <c r="P22" t="s">
        <v>220</v>
      </c>
      <c r="Q22">
        <v>1</v>
      </c>
      <c r="X22">
        <v>0.15</v>
      </c>
      <c r="Y22">
        <v>0</v>
      </c>
      <c r="Z22">
        <v>86.4</v>
      </c>
      <c r="AA22">
        <v>13.5</v>
      </c>
      <c r="AB22">
        <v>0</v>
      </c>
      <c r="AC22">
        <v>0</v>
      </c>
      <c r="AD22">
        <v>1</v>
      </c>
      <c r="AE22">
        <v>0</v>
      </c>
      <c r="AF22" t="s">
        <v>98</v>
      </c>
      <c r="AG22">
        <v>0.1875</v>
      </c>
      <c r="AH22">
        <v>2</v>
      </c>
      <c r="AI22">
        <v>36145553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ROW(Source!A69)</f>
        <v>69</v>
      </c>
      <c r="B23">
        <v>36145554</v>
      </c>
      <c r="C23">
        <v>36145550</v>
      </c>
      <c r="D23">
        <v>29172379</v>
      </c>
      <c r="E23">
        <v>1</v>
      </c>
      <c r="F23">
        <v>1</v>
      </c>
      <c r="G23">
        <v>1</v>
      </c>
      <c r="H23">
        <v>2</v>
      </c>
      <c r="I23" t="s">
        <v>246</v>
      </c>
      <c r="J23" t="s">
        <v>247</v>
      </c>
      <c r="K23" t="s">
        <v>248</v>
      </c>
      <c r="L23">
        <v>1368</v>
      </c>
      <c r="N23">
        <v>1011</v>
      </c>
      <c r="O23" t="s">
        <v>220</v>
      </c>
      <c r="P23" t="s">
        <v>220</v>
      </c>
      <c r="Q23">
        <v>1</v>
      </c>
      <c r="X23">
        <v>0.09</v>
      </c>
      <c r="Y23">
        <v>0</v>
      </c>
      <c r="Z23">
        <v>112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98</v>
      </c>
      <c r="AG23">
        <v>0.11249999999999999</v>
      </c>
      <c r="AH23">
        <v>2</v>
      </c>
      <c r="AI23">
        <v>36145554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ROW(Source!A69)</f>
        <v>69</v>
      </c>
      <c r="B24">
        <v>36145555</v>
      </c>
      <c r="C24">
        <v>36145550</v>
      </c>
      <c r="D24">
        <v>29173252</v>
      </c>
      <c r="E24">
        <v>1</v>
      </c>
      <c r="F24">
        <v>1</v>
      </c>
      <c r="G24">
        <v>1</v>
      </c>
      <c r="H24">
        <v>2</v>
      </c>
      <c r="I24" t="s">
        <v>261</v>
      </c>
      <c r="J24" t="s">
        <v>262</v>
      </c>
      <c r="K24" t="s">
        <v>263</v>
      </c>
      <c r="L24">
        <v>1368</v>
      </c>
      <c r="N24">
        <v>1011</v>
      </c>
      <c r="O24" t="s">
        <v>220</v>
      </c>
      <c r="P24" t="s">
        <v>220</v>
      </c>
      <c r="Q24">
        <v>1</v>
      </c>
      <c r="X24">
        <v>4.9400000000000004</v>
      </c>
      <c r="Y24">
        <v>0</v>
      </c>
      <c r="Z24">
        <v>30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98</v>
      </c>
      <c r="AG24">
        <v>6.1750000000000007</v>
      </c>
      <c r="AH24">
        <v>2</v>
      </c>
      <c r="AI24">
        <v>36145555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ROW(Source!A69)</f>
        <v>69</v>
      </c>
      <c r="B25">
        <v>36145556</v>
      </c>
      <c r="C25">
        <v>36145550</v>
      </c>
      <c r="D25">
        <v>29174913</v>
      </c>
      <c r="E25">
        <v>1</v>
      </c>
      <c r="F25">
        <v>1</v>
      </c>
      <c r="G25">
        <v>1</v>
      </c>
      <c r="H25">
        <v>2</v>
      </c>
      <c r="I25" t="s">
        <v>252</v>
      </c>
      <c r="J25" t="s">
        <v>253</v>
      </c>
      <c r="K25" t="s">
        <v>254</v>
      </c>
      <c r="L25">
        <v>1368</v>
      </c>
      <c r="N25">
        <v>1011</v>
      </c>
      <c r="O25" t="s">
        <v>220</v>
      </c>
      <c r="P25" t="s">
        <v>220</v>
      </c>
      <c r="Q25">
        <v>1</v>
      </c>
      <c r="X25">
        <v>0.12</v>
      </c>
      <c r="Y25">
        <v>0</v>
      </c>
      <c r="Z25">
        <v>87.17</v>
      </c>
      <c r="AA25">
        <v>11.6</v>
      </c>
      <c r="AB25">
        <v>0</v>
      </c>
      <c r="AC25">
        <v>0</v>
      </c>
      <c r="AD25">
        <v>1</v>
      </c>
      <c r="AE25">
        <v>0</v>
      </c>
      <c r="AF25" t="s">
        <v>98</v>
      </c>
      <c r="AG25">
        <v>0.15</v>
      </c>
      <c r="AH25">
        <v>2</v>
      </c>
      <c r="AI25">
        <v>36145556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ROW(Source!A69)</f>
        <v>69</v>
      </c>
      <c r="B26">
        <v>36145557</v>
      </c>
      <c r="C26">
        <v>36145550</v>
      </c>
      <c r="D26">
        <v>29108442</v>
      </c>
      <c r="E26">
        <v>1</v>
      </c>
      <c r="F26">
        <v>1</v>
      </c>
      <c r="G26">
        <v>1</v>
      </c>
      <c r="H26">
        <v>3</v>
      </c>
      <c r="I26" t="s">
        <v>264</v>
      </c>
      <c r="J26" t="s">
        <v>265</v>
      </c>
      <c r="K26" t="s">
        <v>266</v>
      </c>
      <c r="L26">
        <v>1348</v>
      </c>
      <c r="N26">
        <v>1009</v>
      </c>
      <c r="O26" t="s">
        <v>91</v>
      </c>
      <c r="P26" t="s">
        <v>91</v>
      </c>
      <c r="Q26">
        <v>1000</v>
      </c>
      <c r="X26">
        <v>0.60499999999999998</v>
      </c>
      <c r="Y26">
        <v>3390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0.60499999999999998</v>
      </c>
      <c r="AH26">
        <v>2</v>
      </c>
      <c r="AI26">
        <v>36145557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ROW(Source!A69)</f>
        <v>69</v>
      </c>
      <c r="B27">
        <v>36145558</v>
      </c>
      <c r="C27">
        <v>36145550</v>
      </c>
      <c r="D27">
        <v>29108762</v>
      </c>
      <c r="E27">
        <v>1</v>
      </c>
      <c r="F27">
        <v>1</v>
      </c>
      <c r="G27">
        <v>1</v>
      </c>
      <c r="H27">
        <v>3</v>
      </c>
      <c r="I27" t="s">
        <v>305</v>
      </c>
      <c r="J27" t="s">
        <v>306</v>
      </c>
      <c r="K27" t="s">
        <v>307</v>
      </c>
      <c r="L27">
        <v>1327</v>
      </c>
      <c r="N27">
        <v>1005</v>
      </c>
      <c r="O27" t="s">
        <v>301</v>
      </c>
      <c r="P27" t="s">
        <v>301</v>
      </c>
      <c r="Q27">
        <v>1</v>
      </c>
      <c r="X27">
        <v>252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3</v>
      </c>
      <c r="AG27">
        <v>252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ROW(Source!A69)</f>
        <v>69</v>
      </c>
      <c r="B28">
        <v>36145559</v>
      </c>
      <c r="C28">
        <v>36145550</v>
      </c>
      <c r="D28">
        <v>29145157</v>
      </c>
      <c r="E28">
        <v>1</v>
      </c>
      <c r="F28">
        <v>1</v>
      </c>
      <c r="G28">
        <v>1</v>
      </c>
      <c r="H28">
        <v>3</v>
      </c>
      <c r="I28" t="s">
        <v>237</v>
      </c>
      <c r="J28" t="s">
        <v>238</v>
      </c>
      <c r="K28" t="s">
        <v>239</v>
      </c>
      <c r="L28">
        <v>1339</v>
      </c>
      <c r="N28">
        <v>1007</v>
      </c>
      <c r="O28" t="s">
        <v>240</v>
      </c>
      <c r="P28" t="s">
        <v>240</v>
      </c>
      <c r="Q28">
        <v>1</v>
      </c>
      <c r="X28">
        <v>0.51</v>
      </c>
      <c r="Y28">
        <v>519.79999999999995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0.51</v>
      </c>
      <c r="AH28">
        <v>2</v>
      </c>
      <c r="AI28">
        <v>36145559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ROW(Source!A71)</f>
        <v>71</v>
      </c>
      <c r="B29">
        <v>36313820</v>
      </c>
      <c r="C29">
        <v>36145681</v>
      </c>
      <c r="D29">
        <v>18416200</v>
      </c>
      <c r="E29">
        <v>1</v>
      </c>
      <c r="F29">
        <v>1</v>
      </c>
      <c r="G29">
        <v>1</v>
      </c>
      <c r="H29">
        <v>1</v>
      </c>
      <c r="I29" t="s">
        <v>267</v>
      </c>
      <c r="J29" t="s">
        <v>3</v>
      </c>
      <c r="K29" t="s">
        <v>268</v>
      </c>
      <c r="L29">
        <v>1369</v>
      </c>
      <c r="N29">
        <v>1013</v>
      </c>
      <c r="O29" t="s">
        <v>216</v>
      </c>
      <c r="P29" t="s">
        <v>216</v>
      </c>
      <c r="Q29">
        <v>1</v>
      </c>
      <c r="X29">
        <v>2.94</v>
      </c>
      <c r="Y29">
        <v>0</v>
      </c>
      <c r="Z29">
        <v>0</v>
      </c>
      <c r="AA29">
        <v>0</v>
      </c>
      <c r="AB29">
        <v>323.89</v>
      </c>
      <c r="AC29">
        <v>0</v>
      </c>
      <c r="AD29">
        <v>1</v>
      </c>
      <c r="AE29">
        <v>1</v>
      </c>
      <c r="AF29" t="s">
        <v>99</v>
      </c>
      <c r="AG29">
        <v>3.3809999999999998</v>
      </c>
      <c r="AH29">
        <v>2</v>
      </c>
      <c r="AI29">
        <v>36313820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ROW(Source!A71)</f>
        <v>71</v>
      </c>
      <c r="B30">
        <v>36313821</v>
      </c>
      <c r="C30">
        <v>36145681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15</v>
      </c>
      <c r="J30" t="s">
        <v>3</v>
      </c>
      <c r="K30" t="s">
        <v>223</v>
      </c>
      <c r="L30">
        <v>608254</v>
      </c>
      <c r="N30">
        <v>1013</v>
      </c>
      <c r="O30" t="s">
        <v>224</v>
      </c>
      <c r="P30" t="s">
        <v>224</v>
      </c>
      <c r="Q30">
        <v>1</v>
      </c>
      <c r="X30">
        <v>0.01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98</v>
      </c>
      <c r="AG30">
        <v>1.2500000000000001E-2</v>
      </c>
      <c r="AH30">
        <v>2</v>
      </c>
      <c r="AI30">
        <v>36313821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ROW(Source!A71)</f>
        <v>71</v>
      </c>
      <c r="B31">
        <v>36313822</v>
      </c>
      <c r="C31">
        <v>36145681</v>
      </c>
      <c r="D31">
        <v>29172268</v>
      </c>
      <c r="E31">
        <v>1</v>
      </c>
      <c r="F31">
        <v>1</v>
      </c>
      <c r="G31">
        <v>1</v>
      </c>
      <c r="H31">
        <v>2</v>
      </c>
      <c r="I31" t="s">
        <v>243</v>
      </c>
      <c r="J31" t="s">
        <v>269</v>
      </c>
      <c r="K31" t="s">
        <v>245</v>
      </c>
      <c r="L31">
        <v>1368</v>
      </c>
      <c r="N31">
        <v>1011</v>
      </c>
      <c r="O31" t="s">
        <v>220</v>
      </c>
      <c r="P31" t="s">
        <v>220</v>
      </c>
      <c r="Q31">
        <v>1</v>
      </c>
      <c r="X31">
        <v>0.01</v>
      </c>
      <c r="Y31">
        <v>0</v>
      </c>
      <c r="Z31">
        <v>86.4</v>
      </c>
      <c r="AA31">
        <v>13.5</v>
      </c>
      <c r="AB31">
        <v>0</v>
      </c>
      <c r="AC31">
        <v>0</v>
      </c>
      <c r="AD31">
        <v>1</v>
      </c>
      <c r="AE31">
        <v>0</v>
      </c>
      <c r="AF31" t="s">
        <v>98</v>
      </c>
      <c r="AG31">
        <v>1.2500000000000001E-2</v>
      </c>
      <c r="AH31">
        <v>2</v>
      </c>
      <c r="AI31">
        <v>36313822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ROW(Source!A71)</f>
        <v>71</v>
      </c>
      <c r="B32">
        <v>36313823</v>
      </c>
      <c r="C32">
        <v>36145681</v>
      </c>
      <c r="D32">
        <v>29172657</v>
      </c>
      <c r="E32">
        <v>1</v>
      </c>
      <c r="F32">
        <v>1</v>
      </c>
      <c r="G32">
        <v>1</v>
      </c>
      <c r="H32">
        <v>2</v>
      </c>
      <c r="I32" t="s">
        <v>270</v>
      </c>
      <c r="J32" t="s">
        <v>271</v>
      </c>
      <c r="K32" t="s">
        <v>272</v>
      </c>
      <c r="L32">
        <v>1368</v>
      </c>
      <c r="N32">
        <v>1011</v>
      </c>
      <c r="O32" t="s">
        <v>220</v>
      </c>
      <c r="P32" t="s">
        <v>220</v>
      </c>
      <c r="Q32">
        <v>1</v>
      </c>
      <c r="X32">
        <v>1.6</v>
      </c>
      <c r="Y32">
        <v>0</v>
      </c>
      <c r="Z32">
        <v>8.1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98</v>
      </c>
      <c r="AG32">
        <v>2</v>
      </c>
      <c r="AH32">
        <v>2</v>
      </c>
      <c r="AI32">
        <v>36313823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ROW(Source!A71)</f>
        <v>71</v>
      </c>
      <c r="B33">
        <v>36313824</v>
      </c>
      <c r="C33">
        <v>36145681</v>
      </c>
      <c r="D33">
        <v>29174913</v>
      </c>
      <c r="E33">
        <v>1</v>
      </c>
      <c r="F33">
        <v>1</v>
      </c>
      <c r="G33">
        <v>1</v>
      </c>
      <c r="H33">
        <v>2</v>
      </c>
      <c r="I33" t="s">
        <v>252</v>
      </c>
      <c r="J33" t="s">
        <v>273</v>
      </c>
      <c r="K33" t="s">
        <v>254</v>
      </c>
      <c r="L33">
        <v>1368</v>
      </c>
      <c r="N33">
        <v>1011</v>
      </c>
      <c r="O33" t="s">
        <v>220</v>
      </c>
      <c r="P33" t="s">
        <v>220</v>
      </c>
      <c r="Q33">
        <v>1</v>
      </c>
      <c r="X33">
        <v>0.01</v>
      </c>
      <c r="Y33">
        <v>0</v>
      </c>
      <c r="Z33">
        <v>87.17</v>
      </c>
      <c r="AA33">
        <v>11.6</v>
      </c>
      <c r="AB33">
        <v>0</v>
      </c>
      <c r="AC33">
        <v>0</v>
      </c>
      <c r="AD33">
        <v>1</v>
      </c>
      <c r="AE33">
        <v>0</v>
      </c>
      <c r="AF33" t="s">
        <v>98</v>
      </c>
      <c r="AG33">
        <v>1.2500000000000001E-2</v>
      </c>
      <c r="AH33">
        <v>2</v>
      </c>
      <c r="AI33">
        <v>36313824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ROW(Source!A71)</f>
        <v>71</v>
      </c>
      <c r="B34">
        <v>36313825</v>
      </c>
      <c r="C34">
        <v>36145681</v>
      </c>
      <c r="D34">
        <v>29107886</v>
      </c>
      <c r="E34">
        <v>1</v>
      </c>
      <c r="F34">
        <v>1</v>
      </c>
      <c r="G34">
        <v>1</v>
      </c>
      <c r="H34">
        <v>3</v>
      </c>
      <c r="I34" t="s">
        <v>274</v>
      </c>
      <c r="J34" t="s">
        <v>275</v>
      </c>
      <c r="K34" t="s">
        <v>276</v>
      </c>
      <c r="L34">
        <v>1348</v>
      </c>
      <c r="N34">
        <v>1009</v>
      </c>
      <c r="O34" t="s">
        <v>91</v>
      </c>
      <c r="P34" t="s">
        <v>91</v>
      </c>
      <c r="Q34">
        <v>1000</v>
      </c>
      <c r="X34">
        <v>6.0000000000000002E-5</v>
      </c>
      <c r="Y34">
        <v>30029.99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6.0000000000000002E-5</v>
      </c>
      <c r="AH34">
        <v>2</v>
      </c>
      <c r="AI34">
        <v>36313825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ROW(Source!A71)</f>
        <v>71</v>
      </c>
      <c r="B35">
        <v>36313826</v>
      </c>
      <c r="C35">
        <v>36145681</v>
      </c>
      <c r="D35">
        <v>29109252</v>
      </c>
      <c r="E35">
        <v>1</v>
      </c>
      <c r="F35">
        <v>1</v>
      </c>
      <c r="G35">
        <v>1</v>
      </c>
      <c r="H35">
        <v>3</v>
      </c>
      <c r="I35" t="s">
        <v>277</v>
      </c>
      <c r="J35" t="s">
        <v>278</v>
      </c>
      <c r="K35" t="s">
        <v>279</v>
      </c>
      <c r="L35">
        <v>1348</v>
      </c>
      <c r="N35">
        <v>1009</v>
      </c>
      <c r="O35" t="s">
        <v>91</v>
      </c>
      <c r="P35" t="s">
        <v>91</v>
      </c>
      <c r="Q35">
        <v>1000</v>
      </c>
      <c r="X35">
        <v>1.6000000000000001E-4</v>
      </c>
      <c r="Y35">
        <v>1836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1.6000000000000001E-4</v>
      </c>
      <c r="AH35">
        <v>2</v>
      </c>
      <c r="AI35">
        <v>36313826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ROW(Source!A71)</f>
        <v>71</v>
      </c>
      <c r="B36">
        <v>36313827</v>
      </c>
      <c r="C36">
        <v>36145681</v>
      </c>
      <c r="D36">
        <v>29113986</v>
      </c>
      <c r="E36">
        <v>1</v>
      </c>
      <c r="F36">
        <v>1</v>
      </c>
      <c r="G36">
        <v>1</v>
      </c>
      <c r="H36">
        <v>3</v>
      </c>
      <c r="I36" t="s">
        <v>280</v>
      </c>
      <c r="J36" t="s">
        <v>281</v>
      </c>
      <c r="K36" t="s">
        <v>282</v>
      </c>
      <c r="L36">
        <v>1348</v>
      </c>
      <c r="N36">
        <v>1009</v>
      </c>
      <c r="O36" t="s">
        <v>91</v>
      </c>
      <c r="P36" t="s">
        <v>91</v>
      </c>
      <c r="Q36">
        <v>1000</v>
      </c>
      <c r="X36">
        <v>1.9000000000000001E-4</v>
      </c>
      <c r="Y36">
        <v>10362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1.9000000000000001E-4</v>
      </c>
      <c r="AH36">
        <v>2</v>
      </c>
      <c r="AI36">
        <v>36313827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ROW(Source!A71)</f>
        <v>71</v>
      </c>
      <c r="B37">
        <v>36313828</v>
      </c>
      <c r="C37">
        <v>36145681</v>
      </c>
      <c r="D37">
        <v>29137031</v>
      </c>
      <c r="E37">
        <v>1</v>
      </c>
      <c r="F37">
        <v>1</v>
      </c>
      <c r="G37">
        <v>1</v>
      </c>
      <c r="H37">
        <v>3</v>
      </c>
      <c r="I37" t="s">
        <v>283</v>
      </c>
      <c r="J37" t="s">
        <v>284</v>
      </c>
      <c r="K37" t="s">
        <v>285</v>
      </c>
      <c r="L37">
        <v>1354</v>
      </c>
      <c r="N37">
        <v>1010</v>
      </c>
      <c r="O37" t="s">
        <v>286</v>
      </c>
      <c r="P37" t="s">
        <v>286</v>
      </c>
      <c r="Q37">
        <v>1</v>
      </c>
      <c r="X37">
        <v>1</v>
      </c>
      <c r="Y37">
        <v>344.01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</v>
      </c>
      <c r="AH37">
        <v>2</v>
      </c>
      <c r="AI37">
        <v>36313828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ROW(Source!A72)</f>
        <v>72</v>
      </c>
      <c r="B38">
        <v>36145692</v>
      </c>
      <c r="C38">
        <v>36145682</v>
      </c>
      <c r="D38">
        <v>18407150</v>
      </c>
      <c r="E38">
        <v>1</v>
      </c>
      <c r="F38">
        <v>1</v>
      </c>
      <c r="G38">
        <v>1</v>
      </c>
      <c r="H38">
        <v>1</v>
      </c>
      <c r="I38" t="s">
        <v>287</v>
      </c>
      <c r="J38" t="s">
        <v>3</v>
      </c>
      <c r="K38" t="s">
        <v>288</v>
      </c>
      <c r="L38">
        <v>1369</v>
      </c>
      <c r="N38">
        <v>1013</v>
      </c>
      <c r="O38" t="s">
        <v>216</v>
      </c>
      <c r="P38" t="s">
        <v>216</v>
      </c>
      <c r="Q38">
        <v>1</v>
      </c>
      <c r="X38">
        <v>31.41</v>
      </c>
      <c r="Y38">
        <v>0</v>
      </c>
      <c r="Z38">
        <v>0</v>
      </c>
      <c r="AA38">
        <v>0</v>
      </c>
      <c r="AB38">
        <v>283.07</v>
      </c>
      <c r="AC38">
        <v>0</v>
      </c>
      <c r="AD38">
        <v>1</v>
      </c>
      <c r="AE38">
        <v>1</v>
      </c>
      <c r="AF38" t="s">
        <v>99</v>
      </c>
      <c r="AG38">
        <v>36.121499999999997</v>
      </c>
      <c r="AH38">
        <v>2</v>
      </c>
      <c r="AI38">
        <v>36145692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ROW(Source!A72)</f>
        <v>72</v>
      </c>
      <c r="B39">
        <v>36145693</v>
      </c>
      <c r="C39">
        <v>36145682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15</v>
      </c>
      <c r="J39" t="s">
        <v>3</v>
      </c>
      <c r="K39" t="s">
        <v>223</v>
      </c>
      <c r="L39">
        <v>608254</v>
      </c>
      <c r="N39">
        <v>1013</v>
      </c>
      <c r="O39" t="s">
        <v>224</v>
      </c>
      <c r="P39" t="s">
        <v>224</v>
      </c>
      <c r="Q39">
        <v>1</v>
      </c>
      <c r="X39">
        <v>0.16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2</v>
      </c>
      <c r="AF39" t="s">
        <v>98</v>
      </c>
      <c r="AG39">
        <v>0.2</v>
      </c>
      <c r="AH39">
        <v>2</v>
      </c>
      <c r="AI39">
        <v>36145693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ROW(Source!A72)</f>
        <v>72</v>
      </c>
      <c r="B40">
        <v>36145694</v>
      </c>
      <c r="C40">
        <v>36145682</v>
      </c>
      <c r="D40">
        <v>29172268</v>
      </c>
      <c r="E40">
        <v>1</v>
      </c>
      <c r="F40">
        <v>1</v>
      </c>
      <c r="G40">
        <v>1</v>
      </c>
      <c r="H40">
        <v>2</v>
      </c>
      <c r="I40" t="s">
        <v>243</v>
      </c>
      <c r="J40" t="s">
        <v>244</v>
      </c>
      <c r="K40" t="s">
        <v>245</v>
      </c>
      <c r="L40">
        <v>1368</v>
      </c>
      <c r="N40">
        <v>1011</v>
      </c>
      <c r="O40" t="s">
        <v>220</v>
      </c>
      <c r="P40" t="s">
        <v>220</v>
      </c>
      <c r="Q40">
        <v>1</v>
      </c>
      <c r="X40">
        <v>0.11</v>
      </c>
      <c r="Y40">
        <v>0</v>
      </c>
      <c r="Z40">
        <v>86.4</v>
      </c>
      <c r="AA40">
        <v>13.5</v>
      </c>
      <c r="AB40">
        <v>0</v>
      </c>
      <c r="AC40">
        <v>0</v>
      </c>
      <c r="AD40">
        <v>1</v>
      </c>
      <c r="AE40">
        <v>0</v>
      </c>
      <c r="AF40" t="s">
        <v>98</v>
      </c>
      <c r="AG40">
        <v>0.13750000000000001</v>
      </c>
      <c r="AH40">
        <v>2</v>
      </c>
      <c r="AI40">
        <v>36145694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ROW(Source!A72)</f>
        <v>72</v>
      </c>
      <c r="B41">
        <v>36145695</v>
      </c>
      <c r="C41">
        <v>36145682</v>
      </c>
      <c r="D41">
        <v>29172379</v>
      </c>
      <c r="E41">
        <v>1</v>
      </c>
      <c r="F41">
        <v>1</v>
      </c>
      <c r="G41">
        <v>1</v>
      </c>
      <c r="H41">
        <v>2</v>
      </c>
      <c r="I41" t="s">
        <v>246</v>
      </c>
      <c r="J41" t="s">
        <v>247</v>
      </c>
      <c r="K41" t="s">
        <v>248</v>
      </c>
      <c r="L41">
        <v>1368</v>
      </c>
      <c r="N41">
        <v>1011</v>
      </c>
      <c r="O41" t="s">
        <v>220</v>
      </c>
      <c r="P41" t="s">
        <v>220</v>
      </c>
      <c r="Q41">
        <v>1</v>
      </c>
      <c r="X41">
        <v>0.05</v>
      </c>
      <c r="Y41">
        <v>0</v>
      </c>
      <c r="Z41">
        <v>112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98</v>
      </c>
      <c r="AG41">
        <v>6.25E-2</v>
      </c>
      <c r="AH41">
        <v>2</v>
      </c>
      <c r="AI41">
        <v>36145695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ROW(Source!A72)</f>
        <v>72</v>
      </c>
      <c r="B42">
        <v>36145696</v>
      </c>
      <c r="C42">
        <v>36145682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252</v>
      </c>
      <c r="J42" t="s">
        <v>253</v>
      </c>
      <c r="K42" t="s">
        <v>254</v>
      </c>
      <c r="L42">
        <v>1368</v>
      </c>
      <c r="N42">
        <v>1011</v>
      </c>
      <c r="O42" t="s">
        <v>220</v>
      </c>
      <c r="P42" t="s">
        <v>220</v>
      </c>
      <c r="Q42">
        <v>1</v>
      </c>
      <c r="X42">
        <v>0.09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98</v>
      </c>
      <c r="AG42">
        <v>0.11249999999999999</v>
      </c>
      <c r="AH42">
        <v>2</v>
      </c>
      <c r="AI42">
        <v>36145696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ROW(Source!A72)</f>
        <v>72</v>
      </c>
      <c r="B43">
        <v>36145697</v>
      </c>
      <c r="C43">
        <v>36145682</v>
      </c>
      <c r="D43">
        <v>29114375</v>
      </c>
      <c r="E43">
        <v>1</v>
      </c>
      <c r="F43">
        <v>1</v>
      </c>
      <c r="G43">
        <v>1</v>
      </c>
      <c r="H43">
        <v>3</v>
      </c>
      <c r="I43" t="s">
        <v>289</v>
      </c>
      <c r="J43" t="s">
        <v>290</v>
      </c>
      <c r="K43" t="s">
        <v>291</v>
      </c>
      <c r="L43">
        <v>1348</v>
      </c>
      <c r="N43">
        <v>1009</v>
      </c>
      <c r="O43" t="s">
        <v>91</v>
      </c>
      <c r="P43" t="s">
        <v>91</v>
      </c>
      <c r="Q43">
        <v>1000</v>
      </c>
      <c r="X43">
        <v>3.8E-3</v>
      </c>
      <c r="Y43">
        <v>11978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3.8E-3</v>
      </c>
      <c r="AH43">
        <v>2</v>
      </c>
      <c r="AI43">
        <v>36145697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ROW(Source!A72)</f>
        <v>72</v>
      </c>
      <c r="B44">
        <v>36145698</v>
      </c>
      <c r="C44">
        <v>36145682</v>
      </c>
      <c r="D44">
        <v>29112731</v>
      </c>
      <c r="E44">
        <v>1</v>
      </c>
      <c r="F44">
        <v>1</v>
      </c>
      <c r="G44">
        <v>1</v>
      </c>
      <c r="H44">
        <v>3</v>
      </c>
      <c r="I44" t="s">
        <v>292</v>
      </c>
      <c r="J44" t="s">
        <v>293</v>
      </c>
      <c r="K44" t="s">
        <v>294</v>
      </c>
      <c r="L44">
        <v>1348</v>
      </c>
      <c r="N44">
        <v>1009</v>
      </c>
      <c r="O44" t="s">
        <v>91</v>
      </c>
      <c r="P44" t="s">
        <v>91</v>
      </c>
      <c r="Q44">
        <v>1000</v>
      </c>
      <c r="X44">
        <v>0.16900000000000001</v>
      </c>
      <c r="Y44">
        <v>7976.99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0.16900000000000001</v>
      </c>
      <c r="AH44">
        <v>2</v>
      </c>
      <c r="AI44">
        <v>36145698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ROW(Source!A72)</f>
        <v>72</v>
      </c>
      <c r="B45">
        <v>36145699</v>
      </c>
      <c r="C45">
        <v>36145682</v>
      </c>
      <c r="D45">
        <v>29113168</v>
      </c>
      <c r="E45">
        <v>1</v>
      </c>
      <c r="F45">
        <v>1</v>
      </c>
      <c r="G45">
        <v>1</v>
      </c>
      <c r="H45">
        <v>3</v>
      </c>
      <c r="I45" t="s">
        <v>295</v>
      </c>
      <c r="J45" t="s">
        <v>296</v>
      </c>
      <c r="K45" t="s">
        <v>297</v>
      </c>
      <c r="L45">
        <v>1348</v>
      </c>
      <c r="N45">
        <v>1009</v>
      </c>
      <c r="O45" t="s">
        <v>91</v>
      </c>
      <c r="P45" t="s">
        <v>91</v>
      </c>
      <c r="Q45">
        <v>1000</v>
      </c>
      <c r="X45">
        <v>0.45200000000000001</v>
      </c>
      <c r="Y45">
        <v>11200.01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0.45200000000000001</v>
      </c>
      <c r="AH45">
        <v>2</v>
      </c>
      <c r="AI45">
        <v>36145699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2021-05-17T06:44:15Z</dcterms:created>
  <dcterms:modified xsi:type="dcterms:W3CDTF">2021-05-17T06:50:04Z</dcterms:modified>
</cp:coreProperties>
</file>