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0" windowHeight="1185"/>
  </bookViews>
  <sheets>
    <sheet name="Смета 12 гр. ТЕР МО" sheetId="5" r:id="rId1"/>
    <sheet name="Дефектная ведомость" sheetId="6" r:id="rId2"/>
    <sheet name="Source" sheetId="1" state="hidden" r:id="rId3"/>
    <sheet name="SourceObSm" sheetId="2" state="hidden" r:id="rId4"/>
    <sheet name="SmtRes" sheetId="3" state="hidden" r:id="rId5"/>
    <sheet name="EtalonRes" sheetId="4" state="hidden" r:id="rId6"/>
  </sheets>
  <definedNames>
    <definedName name="_xlnm.Print_Titles" localSheetId="1">'Дефектная ведомость'!$9:$9</definedName>
    <definedName name="_xlnm.Print_Titles" localSheetId="0">'Смета 12 гр. ТЕР МО'!$40:$40</definedName>
    <definedName name="_xlnm.Print_Area" localSheetId="1">'Дефектная ведомость'!$A$1:$E$29</definedName>
    <definedName name="_xlnm.Print_Area" localSheetId="0">'Смета 12 гр. ТЕР МО'!$A$1:$L$126</definedName>
  </definedNames>
  <calcPr calcId="125725"/>
</workbook>
</file>

<file path=xl/calcChain.xml><?xml version="1.0" encoding="utf-8"?>
<calcChain xmlns="http://schemas.openxmlformats.org/spreadsheetml/2006/main">
  <c r="D24" i="6"/>
  <c r="C24"/>
  <c r="B24"/>
  <c r="A24"/>
  <c r="D23"/>
  <c r="C23"/>
  <c r="B23"/>
  <c r="A23"/>
  <c r="D22"/>
  <c r="C22"/>
  <c r="B22"/>
  <c r="A22"/>
  <c r="D21"/>
  <c r="C21"/>
  <c r="B21"/>
  <c r="A21"/>
  <c r="D20"/>
  <c r="C20"/>
  <c r="B20"/>
  <c r="A20"/>
  <c r="A19"/>
  <c r="D18"/>
  <c r="C18"/>
  <c r="B18"/>
  <c r="A18"/>
  <c r="D17"/>
  <c r="C17"/>
  <c r="B17"/>
  <c r="A17"/>
  <c r="D16"/>
  <c r="C16"/>
  <c r="B16"/>
  <c r="A16"/>
  <c r="D15"/>
  <c r="C15"/>
  <c r="B15"/>
  <c r="A15"/>
  <c r="D14"/>
  <c r="C14"/>
  <c r="B14"/>
  <c r="A14"/>
  <c r="D13"/>
  <c r="C13"/>
  <c r="B13"/>
  <c r="A13"/>
  <c r="D12"/>
  <c r="C12"/>
  <c r="B12"/>
  <c r="A12"/>
  <c r="D11"/>
  <c r="C11"/>
  <c r="B11"/>
  <c r="A11"/>
  <c r="A10"/>
  <c r="A3"/>
  <c r="A2"/>
  <c r="AF112" i="5"/>
  <c r="I124"/>
  <c r="I121"/>
  <c r="I118"/>
  <c r="D124"/>
  <c r="D121"/>
  <c r="D118"/>
  <c r="C115"/>
  <c r="C114"/>
  <c r="A112"/>
  <c r="A108"/>
  <c r="A104"/>
  <c r="Q102"/>
  <c r="L102"/>
  <c r="Z102"/>
  <c r="Y102"/>
  <c r="X102"/>
  <c r="K101"/>
  <c r="J102" s="1"/>
  <c r="P102" s="1"/>
  <c r="J101"/>
  <c r="H101"/>
  <c r="G102" s="1"/>
  <c r="O102" s="1"/>
  <c r="G101"/>
  <c r="F101"/>
  <c r="V100"/>
  <c r="T100"/>
  <c r="U100"/>
  <c r="S100"/>
  <c r="F100"/>
  <c r="E100"/>
  <c r="D100"/>
  <c r="I100"/>
  <c r="C100"/>
  <c r="B100"/>
  <c r="A100"/>
  <c r="Q99"/>
  <c r="L99"/>
  <c r="Z99"/>
  <c r="Y99"/>
  <c r="X99"/>
  <c r="K98"/>
  <c r="J99" s="1"/>
  <c r="P99" s="1"/>
  <c r="J98"/>
  <c r="H98"/>
  <c r="G99" s="1"/>
  <c r="O99" s="1"/>
  <c r="G98"/>
  <c r="F98"/>
  <c r="V97"/>
  <c r="T97"/>
  <c r="U97"/>
  <c r="S97"/>
  <c r="F97"/>
  <c r="E97"/>
  <c r="D97"/>
  <c r="I97"/>
  <c r="C97"/>
  <c r="B97"/>
  <c r="A97"/>
  <c r="Q96"/>
  <c r="L96"/>
  <c r="Z96"/>
  <c r="Y96"/>
  <c r="W96"/>
  <c r="K95"/>
  <c r="J95"/>
  <c r="Z95"/>
  <c r="Y95"/>
  <c r="W95"/>
  <c r="H95"/>
  <c r="X95" s="1"/>
  <c r="F95"/>
  <c r="V95"/>
  <c r="T95"/>
  <c r="U95"/>
  <c r="S95"/>
  <c r="E95"/>
  <c r="D95"/>
  <c r="C95"/>
  <c r="B95"/>
  <c r="A95"/>
  <c r="L94"/>
  <c r="G94"/>
  <c r="E94"/>
  <c r="J93"/>
  <c r="E93"/>
  <c r="J92"/>
  <c r="E92"/>
  <c r="K91"/>
  <c r="J91"/>
  <c r="H91"/>
  <c r="G91"/>
  <c r="F91"/>
  <c r="K90"/>
  <c r="J90"/>
  <c r="H90"/>
  <c r="R90" s="1"/>
  <c r="G90"/>
  <c r="F90"/>
  <c r="K89"/>
  <c r="J89"/>
  <c r="H89"/>
  <c r="G89"/>
  <c r="F89"/>
  <c r="K88"/>
  <c r="J88"/>
  <c r="R88"/>
  <c r="H88"/>
  <c r="G88"/>
  <c r="F88"/>
  <c r="C87"/>
  <c r="V86"/>
  <c r="K93" s="1"/>
  <c r="T86"/>
  <c r="K92" s="1"/>
  <c r="U86"/>
  <c r="H93" s="1"/>
  <c r="S86"/>
  <c r="H92" s="1"/>
  <c r="F86"/>
  <c r="E86"/>
  <c r="D86"/>
  <c r="I86"/>
  <c r="C86"/>
  <c r="B86"/>
  <c r="A86"/>
  <c r="Q85"/>
  <c r="L104" s="1"/>
  <c r="L85"/>
  <c r="Z85"/>
  <c r="Y85"/>
  <c r="X85"/>
  <c r="L84"/>
  <c r="G84"/>
  <c r="E84"/>
  <c r="J83"/>
  <c r="F83"/>
  <c r="E83"/>
  <c r="J82"/>
  <c r="F82"/>
  <c r="E82"/>
  <c r="K81"/>
  <c r="J81"/>
  <c r="H81"/>
  <c r="G81"/>
  <c r="F81"/>
  <c r="K80"/>
  <c r="J80"/>
  <c r="R80"/>
  <c r="H80"/>
  <c r="G80"/>
  <c r="F80"/>
  <c r="K79"/>
  <c r="J79"/>
  <c r="H79"/>
  <c r="G79"/>
  <c r="F79"/>
  <c r="K78"/>
  <c r="J78"/>
  <c r="H78"/>
  <c r="G78"/>
  <c r="F78"/>
  <c r="C77"/>
  <c r="V76"/>
  <c r="K83" s="1"/>
  <c r="T76"/>
  <c r="K82" s="1"/>
  <c r="U76"/>
  <c r="H83" s="1"/>
  <c r="S76"/>
  <c r="H82" s="1"/>
  <c r="F76"/>
  <c r="E76"/>
  <c r="D76"/>
  <c r="I76"/>
  <c r="C76"/>
  <c r="A76"/>
  <c r="A75"/>
  <c r="L73"/>
  <c r="Q73" s="1"/>
  <c r="Z73"/>
  <c r="Y73"/>
  <c r="X73"/>
  <c r="K72"/>
  <c r="J72"/>
  <c r="Z72"/>
  <c r="Y72"/>
  <c r="X72"/>
  <c r="W72"/>
  <c r="H72"/>
  <c r="F72"/>
  <c r="V72"/>
  <c r="T72"/>
  <c r="U72"/>
  <c r="S72"/>
  <c r="E72"/>
  <c r="D72"/>
  <c r="C72"/>
  <c r="B72"/>
  <c r="A72"/>
  <c r="L71"/>
  <c r="G71"/>
  <c r="E71"/>
  <c r="J70"/>
  <c r="F70"/>
  <c r="E70"/>
  <c r="J69"/>
  <c r="F69"/>
  <c r="E69"/>
  <c r="K68"/>
  <c r="J68"/>
  <c r="H68"/>
  <c r="G68"/>
  <c r="F68"/>
  <c r="C67"/>
  <c r="V66"/>
  <c r="K70" s="1"/>
  <c r="T66"/>
  <c r="K69" s="1"/>
  <c r="U66"/>
  <c r="H70" s="1"/>
  <c r="S66"/>
  <c r="H69" s="1"/>
  <c r="F66"/>
  <c r="E66"/>
  <c r="D66"/>
  <c r="I66"/>
  <c r="C66"/>
  <c r="B66"/>
  <c r="A66"/>
  <c r="L65"/>
  <c r="Q65" s="1"/>
  <c r="Z65"/>
  <c r="Y65"/>
  <c r="X65"/>
  <c r="K64"/>
  <c r="J64"/>
  <c r="Z64"/>
  <c r="Y64"/>
  <c r="X64"/>
  <c r="H64"/>
  <c r="W64" s="1"/>
  <c r="F64"/>
  <c r="V64"/>
  <c r="T64"/>
  <c r="U64"/>
  <c r="S64"/>
  <c r="E64"/>
  <c r="D64"/>
  <c r="C64"/>
  <c r="B64"/>
  <c r="A64"/>
  <c r="K63"/>
  <c r="J63"/>
  <c r="Z63"/>
  <c r="Y63"/>
  <c r="X63"/>
  <c r="H63"/>
  <c r="W63" s="1"/>
  <c r="F63"/>
  <c r="V63"/>
  <c r="T63"/>
  <c r="U63"/>
  <c r="S63"/>
  <c r="E63"/>
  <c r="D63"/>
  <c r="C63"/>
  <c r="B63"/>
  <c r="A63"/>
  <c r="K62"/>
  <c r="J62"/>
  <c r="Z62"/>
  <c r="Y62"/>
  <c r="X62"/>
  <c r="W62"/>
  <c r="H62"/>
  <c r="F62"/>
  <c r="V62"/>
  <c r="T62"/>
  <c r="U62"/>
  <c r="S62"/>
  <c r="E62"/>
  <c r="D62"/>
  <c r="C62"/>
  <c r="B62"/>
  <c r="A62"/>
  <c r="K61"/>
  <c r="J61"/>
  <c r="Z61"/>
  <c r="Y61"/>
  <c r="X61"/>
  <c r="H61"/>
  <c r="W61" s="1"/>
  <c r="F61"/>
  <c r="V61"/>
  <c r="T61"/>
  <c r="U61"/>
  <c r="S61"/>
  <c r="E61"/>
  <c r="D61"/>
  <c r="C61"/>
  <c r="B61"/>
  <c r="A61"/>
  <c r="L60"/>
  <c r="G60"/>
  <c r="E60"/>
  <c r="J59"/>
  <c r="F59"/>
  <c r="E59"/>
  <c r="J58"/>
  <c r="F58"/>
  <c r="E58"/>
  <c r="K57"/>
  <c r="J57"/>
  <c r="H57"/>
  <c r="G57"/>
  <c r="F57"/>
  <c r="K56"/>
  <c r="J56"/>
  <c r="H56"/>
  <c r="R56" s="1"/>
  <c r="G56"/>
  <c r="F56"/>
  <c r="K55"/>
  <c r="J55"/>
  <c r="H55"/>
  <c r="G55"/>
  <c r="F55"/>
  <c r="K54"/>
  <c r="J54"/>
  <c r="R54"/>
  <c r="H54"/>
  <c r="G54"/>
  <c r="F54"/>
  <c r="C53"/>
  <c r="V52"/>
  <c r="K59" s="1"/>
  <c r="T52"/>
  <c r="K58" s="1"/>
  <c r="U52"/>
  <c r="H59" s="1"/>
  <c r="S52"/>
  <c r="H58" s="1"/>
  <c r="F52"/>
  <c r="E52"/>
  <c r="D52"/>
  <c r="I52"/>
  <c r="C52"/>
  <c r="A52"/>
  <c r="L51"/>
  <c r="Q51" s="1"/>
  <c r="Z51"/>
  <c r="G30" s="1"/>
  <c r="Y51"/>
  <c r="X51"/>
  <c r="L50"/>
  <c r="G50"/>
  <c r="E50"/>
  <c r="J49"/>
  <c r="F49"/>
  <c r="E49"/>
  <c r="J48"/>
  <c r="F48"/>
  <c r="E48"/>
  <c r="K47"/>
  <c r="J47"/>
  <c r="H47"/>
  <c r="G47"/>
  <c r="F47"/>
  <c r="K46"/>
  <c r="J46"/>
  <c r="H46"/>
  <c r="G46"/>
  <c r="F46"/>
  <c r="K45"/>
  <c r="J45"/>
  <c r="H45"/>
  <c r="R45" s="1"/>
  <c r="G45"/>
  <c r="F45"/>
  <c r="C44"/>
  <c r="V43"/>
  <c r="K49" s="1"/>
  <c r="T43"/>
  <c r="K48" s="1"/>
  <c r="U43"/>
  <c r="H49" s="1"/>
  <c r="S43"/>
  <c r="H48" s="1"/>
  <c r="F43"/>
  <c r="E43"/>
  <c r="D43"/>
  <c r="I43"/>
  <c r="C43"/>
  <c r="A43"/>
  <c r="A42"/>
  <c r="A22"/>
  <c r="B19"/>
  <c r="B15"/>
  <c r="H13"/>
  <c r="H6"/>
  <c r="B6"/>
  <c r="A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1" i="3"/>
  <c r="CY1"/>
  <c r="CZ1"/>
  <c r="DA1"/>
  <c r="DB1"/>
  <c r="DC1"/>
  <c r="A2"/>
  <c r="CY2"/>
  <c r="CZ2"/>
  <c r="DB2" s="1"/>
  <c r="DA2"/>
  <c r="DC2"/>
  <c r="A3"/>
  <c r="CY3"/>
  <c r="CZ3"/>
  <c r="DB3" s="1"/>
  <c r="DA3"/>
  <c r="DC3"/>
  <c r="A4"/>
  <c r="CX4"/>
  <c r="CY4"/>
  <c r="CZ4"/>
  <c r="DA4"/>
  <c r="DB4"/>
  <c r="DC4"/>
  <c r="A5"/>
  <c r="CY5"/>
  <c r="CZ5"/>
  <c r="DA5"/>
  <c r="DB5"/>
  <c r="DC5"/>
  <c r="A6"/>
  <c r="CY6"/>
  <c r="CZ6"/>
  <c r="DB6" s="1"/>
  <c r="DA6"/>
  <c r="DC6"/>
  <c r="A7"/>
  <c r="CY7"/>
  <c r="CZ7"/>
  <c r="DB7" s="1"/>
  <c r="DA7"/>
  <c r="DC7"/>
  <c r="A8"/>
  <c r="CX8"/>
  <c r="CY8"/>
  <c r="CZ8"/>
  <c r="DA8"/>
  <c r="DB8"/>
  <c r="DC8"/>
  <c r="A9"/>
  <c r="CY9"/>
  <c r="CZ9"/>
  <c r="DA9"/>
  <c r="DB9"/>
  <c r="DC9"/>
  <c r="A10"/>
  <c r="CY10"/>
  <c r="CZ10"/>
  <c r="DB10" s="1"/>
  <c r="DA10"/>
  <c r="DC10"/>
  <c r="A11"/>
  <c r="CY11"/>
  <c r="CZ11"/>
  <c r="DB11" s="1"/>
  <c r="DA11"/>
  <c r="DC11"/>
  <c r="A12"/>
  <c r="CX12"/>
  <c r="CY12"/>
  <c r="CZ12"/>
  <c r="DA12"/>
  <c r="DB12"/>
  <c r="DC12"/>
  <c r="A13"/>
  <c r="CY13"/>
  <c r="CZ13"/>
  <c r="DA13"/>
  <c r="DB13"/>
  <c r="DC13"/>
  <c r="A14"/>
  <c r="CY14"/>
  <c r="CZ14"/>
  <c r="DB14" s="1"/>
  <c r="DA14"/>
  <c r="DC14"/>
  <c r="A15"/>
  <c r="CY15"/>
  <c r="CZ15"/>
  <c r="DB15" s="1"/>
  <c r="DA15"/>
  <c r="DC15"/>
  <c r="A16"/>
  <c r="CX16"/>
  <c r="CY16"/>
  <c r="CZ16"/>
  <c r="DA16"/>
  <c r="DB16"/>
  <c r="DC16"/>
  <c r="A17"/>
  <c r="CY17"/>
  <c r="CZ17"/>
  <c r="DA17"/>
  <c r="DB17"/>
  <c r="DC17"/>
  <c r="A18"/>
  <c r="CY18"/>
  <c r="CZ18"/>
  <c r="DB18" s="1"/>
  <c r="DA18"/>
  <c r="DC18"/>
  <c r="A19"/>
  <c r="CY19"/>
  <c r="CZ19"/>
  <c r="DB19" s="1"/>
  <c r="DA19"/>
  <c r="DC19"/>
  <c r="A20"/>
  <c r="CX20"/>
  <c r="CY20"/>
  <c r="CZ20"/>
  <c r="DA20"/>
  <c r="DB20"/>
  <c r="DC20"/>
  <c r="A21"/>
  <c r="CY21"/>
  <c r="CZ21"/>
  <c r="DA21"/>
  <c r="DB21"/>
  <c r="DC21"/>
  <c r="A22"/>
  <c r="CY22"/>
  <c r="CZ22"/>
  <c r="DB22" s="1"/>
  <c r="DA22"/>
  <c r="DC22"/>
  <c r="A23"/>
  <c r="CY23"/>
  <c r="CZ23"/>
  <c r="DB23" s="1"/>
  <c r="DA23"/>
  <c r="DC23"/>
  <c r="A24"/>
  <c r="CX24"/>
  <c r="CY24"/>
  <c r="CZ24"/>
  <c r="DA24"/>
  <c r="DB24"/>
  <c r="DC24"/>
  <c r="A25"/>
  <c r="CY25"/>
  <c r="CZ25"/>
  <c r="DA25"/>
  <c r="DB25"/>
  <c r="DC25"/>
  <c r="A26"/>
  <c r="CY26"/>
  <c r="CZ26"/>
  <c r="DB26" s="1"/>
  <c r="DA26"/>
  <c r="DC26"/>
  <c r="A27"/>
  <c r="CY27"/>
  <c r="CZ27"/>
  <c r="DB27" s="1"/>
  <c r="DA27"/>
  <c r="DC27"/>
  <c r="A28"/>
  <c r="CX28"/>
  <c r="CY28"/>
  <c r="CZ28"/>
  <c r="DA28"/>
  <c r="DB28"/>
  <c r="DC28"/>
  <c r="A29"/>
  <c r="CY29"/>
  <c r="CZ29"/>
  <c r="DA29"/>
  <c r="DB29"/>
  <c r="DC29"/>
  <c r="A30"/>
  <c r="CY30"/>
  <c r="CZ30"/>
  <c r="DB30" s="1"/>
  <c r="DA30"/>
  <c r="DC30"/>
  <c r="A31"/>
  <c r="CY31"/>
  <c r="CZ31"/>
  <c r="DB31" s="1"/>
  <c r="DA31"/>
  <c r="DC31"/>
  <c r="A32"/>
  <c r="CX32"/>
  <c r="CY32"/>
  <c r="CZ32"/>
  <c r="DA32"/>
  <c r="DB32"/>
  <c r="DC32"/>
  <c r="A33"/>
  <c r="CY33"/>
  <c r="CZ33"/>
  <c r="DA33"/>
  <c r="DB33"/>
  <c r="DC33"/>
  <c r="A34"/>
  <c r="CY34"/>
  <c r="CZ34"/>
  <c r="DB34" s="1"/>
  <c r="DA34"/>
  <c r="DC34"/>
  <c r="A35"/>
  <c r="CY35"/>
  <c r="CZ35"/>
  <c r="DB35" s="1"/>
  <c r="DA35"/>
  <c r="DC35"/>
  <c r="A36"/>
  <c r="CX36"/>
  <c r="CY36"/>
  <c r="CZ36"/>
  <c r="DA36"/>
  <c r="DB36"/>
  <c r="DC36"/>
  <c r="A37"/>
  <c r="CY37"/>
  <c r="CZ37"/>
  <c r="DA37"/>
  <c r="DB37"/>
  <c r="DC37"/>
  <c r="A38"/>
  <c r="CY38"/>
  <c r="CZ38"/>
  <c r="DB38" s="1"/>
  <c r="DA38"/>
  <c r="DC38"/>
  <c r="A39"/>
  <c r="CY39"/>
  <c r="CZ39"/>
  <c r="DB39" s="1"/>
  <c r="DA39"/>
  <c r="DC39"/>
  <c r="A40"/>
  <c r="CX40"/>
  <c r="CY40"/>
  <c r="CZ40"/>
  <c r="DA40"/>
  <c r="DB40"/>
  <c r="DC40"/>
  <c r="A41"/>
  <c r="CY41"/>
  <c r="CZ41"/>
  <c r="DA41"/>
  <c r="DB41"/>
  <c r="DC41"/>
  <c r="A42"/>
  <c r="CY42"/>
  <c r="CZ42"/>
  <c r="DB42" s="1"/>
  <c r="DA42"/>
  <c r="DC42"/>
  <c r="A43"/>
  <c r="CY43"/>
  <c r="CZ43"/>
  <c r="DB43" s="1"/>
  <c r="DA43"/>
  <c r="DC43"/>
  <c r="A44"/>
  <c r="CX44"/>
  <c r="CY44"/>
  <c r="CZ44"/>
  <c r="DA44"/>
  <c r="DB44"/>
  <c r="DC44"/>
  <c r="A45"/>
  <c r="CY45"/>
  <c r="CZ45"/>
  <c r="DA45"/>
  <c r="DB45"/>
  <c r="DC45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M22"/>
  <c r="AN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C24"/>
  <c r="D24"/>
  <c r="I24"/>
  <c r="CX1" i="3" s="1"/>
  <c r="K24" i="1"/>
  <c r="AC24"/>
  <c r="AB24" s="1"/>
  <c r="AD24"/>
  <c r="CR24" s="1"/>
  <c r="Q24" s="1"/>
  <c r="AE24"/>
  <c r="AF24"/>
  <c r="AG24"/>
  <c r="AH24"/>
  <c r="CV24" s="1"/>
  <c r="U24" s="1"/>
  <c r="AI24"/>
  <c r="AJ24"/>
  <c r="CQ24"/>
  <c r="P24" s="1"/>
  <c r="CS24"/>
  <c r="R24" s="1"/>
  <c r="CT24"/>
  <c r="S24" s="1"/>
  <c r="CU24"/>
  <c r="T24" s="1"/>
  <c r="CW24"/>
  <c r="V24" s="1"/>
  <c r="CX24"/>
  <c r="W24" s="1"/>
  <c r="FR24"/>
  <c r="GL24"/>
  <c r="GO24"/>
  <c r="GP24"/>
  <c r="GV24"/>
  <c r="HC24" s="1"/>
  <c r="GX24" s="1"/>
  <c r="C25"/>
  <c r="D25"/>
  <c r="I25"/>
  <c r="CX21" i="3" s="1"/>
  <c r="K25" i="1"/>
  <c r="AC25"/>
  <c r="AB25" s="1"/>
  <c r="AD25"/>
  <c r="CR25" s="1"/>
  <c r="Q25" s="1"/>
  <c r="AE25"/>
  <c r="AF25"/>
  <c r="AG25"/>
  <c r="AH25"/>
  <c r="CV25" s="1"/>
  <c r="U25" s="1"/>
  <c r="AI25"/>
  <c r="AJ25"/>
  <c r="CQ25"/>
  <c r="P25" s="1"/>
  <c r="CP25" s="1"/>
  <c r="O25" s="1"/>
  <c r="CS25"/>
  <c r="R25" s="1"/>
  <c r="CT25"/>
  <c r="S25" s="1"/>
  <c r="CU25"/>
  <c r="T25" s="1"/>
  <c r="CW25"/>
  <c r="V25" s="1"/>
  <c r="CX25"/>
  <c r="W25" s="1"/>
  <c r="FR25"/>
  <c r="GL25"/>
  <c r="GO25"/>
  <c r="GP25"/>
  <c r="GV25"/>
  <c r="HC25" s="1"/>
  <c r="GX25" s="1"/>
  <c r="I26"/>
  <c r="AC26"/>
  <c r="AB26" s="1"/>
  <c r="AE26"/>
  <c r="AD26" s="1"/>
  <c r="CR26" s="1"/>
  <c r="Q26" s="1"/>
  <c r="AF26"/>
  <c r="AG26"/>
  <c r="CU26" s="1"/>
  <c r="T26" s="1"/>
  <c r="AH26"/>
  <c r="AI26"/>
  <c r="AJ26"/>
  <c r="CS26"/>
  <c r="R26" s="1"/>
  <c r="CT26"/>
  <c r="S26" s="1"/>
  <c r="CV26"/>
  <c r="U26" s="1"/>
  <c r="CW26"/>
  <c r="V26" s="1"/>
  <c r="CX26"/>
  <c r="W26" s="1"/>
  <c r="FR26"/>
  <c r="GL26"/>
  <c r="BZ73" s="1"/>
  <c r="BZ22" s="1"/>
  <c r="GO26"/>
  <c r="GP26"/>
  <c r="CD73" s="1"/>
  <c r="CD22" s="1"/>
  <c r="GV26"/>
  <c r="HC26"/>
  <c r="GX26" s="1"/>
  <c r="I27"/>
  <c r="AC27"/>
  <c r="CQ27" s="1"/>
  <c r="P27" s="1"/>
  <c r="AE27"/>
  <c r="AD27" s="1"/>
  <c r="AF27"/>
  <c r="CT27" s="1"/>
  <c r="S27" s="1"/>
  <c r="AG27"/>
  <c r="CU27" s="1"/>
  <c r="T27" s="1"/>
  <c r="AH27"/>
  <c r="AI27"/>
  <c r="AJ27"/>
  <c r="CX27" s="1"/>
  <c r="W27" s="1"/>
  <c r="CS27"/>
  <c r="R27" s="1"/>
  <c r="CV27"/>
  <c r="U27" s="1"/>
  <c r="CW27"/>
  <c r="V27" s="1"/>
  <c r="FR27"/>
  <c r="GL27"/>
  <c r="GO27"/>
  <c r="GP27"/>
  <c r="GV27"/>
  <c r="HC27"/>
  <c r="GX27" s="1"/>
  <c r="I28"/>
  <c r="AC28"/>
  <c r="AE28"/>
  <c r="AD28" s="1"/>
  <c r="AF28"/>
  <c r="CT28" s="1"/>
  <c r="S28" s="1"/>
  <c r="AG28"/>
  <c r="AH28"/>
  <c r="AI28"/>
  <c r="CW28" s="1"/>
  <c r="V28" s="1"/>
  <c r="AJ28"/>
  <c r="CX28" s="1"/>
  <c r="W28" s="1"/>
  <c r="CQ28"/>
  <c r="P28" s="1"/>
  <c r="CU28"/>
  <c r="T28" s="1"/>
  <c r="CV28"/>
  <c r="U28" s="1"/>
  <c r="FR28"/>
  <c r="GL28"/>
  <c r="GO28"/>
  <c r="GP28"/>
  <c r="GV28"/>
  <c r="HC28" s="1"/>
  <c r="GX28" s="1"/>
  <c r="I29"/>
  <c r="AC29"/>
  <c r="AB29" s="1"/>
  <c r="AD29"/>
  <c r="CR29" s="1"/>
  <c r="Q29" s="1"/>
  <c r="AE29"/>
  <c r="CS29" s="1"/>
  <c r="R29" s="1"/>
  <c r="AF29"/>
  <c r="AG29"/>
  <c r="AH29"/>
  <c r="CV29" s="1"/>
  <c r="U29" s="1"/>
  <c r="AI29"/>
  <c r="CW29" s="1"/>
  <c r="V29" s="1"/>
  <c r="AJ29"/>
  <c r="CQ29"/>
  <c r="P29" s="1"/>
  <c r="CP29" s="1"/>
  <c r="O29" s="1"/>
  <c r="CT29"/>
  <c r="S29" s="1"/>
  <c r="CU29"/>
  <c r="T29" s="1"/>
  <c r="CX29"/>
  <c r="W29" s="1"/>
  <c r="FR29"/>
  <c r="GL29"/>
  <c r="GO29"/>
  <c r="GP29"/>
  <c r="GV29"/>
  <c r="HC29" s="1"/>
  <c r="GX29" s="1"/>
  <c r="C30"/>
  <c r="D30"/>
  <c r="I30"/>
  <c r="CX31" i="3" s="1"/>
  <c r="K30" i="1"/>
  <c r="AC30"/>
  <c r="AB30" s="1"/>
  <c r="AD30"/>
  <c r="CR30" s="1"/>
  <c r="Q30" s="1"/>
  <c r="AE30"/>
  <c r="AF30"/>
  <c r="AG30"/>
  <c r="AH30"/>
  <c r="CV30" s="1"/>
  <c r="U30" s="1"/>
  <c r="AI30"/>
  <c r="AJ30"/>
  <c r="CQ30"/>
  <c r="P30" s="1"/>
  <c r="CP30" s="1"/>
  <c r="O30" s="1"/>
  <c r="CS30"/>
  <c r="R30" s="1"/>
  <c r="CT30"/>
  <c r="S30" s="1"/>
  <c r="CU30"/>
  <c r="T30" s="1"/>
  <c r="CW30"/>
  <c r="V30" s="1"/>
  <c r="CX30"/>
  <c r="W30" s="1"/>
  <c r="FR30"/>
  <c r="GL30"/>
  <c r="GO30"/>
  <c r="GP30"/>
  <c r="GV30"/>
  <c r="HC30" s="1"/>
  <c r="GX30" s="1"/>
  <c r="I31"/>
  <c r="W31"/>
  <c r="AC31"/>
  <c r="AB31" s="1"/>
  <c r="AE31"/>
  <c r="AD31" s="1"/>
  <c r="CR31" s="1"/>
  <c r="Q31" s="1"/>
  <c r="AF31"/>
  <c r="AG31"/>
  <c r="CU31" s="1"/>
  <c r="T31" s="1"/>
  <c r="AH31"/>
  <c r="AI31"/>
  <c r="AJ31"/>
  <c r="CS31"/>
  <c r="R31" s="1"/>
  <c r="CT31"/>
  <c r="S31" s="1"/>
  <c r="CV31"/>
  <c r="U31" s="1"/>
  <c r="CW31"/>
  <c r="V31" s="1"/>
  <c r="CX31"/>
  <c r="FR31"/>
  <c r="GL31"/>
  <c r="GO31"/>
  <c r="GP31"/>
  <c r="GV31"/>
  <c r="HC31"/>
  <c r="GX31" s="1"/>
  <c r="D33"/>
  <c r="E35"/>
  <c r="Z35"/>
  <c r="AA35"/>
  <c r="AM35"/>
  <c r="AN35"/>
  <c r="BE35"/>
  <c r="BF35"/>
  <c r="BG35"/>
  <c r="BH35"/>
  <c r="BI35"/>
  <c r="BJ35"/>
  <c r="BK35"/>
  <c r="BL35"/>
  <c r="BM35"/>
  <c r="BN35"/>
  <c r="BO35"/>
  <c r="BP35"/>
  <c r="BQ35"/>
  <c r="BR35"/>
  <c r="BS35"/>
  <c r="BT35"/>
  <c r="BU35"/>
  <c r="BV35"/>
  <c r="BW35"/>
  <c r="BX35"/>
  <c r="CN35"/>
  <c r="CO35"/>
  <c r="CP35"/>
  <c r="CQ35"/>
  <c r="CR35"/>
  <c r="CS35"/>
  <c r="CT35"/>
  <c r="CU35"/>
  <c r="CV35"/>
  <c r="CW35"/>
  <c r="CX35"/>
  <c r="CY35"/>
  <c r="CZ35"/>
  <c r="DA35"/>
  <c r="DB35"/>
  <c r="DC35"/>
  <c r="DD35"/>
  <c r="DE35"/>
  <c r="DF35"/>
  <c r="DG35"/>
  <c r="DH35"/>
  <c r="DI35"/>
  <c r="DJ35"/>
  <c r="DK35"/>
  <c r="DL35"/>
  <c r="DM35"/>
  <c r="DN35"/>
  <c r="DO35"/>
  <c r="DP35"/>
  <c r="DQ35"/>
  <c r="DR35"/>
  <c r="DS35"/>
  <c r="DT35"/>
  <c r="DU35"/>
  <c r="DV35"/>
  <c r="DW35"/>
  <c r="DX35"/>
  <c r="DY35"/>
  <c r="DZ35"/>
  <c r="EA35"/>
  <c r="EB35"/>
  <c r="EC35"/>
  <c r="ED35"/>
  <c r="EE35"/>
  <c r="EF35"/>
  <c r="EG35"/>
  <c r="EH35"/>
  <c r="EI35"/>
  <c r="EJ35"/>
  <c r="EK35"/>
  <c r="EL35"/>
  <c r="EM35"/>
  <c r="EN35"/>
  <c r="EO35"/>
  <c r="EP35"/>
  <c r="EQ35"/>
  <c r="ER35"/>
  <c r="ES35"/>
  <c r="ET35"/>
  <c r="EU35"/>
  <c r="EV35"/>
  <c r="EW35"/>
  <c r="EX35"/>
  <c r="EY35"/>
  <c r="EZ35"/>
  <c r="FA35"/>
  <c r="FB35"/>
  <c r="FC35"/>
  <c r="FD35"/>
  <c r="FE35"/>
  <c r="FF35"/>
  <c r="FG35"/>
  <c r="FH35"/>
  <c r="FI35"/>
  <c r="FJ35"/>
  <c r="FK35"/>
  <c r="FL35"/>
  <c r="FM35"/>
  <c r="FN35"/>
  <c r="FO35"/>
  <c r="FP35"/>
  <c r="FQ35"/>
  <c r="FR35"/>
  <c r="FS35"/>
  <c r="FT35"/>
  <c r="FU35"/>
  <c r="FV35"/>
  <c r="FW35"/>
  <c r="FX35"/>
  <c r="FY35"/>
  <c r="FZ35"/>
  <c r="GA35"/>
  <c r="GB35"/>
  <c r="GC35"/>
  <c r="GD35"/>
  <c r="GE35"/>
  <c r="GF35"/>
  <c r="GG35"/>
  <c r="GH35"/>
  <c r="GI35"/>
  <c r="GJ35"/>
  <c r="GK35"/>
  <c r="GL35"/>
  <c r="GM35"/>
  <c r="GN35"/>
  <c r="GO35"/>
  <c r="GP35"/>
  <c r="GQ35"/>
  <c r="GR35"/>
  <c r="GS35"/>
  <c r="GT35"/>
  <c r="GU35"/>
  <c r="GV35"/>
  <c r="GW35"/>
  <c r="GX35"/>
  <c r="C37"/>
  <c r="D37"/>
  <c r="I37"/>
  <c r="CX33" i="3" s="1"/>
  <c r="K37" i="1"/>
  <c r="AC37"/>
  <c r="AB37" s="1"/>
  <c r="AD37"/>
  <c r="CR37" s="1"/>
  <c r="Q37" s="1"/>
  <c r="AE37"/>
  <c r="AF37"/>
  <c r="AG37"/>
  <c r="AH37"/>
  <c r="CV37" s="1"/>
  <c r="U37" s="1"/>
  <c r="AI37"/>
  <c r="AJ37"/>
  <c r="CQ37"/>
  <c r="P37" s="1"/>
  <c r="CS37"/>
  <c r="R37" s="1"/>
  <c r="CT37"/>
  <c r="S37" s="1"/>
  <c r="CU37"/>
  <c r="T37" s="1"/>
  <c r="CW37"/>
  <c r="V37" s="1"/>
  <c r="CX37"/>
  <c r="W37" s="1"/>
  <c r="FR37"/>
  <c r="GL37"/>
  <c r="GO37"/>
  <c r="GP37"/>
  <c r="GV37"/>
  <c r="HC37" s="1"/>
  <c r="GX37" s="1"/>
  <c r="C38"/>
  <c r="D38"/>
  <c r="I38"/>
  <c r="CX41" i="3" s="1"/>
  <c r="K38" i="1"/>
  <c r="AC38"/>
  <c r="AB38" s="1"/>
  <c r="AD38"/>
  <c r="CR38" s="1"/>
  <c r="Q38" s="1"/>
  <c r="AE38"/>
  <c r="AF38"/>
  <c r="AG38"/>
  <c r="AH38"/>
  <c r="CV38" s="1"/>
  <c r="U38" s="1"/>
  <c r="AI38"/>
  <c r="AJ38"/>
  <c r="CQ38"/>
  <c r="P38" s="1"/>
  <c r="CP38" s="1"/>
  <c r="O38" s="1"/>
  <c r="CS38"/>
  <c r="R38" s="1"/>
  <c r="CT38"/>
  <c r="S38" s="1"/>
  <c r="CU38"/>
  <c r="T38" s="1"/>
  <c r="CW38"/>
  <c r="V38" s="1"/>
  <c r="CX38"/>
  <c r="W38" s="1"/>
  <c r="FR38"/>
  <c r="GL38"/>
  <c r="GN38"/>
  <c r="GP38"/>
  <c r="GV38"/>
  <c r="HC38" s="1"/>
  <c r="GX38" s="1"/>
  <c r="I39"/>
  <c r="AC39"/>
  <c r="AB39" s="1"/>
  <c r="AE39"/>
  <c r="AD39" s="1"/>
  <c r="CR39" s="1"/>
  <c r="Q39" s="1"/>
  <c r="AF39"/>
  <c r="AG39"/>
  <c r="CU39" s="1"/>
  <c r="T39" s="1"/>
  <c r="AH39"/>
  <c r="AI39"/>
  <c r="AJ39"/>
  <c r="CS39"/>
  <c r="R39" s="1"/>
  <c r="CT39"/>
  <c r="S39" s="1"/>
  <c r="CV39"/>
  <c r="U39" s="1"/>
  <c r="CW39"/>
  <c r="V39" s="1"/>
  <c r="CX39"/>
  <c r="W39" s="1"/>
  <c r="FR39"/>
  <c r="GL39"/>
  <c r="BZ43" s="1"/>
  <c r="GN39"/>
  <c r="GP39"/>
  <c r="CD43" s="1"/>
  <c r="GV39"/>
  <c r="HC39"/>
  <c r="GX39" s="1"/>
  <c r="AC40"/>
  <c r="AB40" s="1"/>
  <c r="AD40"/>
  <c r="AE40"/>
  <c r="AF40"/>
  <c r="AG40"/>
  <c r="CU40" s="1"/>
  <c r="T40" s="1"/>
  <c r="AH40"/>
  <c r="AI40"/>
  <c r="AJ40"/>
  <c r="CR40"/>
  <c r="Q40" s="1"/>
  <c r="CS40"/>
  <c r="R40" s="1"/>
  <c r="CT40"/>
  <c r="S40" s="1"/>
  <c r="CV40"/>
  <c r="U40" s="1"/>
  <c r="CW40"/>
  <c r="V40" s="1"/>
  <c r="CX40"/>
  <c r="W40" s="1"/>
  <c r="FR40"/>
  <c r="GL40"/>
  <c r="GO40"/>
  <c r="GP40"/>
  <c r="GV40"/>
  <c r="HC40"/>
  <c r="GX40" s="1"/>
  <c r="AC41"/>
  <c r="AD41"/>
  <c r="AE41"/>
  <c r="AF41"/>
  <c r="AB41" s="1"/>
  <c r="AG41"/>
  <c r="AH41"/>
  <c r="AI41"/>
  <c r="AJ41"/>
  <c r="CX41" s="1"/>
  <c r="W41" s="1"/>
  <c r="CQ41"/>
  <c r="P41" s="1"/>
  <c r="CR41"/>
  <c r="Q41" s="1"/>
  <c r="CS41"/>
  <c r="R41" s="1"/>
  <c r="CU41"/>
  <c r="T41" s="1"/>
  <c r="CV41"/>
  <c r="U41" s="1"/>
  <c r="CW41"/>
  <c r="V41" s="1"/>
  <c r="FR41"/>
  <c r="BY43" s="1"/>
  <c r="GL41"/>
  <c r="GO41"/>
  <c r="GP41"/>
  <c r="GV41"/>
  <c r="HC41"/>
  <c r="GX41" s="1"/>
  <c r="B43"/>
  <c r="B35" s="1"/>
  <c r="C43"/>
  <c r="C35" s="1"/>
  <c r="D43"/>
  <c r="D35" s="1"/>
  <c r="F43"/>
  <c r="F35" s="1"/>
  <c r="G43"/>
  <c r="G35" s="1"/>
  <c r="BX43"/>
  <c r="CK43"/>
  <c r="BB43" s="1"/>
  <c r="CL43"/>
  <c r="BC43" s="1"/>
  <c r="B73"/>
  <c r="B22" s="1"/>
  <c r="C73"/>
  <c r="C22" s="1"/>
  <c r="D73"/>
  <c r="D22" s="1"/>
  <c r="F73"/>
  <c r="F22" s="1"/>
  <c r="G73"/>
  <c r="G22" s="1"/>
  <c r="AF73"/>
  <c r="AF22" s="1"/>
  <c r="AJ73"/>
  <c r="AJ22" s="1"/>
  <c r="BX73"/>
  <c r="BY73"/>
  <c r="CC73"/>
  <c r="CC22" s="1"/>
  <c r="CG73"/>
  <c r="CG22" s="1"/>
  <c r="CK73"/>
  <c r="CK22" s="1"/>
  <c r="CL73"/>
  <c r="CL22" s="1"/>
  <c r="CM73"/>
  <c r="CM22" s="1"/>
  <c r="B103"/>
  <c r="B18" s="1"/>
  <c r="C103"/>
  <c r="C18" s="1"/>
  <c r="D103"/>
  <c r="D18" s="1"/>
  <c r="F103"/>
  <c r="F18" s="1"/>
  <c r="G103"/>
  <c r="G18" s="1"/>
  <c r="G29" i="5" l="1"/>
  <c r="L112"/>
  <c r="L108"/>
  <c r="J51"/>
  <c r="P51" s="1"/>
  <c r="G51"/>
  <c r="O51" s="1"/>
  <c r="J73"/>
  <c r="P73" s="1"/>
  <c r="X96"/>
  <c r="J65"/>
  <c r="P65" s="1"/>
  <c r="G28"/>
  <c r="J96"/>
  <c r="P96" s="1"/>
  <c r="G65"/>
  <c r="O65" s="1"/>
  <c r="G73"/>
  <c r="O73" s="1"/>
  <c r="G85"/>
  <c r="O85" s="1"/>
  <c r="J85"/>
  <c r="P85" s="1"/>
  <c r="G96"/>
  <c r="O96" s="1"/>
  <c r="R68"/>
  <c r="G32" s="1"/>
  <c r="W99"/>
  <c r="W51"/>
  <c r="W65"/>
  <c r="R78"/>
  <c r="W85"/>
  <c r="W102"/>
  <c r="W73"/>
  <c r="CI73" i="1"/>
  <c r="CI22" s="1"/>
  <c r="BY22"/>
  <c r="BB35"/>
  <c r="F56"/>
  <c r="AP43"/>
  <c r="BY35"/>
  <c r="CI43"/>
  <c r="CZ40"/>
  <c r="Y40" s="1"/>
  <c r="CY40"/>
  <c r="X40" s="1"/>
  <c r="CZ39"/>
  <c r="Y39" s="1"/>
  <c r="CY39"/>
  <c r="X39" s="1"/>
  <c r="CR27"/>
  <c r="Q27" s="1"/>
  <c r="AB27"/>
  <c r="CZ26"/>
  <c r="Y26" s="1"/>
  <c r="CY26"/>
  <c r="X26" s="1"/>
  <c r="AG43"/>
  <c r="AG73"/>
  <c r="AG22" s="1"/>
  <c r="AQ43"/>
  <c r="BZ35"/>
  <c r="CP37"/>
  <c r="O37" s="1"/>
  <c r="CY29"/>
  <c r="X29" s="1"/>
  <c r="GM29" s="1"/>
  <c r="CZ29"/>
  <c r="Y29" s="1"/>
  <c r="CR28"/>
  <c r="Q28" s="1"/>
  <c r="AB28"/>
  <c r="CZ27"/>
  <c r="Y27" s="1"/>
  <c r="CY27"/>
  <c r="X27" s="1"/>
  <c r="CP24"/>
  <c r="O24" s="1"/>
  <c r="AI43"/>
  <c r="AI73"/>
  <c r="AI22" s="1"/>
  <c r="BC35"/>
  <c r="F59"/>
  <c r="BC73"/>
  <c r="CZ38"/>
  <c r="Y38" s="1"/>
  <c r="CY38"/>
  <c r="X38" s="1"/>
  <c r="GM38" s="1"/>
  <c r="CZ31"/>
  <c r="Y31" s="1"/>
  <c r="CY31"/>
  <c r="X31" s="1"/>
  <c r="CZ25"/>
  <c r="Y25" s="1"/>
  <c r="CY25"/>
  <c r="X25" s="1"/>
  <c r="GN25" s="1"/>
  <c r="AJ43"/>
  <c r="AE43"/>
  <c r="AH43"/>
  <c r="AD43"/>
  <c r="AH73"/>
  <c r="AH22" s="1"/>
  <c r="AD73"/>
  <c r="AD22" s="1"/>
  <c r="AU43"/>
  <c r="CD35"/>
  <c r="CZ37"/>
  <c r="Y37" s="1"/>
  <c r="CY37"/>
  <c r="X37" s="1"/>
  <c r="CY30"/>
  <c r="X30" s="1"/>
  <c r="GM30" s="1"/>
  <c r="CZ30"/>
  <c r="Y30" s="1"/>
  <c r="CY24"/>
  <c r="X24" s="1"/>
  <c r="CZ24"/>
  <c r="Y24" s="1"/>
  <c r="BB73"/>
  <c r="CG43"/>
  <c r="CJ43"/>
  <c r="CP28"/>
  <c r="O28" s="1"/>
  <c r="CP27"/>
  <c r="O27" s="1"/>
  <c r="CJ73"/>
  <c r="CJ22" s="1"/>
  <c r="AO43"/>
  <c r="CT41"/>
  <c r="S41" s="1"/>
  <c r="AF43" s="1"/>
  <c r="CQ40"/>
  <c r="P40" s="1"/>
  <c r="CP40" s="1"/>
  <c r="O40" s="1"/>
  <c r="CQ39"/>
  <c r="P39" s="1"/>
  <c r="CP39" s="1"/>
  <c r="O39" s="1"/>
  <c r="CK35"/>
  <c r="CQ31"/>
  <c r="P31" s="1"/>
  <c r="CP31" s="1"/>
  <c r="O31" s="1"/>
  <c r="CS28"/>
  <c r="R28" s="1"/>
  <c r="CZ28" s="1"/>
  <c r="Y28" s="1"/>
  <c r="CQ26"/>
  <c r="P26" s="1"/>
  <c r="CP26" s="1"/>
  <c r="O26" s="1"/>
  <c r="CX43" i="3"/>
  <c r="CX39"/>
  <c r="CX35"/>
  <c r="CX27"/>
  <c r="CX23"/>
  <c r="CX19"/>
  <c r="CX15"/>
  <c r="CX11"/>
  <c r="CX7"/>
  <c r="CX3"/>
  <c r="CL35" i="1"/>
  <c r="CX42" i="3"/>
  <c r="CX38"/>
  <c r="CX34"/>
  <c r="CX30"/>
  <c r="CX26"/>
  <c r="CX22"/>
  <c r="CX18"/>
  <c r="CX14"/>
  <c r="CX10"/>
  <c r="CX6"/>
  <c r="CX2"/>
  <c r="CX45"/>
  <c r="CX37"/>
  <c r="CX29"/>
  <c r="CX25"/>
  <c r="CX17"/>
  <c r="CX13"/>
  <c r="CX9"/>
  <c r="CX5"/>
  <c r="J112" i="5" l="1"/>
  <c r="J108"/>
  <c r="G112"/>
  <c r="G108"/>
  <c r="G26"/>
  <c r="G104"/>
  <c r="G27"/>
  <c r="J104"/>
  <c r="S43" i="1"/>
  <c r="AF35"/>
  <c r="GN26"/>
  <c r="GM26"/>
  <c r="GO39"/>
  <c r="GM39"/>
  <c r="AX43"/>
  <c r="CG35"/>
  <c r="AE35"/>
  <c r="R43"/>
  <c r="AP35"/>
  <c r="F52"/>
  <c r="AP73"/>
  <c r="AC73"/>
  <c r="GN30"/>
  <c r="GM25"/>
  <c r="GO38"/>
  <c r="CC43" s="1"/>
  <c r="CJ35"/>
  <c r="BA43"/>
  <c r="AH35"/>
  <c r="U43"/>
  <c r="BC22"/>
  <c r="F89"/>
  <c r="BC103"/>
  <c r="AI35"/>
  <c r="V43"/>
  <c r="GM37"/>
  <c r="GN37"/>
  <c r="AG35"/>
  <c r="T43"/>
  <c r="AL43"/>
  <c r="GN29"/>
  <c r="F47"/>
  <c r="AO73"/>
  <c r="AO35"/>
  <c r="CZ41"/>
  <c r="Y41" s="1"/>
  <c r="CY41"/>
  <c r="X41" s="1"/>
  <c r="AU35"/>
  <c r="F62"/>
  <c r="AU73"/>
  <c r="AD35"/>
  <c r="Q43"/>
  <c r="CI35"/>
  <c r="AZ43"/>
  <c r="AL73"/>
  <c r="AL22" s="1"/>
  <c r="CP41"/>
  <c r="O41" s="1"/>
  <c r="CY28"/>
  <c r="X28" s="1"/>
  <c r="AK73" s="1"/>
  <c r="AK22" s="1"/>
  <c r="AC43"/>
  <c r="GN31"/>
  <c r="GM31"/>
  <c r="GM28"/>
  <c r="GN40"/>
  <c r="GM40"/>
  <c r="HD40" s="1"/>
  <c r="GN27"/>
  <c r="GM27"/>
  <c r="BB103"/>
  <c r="BB22"/>
  <c r="F86"/>
  <c r="W43"/>
  <c r="AJ35"/>
  <c r="GM24"/>
  <c r="CA73" s="1"/>
  <c r="CA22" s="1"/>
  <c r="GN24"/>
  <c r="AB73"/>
  <c r="AB22" s="1"/>
  <c r="AQ35"/>
  <c r="F53"/>
  <c r="AQ73"/>
  <c r="AK43"/>
  <c r="AE73"/>
  <c r="AE22" s="1"/>
  <c r="AL35" l="1"/>
  <c r="Y43"/>
  <c r="U73"/>
  <c r="U35"/>
  <c r="F65"/>
  <c r="AT43"/>
  <c r="CC35"/>
  <c r="AP103"/>
  <c r="AP22"/>
  <c r="F82"/>
  <c r="G16" i="2" s="1"/>
  <c r="G18" s="1"/>
  <c r="S35" i="1"/>
  <c r="F58"/>
  <c r="S73"/>
  <c r="X43"/>
  <c r="AK35"/>
  <c r="W35"/>
  <c r="F67"/>
  <c r="W73"/>
  <c r="CH43"/>
  <c r="P43"/>
  <c r="CE43"/>
  <c r="AC35"/>
  <c r="CF43"/>
  <c r="F54"/>
  <c r="AZ73"/>
  <c r="AZ35"/>
  <c r="AU22"/>
  <c r="F92"/>
  <c r="AU103"/>
  <c r="V35"/>
  <c r="F66"/>
  <c r="V73"/>
  <c r="CF73"/>
  <c r="CF22" s="1"/>
  <c r="CE73"/>
  <c r="CE22" s="1"/>
  <c r="AC22"/>
  <c r="CH73"/>
  <c r="CH22" s="1"/>
  <c r="R35"/>
  <c r="F57"/>
  <c r="R73"/>
  <c r="GN28"/>
  <c r="CB73" s="1"/>
  <c r="CB22" s="1"/>
  <c r="BB18"/>
  <c r="F116"/>
  <c r="T73"/>
  <c r="T35"/>
  <c r="F64"/>
  <c r="F63"/>
  <c r="BA73"/>
  <c r="BA35"/>
  <c r="AX35"/>
  <c r="F50"/>
  <c r="AX73"/>
  <c r="CA43"/>
  <c r="AQ22"/>
  <c r="F83"/>
  <c r="AQ103"/>
  <c r="GN41"/>
  <c r="CB43" s="1"/>
  <c r="GM41"/>
  <c r="HD41" s="1"/>
  <c r="CM43" s="1"/>
  <c r="F55"/>
  <c r="Q73"/>
  <c r="Q35"/>
  <c r="AO103"/>
  <c r="AO22"/>
  <c r="F77"/>
  <c r="BC18"/>
  <c r="F119"/>
  <c r="AB43"/>
  <c r="CB35" l="1"/>
  <c r="AS43"/>
  <c r="CM35"/>
  <c r="BD43"/>
  <c r="O43"/>
  <c r="AB35"/>
  <c r="Q22"/>
  <c r="F85"/>
  <c r="Q103"/>
  <c r="F113"/>
  <c r="AQ18"/>
  <c r="AX103"/>
  <c r="AX22"/>
  <c r="F80"/>
  <c r="BA103"/>
  <c r="BA22"/>
  <c r="F93"/>
  <c r="F94"/>
  <c r="T22"/>
  <c r="T103"/>
  <c r="F87"/>
  <c r="R22"/>
  <c r="R103"/>
  <c r="AW43"/>
  <c r="CF35"/>
  <c r="AY43"/>
  <c r="CH35"/>
  <c r="S22"/>
  <c r="S103"/>
  <c r="F88"/>
  <c r="J16" i="2" s="1"/>
  <c r="J18" s="1"/>
  <c r="CA35" i="1"/>
  <c r="AR43"/>
  <c r="F46"/>
  <c r="P73"/>
  <c r="P35"/>
  <c r="AT35"/>
  <c r="F61"/>
  <c r="AT73"/>
  <c r="Y73"/>
  <c r="F70"/>
  <c r="Y35"/>
  <c r="V22"/>
  <c r="V103"/>
  <c r="F96"/>
  <c r="F122"/>
  <c r="AU18"/>
  <c r="AZ22"/>
  <c r="AZ103"/>
  <c r="F84"/>
  <c r="CE35"/>
  <c r="AV43"/>
  <c r="F95"/>
  <c r="U22"/>
  <c r="U103"/>
  <c r="AO18"/>
  <c r="F107"/>
  <c r="W22"/>
  <c r="W103"/>
  <c r="F97"/>
  <c r="X73"/>
  <c r="X35"/>
  <c r="F69"/>
  <c r="AP18"/>
  <c r="F112"/>
  <c r="I29" i="5" s="1"/>
  <c r="H16" i="2"/>
  <c r="H18" s="1"/>
  <c r="I30" i="5" l="1"/>
  <c r="F118" i="1"/>
  <c r="S18"/>
  <c r="Q18"/>
  <c r="F115"/>
  <c r="O35"/>
  <c r="F45"/>
  <c r="O73"/>
  <c r="W18"/>
  <c r="F127"/>
  <c r="P22"/>
  <c r="F76"/>
  <c r="P103"/>
  <c r="AY35"/>
  <c r="F51"/>
  <c r="AY73"/>
  <c r="AS73"/>
  <c r="AS35"/>
  <c r="F60"/>
  <c r="U18"/>
  <c r="F125"/>
  <c r="I31" i="5" s="1"/>
  <c r="G31" s="1"/>
  <c r="F91" i="1"/>
  <c r="F16" i="2" s="1"/>
  <c r="F18" s="1"/>
  <c r="AT103" i="1"/>
  <c r="AT22"/>
  <c r="AV73"/>
  <c r="AV35"/>
  <c r="F48"/>
  <c r="V18"/>
  <c r="F126"/>
  <c r="Y22"/>
  <c r="Y103"/>
  <c r="F100"/>
  <c r="R18"/>
  <c r="F117"/>
  <c r="BA18"/>
  <c r="F123"/>
  <c r="F99"/>
  <c r="X22"/>
  <c r="X103"/>
  <c r="F114"/>
  <c r="AZ18"/>
  <c r="F71"/>
  <c r="AR35"/>
  <c r="AR73"/>
  <c r="AW73"/>
  <c r="AW35"/>
  <c r="F49"/>
  <c r="T18"/>
  <c r="F124"/>
  <c r="AX18"/>
  <c r="F110"/>
  <c r="BD73"/>
  <c r="BD35"/>
  <c r="F68"/>
  <c r="I32" i="5" l="1"/>
  <c r="F129" i="1"/>
  <c r="X18"/>
  <c r="AT18"/>
  <c r="F121"/>
  <c r="I28" i="5" s="1"/>
  <c r="F130" i="1"/>
  <c r="Y18"/>
  <c r="AR22"/>
  <c r="F101"/>
  <c r="AR103"/>
  <c r="AY22"/>
  <c r="F81"/>
  <c r="AY103"/>
  <c r="O22"/>
  <c r="F75"/>
  <c r="O103"/>
  <c r="BD22"/>
  <c r="F98"/>
  <c r="BD103"/>
  <c r="F79"/>
  <c r="AW103"/>
  <c r="AW22"/>
  <c r="F78"/>
  <c r="AV103"/>
  <c r="AV22"/>
  <c r="F90"/>
  <c r="E16" i="2" s="1"/>
  <c r="AS103" i="1"/>
  <c r="AS22"/>
  <c r="F106"/>
  <c r="P18"/>
  <c r="AR18" l="1"/>
  <c r="F131"/>
  <c r="BD18"/>
  <c r="F128"/>
  <c r="AS18"/>
  <c r="F120"/>
  <c r="I27" i="5" s="1"/>
  <c r="AV18" i="1"/>
  <c r="F108"/>
  <c r="F105"/>
  <c r="O18"/>
  <c r="I16" i="2"/>
  <c r="I18" s="1"/>
  <c r="E18"/>
  <c r="AW18" i="1"/>
  <c r="F109"/>
  <c r="AY18"/>
  <c r="F111"/>
  <c r="F133" l="1"/>
  <c r="F132"/>
  <c r="J114" i="5" s="1"/>
  <c r="J115" l="1"/>
  <c r="I26"/>
</calcChain>
</file>

<file path=xl/sharedStrings.xml><?xml version="1.0" encoding="utf-8"?>
<sst xmlns="http://schemas.openxmlformats.org/spreadsheetml/2006/main" count="1905" uniqueCount="392">
  <si>
    <t>Smeta.RU  (495) 974-1589</t>
  </si>
  <si>
    <t>_PS_</t>
  </si>
  <si>
    <t>Smeta.RU</t>
  </si>
  <si>
    <t/>
  </si>
  <si>
    <t>Новый объект</t>
  </si>
  <si>
    <t>Ремонт фойе ОВП1 этаж Ильский Погост</t>
  </si>
  <si>
    <t>Сметные нормы списания</t>
  </si>
  <si>
    <t>Коды ценников</t>
  </si>
  <si>
    <t>ТСНБ-2001 Московской области (Версия 15.0)</t>
  </si>
  <si>
    <t>ТР для Версии 10: Центральные регионы (с уч. п-ма 2536-ИП/12/ГС от 27.11.12, 01/57049-ЮЛ от 27.04.2018) от 30.08.2018 г</t>
  </si>
  <si>
    <t>ТСНБ-2001 Московской области (редакция 2014 г версия 15.0)</t>
  </si>
  <si>
    <t>Поправки для НБ 2014 года от 02.12.2020</t>
  </si>
  <si>
    <t>Новая локальная смета</t>
  </si>
  <si>
    <t>3</t>
  </si>
  <si>
    <t>10-05-009-1</t>
  </si>
  <si>
    <t>Облицовка стен по системе «КНАУФ» по одинарному металлическому каркасу из ПН и ПС профилей гипсокартонными листами в один слой (С 625) оконным проемом</t>
  </si>
  <si>
    <t>100 м2 стен (за вычетом проемов)</t>
  </si>
  <si>
    <t>ТЕР Московской обл., 10-05-009-1, приказ Минстроя России №675/пр от 21.09.2015 г.</t>
  </si>
  <si>
    <t>)*1,25</t>
  </si>
  <si>
    <t>)*1,15</t>
  </si>
  <si>
    <t>Общестроительные работы</t>
  </si>
  <si>
    <t>Деревянные конструкции</t>
  </si>
  <si>
    <t>ФЕР-10</t>
  </si>
  <si>
    <t>Поправка: МДС 81-35.2004, п.4.7</t>
  </si>
  <si>
    <t>*0,9</t>
  </si>
  <si>
    <t>*0,85</t>
  </si>
  <si>
    <t>4</t>
  </si>
  <si>
    <t>15-06-001-4</t>
  </si>
  <si>
    <t>Оклейка обоями стен по листовым материалам, гипсобетонным и гипсолитовым поверхностям простыми и средней плотности</t>
  </si>
  <si>
    <t>100 м2 оклеиваемой и обиваемой поверхности</t>
  </si>
  <si>
    <t>ТЕР Московской обл., 15-06-001-4, приказ Минстроя России №675/пр от 21.09.2015 г.</t>
  </si>
  <si>
    <t>Отделочные работы</t>
  </si>
  <si>
    <t>ФЕР-15</t>
  </si>
  <si>
    <t>4,1</t>
  </si>
  <si>
    <t>101-3938</t>
  </si>
  <si>
    <t>Стеклообои TASSOGLAS, рогожка крупная</t>
  </si>
  <si>
    <t>м2</t>
  </si>
  <si>
    <t>ТССЦ Московской обл., 101-3938, приказ Минстроя России №675/пр от 21.09.2015 г.</t>
  </si>
  <si>
    <t>4,2</t>
  </si>
  <si>
    <t>113-8039</t>
  </si>
  <si>
    <t>Клей акриловый ПОЛАКС</t>
  </si>
  <si>
    <t>кг</t>
  </si>
  <si>
    <t>ТССЦ Московской обл., 113-8039, приказ Минстроя России №675/пр от 21.09.2015 г.</t>
  </si>
  <si>
    <t>4,3</t>
  </si>
  <si>
    <t>101-1830</t>
  </si>
  <si>
    <t>Обои обыкновенного качества</t>
  </si>
  <si>
    <t>100 м2</t>
  </si>
  <si>
    <t>ТССЦ Московской обл., 101-1830, приказ Минстроя России №675/пр от 21.09.2015 г.</t>
  </si>
  <si>
    <t>4,4</t>
  </si>
  <si>
    <t>101-1817</t>
  </si>
  <si>
    <t>Клей для обоев КМЦ</t>
  </si>
  <si>
    <t>т</t>
  </si>
  <si>
    <t>ТССЦ Московской обл., 101-1817, приказ Минстроя России №675/пр от 21.09.2015 г.</t>
  </si>
  <si>
    <t>5</t>
  </si>
  <si>
    <t>15-06-004-1</t>
  </si>
  <si>
    <t>Вторая окраска стен, оклееных стеклообоями, красками</t>
  </si>
  <si>
    <t>100 м2 поверхности стен</t>
  </si>
  <si>
    <t>ТЕР Московской обл., 15-06-004-1, приказ Минстроя России №675/пр от 21.09.2015 г.</t>
  </si>
  <si>
    <t>5,1</t>
  </si>
  <si>
    <t>101-3518</t>
  </si>
  <si>
    <t>Краска акриловая ДИВА-В для стен и потолков</t>
  </si>
  <si>
    <t>ТССЦ Московской обл., 101-3518, приказ Минстроя России №675/пр от 21.09.2015 г.</t>
  </si>
  <si>
    <t>Новый раздел</t>
  </si>
  <si>
    <t>потолок</t>
  </si>
  <si>
    <t>1</t>
  </si>
  <si>
    <t>15-01-047-15</t>
  </si>
  <si>
    <t>Устройство подвесных потолков типа &lt;Армстронг&gt; по каркасу из оцинкованного профиля</t>
  </si>
  <si>
    <t>100 м2 поверхности облицовки</t>
  </si>
  <si>
    <t>ТЕР Московской обл., 15-01-047-15, приказ Минстроя России №675/пр от 21.09.2015 г.</t>
  </si>
  <si>
    <t>2</t>
  </si>
  <si>
    <t>м08-03-593-19</t>
  </si>
  <si>
    <t>Светильник в подвесных потолках</t>
  </si>
  <si>
    <t>100 шт.</t>
  </si>
  <si>
    <t>ТЕРм Московской обл., м08-03-593-19, приказ Минстроя России №675/пр от 21.09.2015 г.</t>
  </si>
  <si>
    <t>Монтажные работы</t>
  </si>
  <si>
    <t>Электромонтажные работы ,  отдел 01-03 : ( на АЭС  НР = 110% ) - (работы по упр. авиа.- движением:  СП=55% (  {АВИА}=1; обычные работы : СП=65 - {AВИА}=0), при работе на АЭС СП= 68% )</t>
  </si>
  <si>
    <t>мФЕР-08</t>
  </si>
  <si>
    <t>2,1</t>
  </si>
  <si>
    <t>509-5121</t>
  </si>
  <si>
    <t>Светильник встраиваемый растровый с белым параболическим отражателем (5 перемычек) ЛВО 13-4х18-731/5</t>
  </si>
  <si>
    <t>шт.</t>
  </si>
  <si>
    <t>ТССЦ Московской обл., 509-5121, приказ Минстроя России №675/пр от 21.09.2015 г.</t>
  </si>
  <si>
    <t>т01-01-01-041</t>
  </si>
  <si>
    <t>Погрузка при автомобильных перевозках мусора строительного с погрузкой вручную</t>
  </si>
  <si>
    <t>1 Т ГРУЗА</t>
  </si>
  <si>
    <t>ТССЦпг Московской обл., т01-01-001-41, приказ Минстроя России №675/пр от 21.09.2015 г.</t>
  </si>
  <si>
    <t>Погрузочно-разгрузочные работы</t>
  </si>
  <si>
    <t>Перевозка грузов , (ФССЦпр 2011-изм. № 4-6, раздел 1):  погрузочно-разгрузочные работы  (НР и СП в прям. затратах )</t>
  </si>
  <si>
    <t>ФССЦпр  пог. а/п (2011,изм. 4-6)</t>
  </si>
  <si>
    <t>т03-01-01-040</t>
  </si>
  <si>
    <t>Перевозка грузов I класса автомобилями бортовыми грузоподъемностью до 15 т на расстояние до 40 км</t>
  </si>
  <si>
    <t>ТССЦпг Московской обл., т03-01-001-40, приказ Минстроя России №675/пр от 21.09.2015 г.</t>
  </si>
  <si>
    <t>Перевозка грузов авто/транспортом</t>
  </si>
  <si>
    <t>Перевозка грузов. Автомобильные перевозки  ( 2003 г., ч.1;  ФССЦпр-2011-изм. № 4-6 , раздел 3; )</t>
  </si>
  <si>
    <t>ФССЦ а/п (2003/2011 изм. 4-6)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</si>
  <si>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</si>
  <si>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</si>
  <si>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</si>
  <si>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</si>
  <si>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</si>
  <si>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</si>
  <si>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</si>
  <si>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</si>
  <si>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</si>
  <si>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</si>
  <si>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</si>
  <si>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</si>
  <si>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</si>
  <si>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</si>
  <si>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</si>
  <si>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</si>
  <si>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</si>
  <si>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</si>
  <si>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</si>
  <si>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</si>
  <si>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</si>
  <si>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</si>
  <si>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</si>
  <si>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</si>
  <si>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</si>
  <si>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</si>
  <si>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</si>
  <si>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</si>
  <si>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</si>
  <si>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</si>
  <si>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</si>
  <si>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</si>
  <si>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</si>
  <si>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</si>
  <si>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</si>
  <si>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</si>
  <si>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</si>
  <si>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</si>
  <si>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</si>
  <si>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</si>
  <si>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</si>
  <si>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</si>
  <si>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</si>
  <si>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</si>
  <si>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</si>
  <si>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</si>
  <si>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</si>
  <si>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</si>
  <si>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</si>
  <si>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</si>
  <si>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</si>
  <si>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</si>
  <si>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</si>
  <si>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</si>
  <si>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Ндс</t>
  </si>
  <si>
    <t>НДС 20%</t>
  </si>
  <si>
    <t>всего с Ндс</t>
  </si>
  <si>
    <t>всего с НДС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</si>
  <si>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</si>
  <si>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</si>
  <si>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</si>
  <si>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</si>
  <si>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</si>
  <si>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</si>
  <si>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</si>
  <si>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</si>
  <si>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Капитальный ремонт прозводственных зданий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</si>
  <si>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</si>
  <si>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</si>
  <si>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</si>
  <si>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Упрощенное налогообложение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</si>
  <si>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</si>
  <si>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</si>
  <si>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</si>
  <si>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Хозяйственный способ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</si>
  <si>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</si>
  <si>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</si>
  <si>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</si>
  <si>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"Сложные объекты "</t>
  </si>
  <si>
    <t>ТЕК_М/Т/Я</t>
  </si>
  <si>
    <t>При работе в тек. уровне цен с 27.04.2018 г. (письмо № 01/57049-ЮЛ от 27.04.2018 Минюст РФ), коэффициенты к НР =0,85 и к СП-0,8 не назначаются. До 27.04.2018 г. только для мостов, тоннелей, метро, АЭС, объектов с ядерным топливом (см. прим.)</t>
  </si>
  <si>
    <t>При работе в текущем уровне цен с 27.04.2018 г.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</si>
  <si>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</si>
  <si>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</si>
  <si>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</si>
  <si>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городских в/опт. линий связи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</si>
  <si>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</si>
  <si>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</si>
  <si>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</si>
  <si>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 обслуживающие процессы )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</si>
  <si>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</si>
  <si>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</si>
  <si>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</si>
  <si>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авитранспорта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</si>
  <si>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</si>
  <si>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</si>
  <si>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</si>
  <si>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Э/монтаж и контроль сварки на АЭС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</si>
  <si>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</si>
  <si>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</si>
  <si>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</si>
  <si>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</si>
  <si>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</si>
  <si>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</si>
  <si>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</si>
  <si>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</si>
  <si>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</si>
  <si>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</si>
  <si>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</si>
  <si>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</si>
  <si>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</si>
  <si>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</si>
  <si>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</si>
  <si>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</si>
  <si>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</si>
  <si>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до 27.04.18 если (ТЕК_М/Т/Я) = {выкл.}</t>
  </si>
  <si>
    <t>К_СП_12</t>
  </si>
  <si>
    <t>Корректировка СП с 03.12.12 до 27.04.18 в текущем уровне цен по письму  2536-ИП/12/ГС от 27.11.12  ( если (ТЕК_М/Т/Я)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</si>
  <si>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</si>
  <si>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</si>
  <si>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</si>
  <si>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</si>
  <si>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</si>
  <si>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</si>
  <si>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</si>
  <si>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(мосты, метро, путепроводы)  и  кап. ремонте АЭС,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</si>
  <si>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</si>
  <si>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</si>
  <si>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</si>
  <si>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</si>
  <si>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Уровень цен</t>
  </si>
  <si>
    <t>Сборник индексов</t>
  </si>
  <si>
    <t>ТСНБ-2001 МО (редакция 2014 г)</t>
  </si>
  <si>
    <t>Вид цен</t>
  </si>
  <si>
    <t>Московская область Каталог текущих цен на материалы, декабрь 2020 г</t>
  </si>
  <si>
    <t>_OBSM_</t>
  </si>
  <si>
    <t>1-1035-90</t>
  </si>
  <si>
    <t>Рабочий строитель среднего разряда 3,5</t>
  </si>
  <si>
    <t>чел.-ч</t>
  </si>
  <si>
    <t>134041</t>
  </si>
  <si>
    <t>ТСЭМ Московской обл., 134041, приказ Минстроя России №675/пр от 21.09.2015 г.</t>
  </si>
  <si>
    <t>Шуруповерт</t>
  </si>
  <si>
    <t>маш.-ч</t>
  </si>
  <si>
    <t>330901</t>
  </si>
  <si>
    <t>ТСЭМ Московской обл., 330901, приказ Минстроя России №675/пр от 21.09.2015 г.</t>
  </si>
  <si>
    <t>Ножницы электрические</t>
  </si>
  <si>
    <t>331451</t>
  </si>
  <si>
    <t>ТСЭМ Московской обл., 331451, приказ Минстроя России №675/пр от 21.09.2015 г.</t>
  </si>
  <si>
    <t>Перфораторы электрические</t>
  </si>
  <si>
    <t>101-2387</t>
  </si>
  <si>
    <t>ТССЦ Московской обл., 101-2387, приказ Минстроя России №675/пр от 21.09.2015 г.</t>
  </si>
  <si>
    <t>Герметик строительный «RDPRO», 300 мл</t>
  </si>
  <si>
    <t>101-2430</t>
  </si>
  <si>
    <t>ТССЦ Московской обл., 101-2430, приказ Минстроя России №675/пр от 21.09.2015 г.</t>
  </si>
  <si>
    <t>Грунтовка «Тифенгрунд», КНАУФ</t>
  </si>
  <si>
    <t>101-2435</t>
  </si>
  <si>
    <t>ТССЦ Московской обл., 101-2435, приказ Минстроя России №675/пр от 21.09.2015 г.</t>
  </si>
  <si>
    <t>Клей «Перлфикс», КНАУФ</t>
  </si>
  <si>
    <t>101-2437</t>
  </si>
  <si>
    <t>ТССЦ Московской обл., 101-2437, приказ Минстроя России №675/пр от 21.09.2015 г.</t>
  </si>
  <si>
    <t>Шпаклевка «Унифлот», КНАУФ</t>
  </si>
  <si>
    <t>101-2438</t>
  </si>
  <si>
    <t>ТССЦ Московской обл., 101-2438, приказ Минстроя России №675/пр от 21.09.2015 г.</t>
  </si>
  <si>
    <t>Шпаклевка «Фугенфюллер», КНАУФ</t>
  </si>
  <si>
    <t>101-2474</t>
  </si>
  <si>
    <t>ТССЦ Московской обл., 101-2474, приказ Минстроя России №675/пр от 21.09.2015 г.</t>
  </si>
  <si>
    <t>Лента бумажная для повышения трещиностойкости стыков ГКЛ и ГВЛ</t>
  </si>
  <si>
    <t>м</t>
  </si>
  <si>
    <t>101-2480</t>
  </si>
  <si>
    <t>ТССЦ Московской обл., 101-2480, приказ Минстроя России №675/пр от 21.09.2015 г.</t>
  </si>
  <si>
    <t>Лента разделительная для сопряжения потолка из ЛГК со стеной</t>
  </si>
  <si>
    <t>101-2486</t>
  </si>
  <si>
    <t>ТССЦ Московской обл., 101-2486, приказ Минстроя России №675/пр от 21.09.2015 г.</t>
  </si>
  <si>
    <t>Лента эластичная самоклеящаяся для профилей направляющих «Дихтунгсбанд» 70/30000 мм</t>
  </si>
  <si>
    <t>101-2509</t>
  </si>
  <si>
    <t>ТССЦ Московской обл., 101-2509, приказ Минстроя России №675/пр от 21.09.2015 г.</t>
  </si>
  <si>
    <t>Листы гипсокартонные ГКЛ 12,5 мм</t>
  </si>
  <si>
    <t>101-2583</t>
  </si>
  <si>
    <t>ТССЦ Московской обл., 101-2583, приказ Минстроя России №675/пр от 21.09.2015 г.</t>
  </si>
  <si>
    <t>Шуруп самонарезающий (TN) 3,5/25 мм</t>
  </si>
  <si>
    <t>101-2590</t>
  </si>
  <si>
    <t>ТССЦ Московской обл., 101-2590, приказ Минстроя России №675/пр от 21.09.2015 г.</t>
  </si>
  <si>
    <t>Дюбель с шурупом 6/35 мм</t>
  </si>
  <si>
    <t>201-0793</t>
  </si>
  <si>
    <t>ТССЦ Московской обл., 201-0793, приказ Минстроя России №675/пр от 21.09.2015 г.</t>
  </si>
  <si>
    <t>Профиль направляющий ПН-4 75/40/0,6</t>
  </si>
  <si>
    <t>201-0807</t>
  </si>
  <si>
    <t>ТССЦ Московской обл., 201-0807, приказ Минстроя России №675/пр от 21.09.2015 г.</t>
  </si>
  <si>
    <t>Профиль стоечный ПС-4 75/50/0,6</t>
  </si>
  <si>
    <t>201-0811</t>
  </si>
  <si>
    <t>ТССЦ Московской обл., 201-0811, приказ Минстроя России №675/пр от 21.09.2015 г.</t>
  </si>
  <si>
    <t>Профиль угловой ПУ 31/31 для защиты углов</t>
  </si>
  <si>
    <t>1-1033-90</t>
  </si>
  <si>
    <t>Рабочий строитель среднего разряда 3,3</t>
  </si>
  <si>
    <t>Затраты труда машинистов</t>
  </si>
  <si>
    <t>чел.час</t>
  </si>
  <si>
    <t>030954</t>
  </si>
  <si>
    <t>ТСЭМ Московской обл., 030954, приказ Минстроя России №675/пр от 21.09.2015 г.</t>
  </si>
  <si>
    <t>Подъемники грузоподъемностью до 500 кг одномачтовые, высота подъема 45 м</t>
  </si>
  <si>
    <t>400001</t>
  </si>
  <si>
    <t>ТСЭМ Московской обл., 400001, приказ Минстроя России №675/пр от 21.09.2015 г.</t>
  </si>
  <si>
    <t>Автомобили бортовые, грузоподъемность до 5 т</t>
  </si>
  <si>
    <t>101-1757</t>
  </si>
  <si>
    <t>ТССЦ Московской обл., 101-1757, приказ Минстроя России №675/пр от 21.09.2015 г.</t>
  </si>
  <si>
    <t>Ветошь</t>
  </si>
  <si>
    <t>101-1829</t>
  </si>
  <si>
    <t>ТССЦ Московской обл., 101-1829, приказ Минстроя России №675/пр от 21.09.2015 г.</t>
  </si>
  <si>
    <t>Бумага ролевая</t>
  </si>
  <si>
    <t>409-0639</t>
  </si>
  <si>
    <t>ТССЦ Московской обл., 409-0639, приказ Минстроя России №675/пр от 21.09.2015 г.</t>
  </si>
  <si>
    <t>Пемза шлаковая (щебень пористый из металлургического шлака), марка 600, фракция 5-10 мм</t>
  </si>
  <si>
    <t>м3</t>
  </si>
  <si>
    <t>411-0001</t>
  </si>
  <si>
    <t>ТССЦ Московской обл., 411-0001, приказ Минстроя России №675/пр от 21.09.2015 г.</t>
  </si>
  <si>
    <t>Вода</t>
  </si>
  <si>
    <t>1-1040-90</t>
  </si>
  <si>
    <t>Рабочий строитель среднего разряда 4</t>
  </si>
  <si>
    <t>1-1038-90</t>
  </si>
  <si>
    <t>Рабочий строитель среднего разряда 3,8</t>
  </si>
  <si>
    <t>330206</t>
  </si>
  <si>
    <t>ТСЭМ Московской обл., 330206, приказ Минстроя России №675/пр от 21.09.2015 г.</t>
  </si>
  <si>
    <t>Дрели электрические</t>
  </si>
  <si>
    <t>101-2414</t>
  </si>
  <si>
    <t>ТССЦ Московской обл., 101-2414, приказ Минстроя России №675/пр от 21.09.2015 г.</t>
  </si>
  <si>
    <t>Панели потолочные с комплектующими «Армстронг»</t>
  </si>
  <si>
    <t>1-2042-90</t>
  </si>
  <si>
    <t>Рабочий монтажник среднего разряда 4,2</t>
  </si>
  <si>
    <t>021102</t>
  </si>
  <si>
    <t>ТСЭМ Московской обл., 021102, приказ Минстроя России №675/пр от 21.09.2015 г.</t>
  </si>
  <si>
    <t>Краны на автомобильном ходу при работе на монтаже технологического оборудования 10 т</t>
  </si>
  <si>
    <t>509-0167</t>
  </si>
  <si>
    <t>ТССЦ Московской обл., 509-0167, приказ Минстроя России №675/пр от 21.09.2015 г.</t>
  </si>
  <si>
    <t>Сжимы соединительные</t>
  </si>
  <si>
    <t>999-9950</t>
  </si>
  <si>
    <t>ТССЦ Московской обл., 999-9950, приказ Минстроя России №675/пр от 21.09.2015 г.</t>
  </si>
  <si>
    <t>Вспомогательные ненормируемые материалы (2% от ОЗП)</t>
  </si>
  <si>
    <t>РУБ</t>
  </si>
  <si>
    <t>101-9851</t>
  </si>
  <si>
    <t>ТССЦ Московской обл., 101-9851, приказ Минстроя России №675/пр от 21.09.2015 г.</t>
  </si>
  <si>
    <t>Краска</t>
  </si>
  <si>
    <t>Поправка: МДС 81-35.2004, п.4.7  Наименование: Работы, выполняемые при реконструкции зданий и сооружений работы, аналогичные технологическим процессам в новом строительстве (в том числе возведение новых конструктивных элементов) стоимость которых определена по соответствующим сборникам ФЕР, кроме сборника № 46 «Работы при реконструкции зданий и сооружений»</t>
  </si>
  <si>
    <t>"СОГЛАСОВАНО"</t>
  </si>
  <si>
    <t>"УТВЕРЖДАЮ"</t>
  </si>
  <si>
    <t>"_____"________________ 2021 г.</t>
  </si>
  <si>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</si>
  <si>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</si>
  <si>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</si>
  <si>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</si>
  <si>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</si>
  <si>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</si>
  <si>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</si>
  <si>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</si>
  <si>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</si>
  <si>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</si>
  <si>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</si>
  <si>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</si>
  <si>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</si>
  <si>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</si>
  <si>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Строительный объем:</t>
  </si>
  <si>
    <t>Стоимость ед.стр.объема: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</si>
  <si>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</si>
  <si>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</si>
  <si>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</si>
  <si>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</si>
  <si>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</si>
  <si>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</si>
  <si>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</si>
  <si>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</si>
  <si>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</si>
  <si>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</si>
  <si>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</si>
  <si>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</si>
  <si>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ТСНБ-2001 МО (редакция 2014 г) февраль 2021 года и Московская область Каталог текущих цен на материалы, декабрь 2020 г</t>
  </si>
  <si>
    <r>
      <t>10-05-009-1</t>
    </r>
    <r>
      <rPr>
        <i/>
        <sz val="10"/>
        <rFont val="Arial"/>
        <family val="2"/>
        <charset val="204"/>
      </rPr>
      <t xml:space="preserve">
Поправка: МДС 81-35.2004, п.4.7</t>
    </r>
  </si>
  <si>
    <t>Зарплата</t>
  </si>
  <si>
    <t>Материальные ресурсы</t>
  </si>
  <si>
    <t>НР от ФОТ</t>
  </si>
  <si>
    <t>%</t>
  </si>
  <si>
    <t>СП от ФОТ</t>
  </si>
  <si>
    <t>Затраты труда</t>
  </si>
  <si>
    <t>чел-ч</t>
  </si>
  <si>
    <r>
      <t>15-06-001-4</t>
    </r>
    <r>
      <rPr>
        <i/>
        <sz val="10"/>
        <rFont val="Arial"/>
        <family val="2"/>
        <charset val="204"/>
      </rPr>
      <t xml:space="preserve">
Поправка: МДС 81-35.2004, п.4.7</t>
    </r>
  </si>
  <si>
    <t>в т.ч. зарплата машинистов</t>
  </si>
  <si>
    <r>
      <t>15-01-047-15</t>
    </r>
    <r>
      <rPr>
        <i/>
        <sz val="10"/>
        <rFont val="Arial"/>
        <family val="2"/>
        <charset val="204"/>
      </rPr>
      <t xml:space="preserve">
Поправка: МДС 81-35.2004, п.4.7</t>
    </r>
  </si>
  <si>
    <t xml:space="preserve">   </t>
  </si>
  <si>
    <t xml:space="preserve">Объемы согласовал  </t>
  </si>
  <si>
    <t>[должность,подпись(инициалы,фамилия)]</t>
  </si>
  <si>
    <t xml:space="preserve">Составил  </t>
  </si>
  <si>
    <t xml:space="preserve">Проверил  </t>
  </si>
  <si>
    <t xml:space="preserve">Мы, нижеподписавшиеся, произвели осмотр объекта </t>
  </si>
  <si>
    <t xml:space="preserve">и постановили произвести ремонт объекта в </t>
  </si>
  <si>
    <t>следующем объеме:</t>
  </si>
  <si>
    <t>Единица измерения</t>
  </si>
  <si>
    <t>Количество</t>
  </si>
  <si>
    <t>Примечание</t>
  </si>
  <si>
    <t>Заказчик _________________</t>
  </si>
  <si>
    <t>Подрядчик _________________</t>
  </si>
</sst>
</file>

<file path=xl/styles.xml><?xml version="1.0" encoding="utf-8"?>
<styleSheet xmlns="http://schemas.openxmlformats.org/spreadsheetml/2006/main">
  <numFmts count="3">
    <numFmt numFmtId="164" formatCode="#,##0.00;[Red]\-\ #,##0.00"/>
    <numFmt numFmtId="165" formatCode="#,##0.00####;[Red]\-\ #,##0.00####"/>
    <numFmt numFmtId="166" formatCode="#,##0.0;[Red]\-\ #,##0.0"/>
  </numFmts>
  <fonts count="20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11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0" xfId="0" applyFont="1" applyAlignment="1">
      <alignment vertical="top" wrapText="1"/>
    </xf>
    <xf numFmtId="164" fontId="0" fillId="0" borderId="0" xfId="0" applyNumberFormat="1"/>
    <xf numFmtId="0" fontId="11" fillId="0" borderId="2" xfId="0" applyFont="1" applyBorder="1"/>
    <xf numFmtId="0" fontId="1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horizontal="left" wrapText="1"/>
    </xf>
    <xf numFmtId="0" fontId="17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0" fontId="17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19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11" fillId="0" borderId="0" xfId="0" quotePrefix="1" applyFont="1" applyAlignment="1">
      <alignment horizontal="right" wrapText="1"/>
    </xf>
    <xf numFmtId="0" fontId="11" fillId="0" borderId="2" xfId="0" quotePrefix="1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 vertical="top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right" wrapText="1"/>
    </xf>
    <xf numFmtId="0" fontId="11" fillId="0" borderId="3" xfId="0" applyFont="1" applyBorder="1" applyAlignment="1">
      <alignment horizontal="right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wrapText="1"/>
    </xf>
    <xf numFmtId="0" fontId="11" fillId="0" borderId="5" xfId="0" applyFont="1" applyBorder="1" applyAlignment="1">
      <alignment horizontal="right" wrapText="1"/>
    </xf>
    <xf numFmtId="0" fontId="11" fillId="0" borderId="5" xfId="0" applyFont="1" applyBorder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 wrapText="1"/>
    </xf>
    <xf numFmtId="0" fontId="12" fillId="0" borderId="0" xfId="0" applyFont="1" applyAlignment="1">
      <alignment horizontal="center" wrapText="1"/>
    </xf>
    <xf numFmtId="16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left" wrapText="1"/>
    </xf>
    <xf numFmtId="164" fontId="14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left" wrapText="1"/>
    </xf>
    <xf numFmtId="166" fontId="11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2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25"/>
  <sheetViews>
    <sheetView tabSelected="1" topLeftCell="A101" zoomScaleNormal="100" workbookViewId="0">
      <selection activeCell="A47" sqref="A47"/>
    </sheetView>
  </sheetViews>
  <sheetFormatPr defaultRowHeight="12.75"/>
  <cols>
    <col min="1" max="1" width="5.7109375" customWidth="1"/>
    <col min="2" max="2" width="11.7109375" customWidth="1"/>
    <col min="3" max="3" width="40.7109375" customWidth="1"/>
    <col min="4" max="5" width="10.7109375" customWidth="1"/>
    <col min="6" max="8" width="12.7109375" customWidth="1"/>
    <col min="9" max="9" width="17.7109375" customWidth="1"/>
    <col min="10" max="10" width="8.7109375" customWidth="1"/>
    <col min="11" max="11" width="12.7109375" customWidth="1"/>
    <col min="12" max="12" width="9.7109375" customWidth="1"/>
    <col min="15" max="31" width="0" hidden="1" customWidth="1"/>
    <col min="32" max="32" width="91.7109375" hidden="1" customWidth="1"/>
    <col min="33" max="36" width="0" hidden="1" customWidth="1"/>
  </cols>
  <sheetData>
    <row r="1" spans="1:12">
      <c r="A1" s="9" t="str">
        <f>Source!B1</f>
        <v>Smeta.RU  (495) 974-1589</v>
      </c>
    </row>
    <row r="2" spans="1:12" ht="14.25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</row>
    <row r="3" spans="1:12" ht="16.5">
      <c r="A3" s="12"/>
      <c r="B3" s="93" t="s">
        <v>336</v>
      </c>
      <c r="C3" s="93"/>
      <c r="D3" s="93"/>
      <c r="E3" s="93"/>
      <c r="F3" s="11"/>
      <c r="G3" s="11"/>
      <c r="H3" s="93" t="s">
        <v>337</v>
      </c>
      <c r="I3" s="93"/>
      <c r="J3" s="93"/>
      <c r="K3" s="93"/>
      <c r="L3" s="93"/>
    </row>
    <row r="4" spans="1:12" ht="14.25">
      <c r="A4" s="11"/>
      <c r="B4" s="72"/>
      <c r="C4" s="72"/>
      <c r="D4" s="72"/>
      <c r="E4" s="72"/>
      <c r="F4" s="11"/>
      <c r="G4" s="11"/>
      <c r="H4" s="72"/>
      <c r="I4" s="72"/>
      <c r="J4" s="72"/>
      <c r="K4" s="72"/>
      <c r="L4" s="72"/>
    </row>
    <row r="5" spans="1:12" ht="14.25">
      <c r="A5" s="13"/>
      <c r="B5" s="13"/>
      <c r="C5" s="14"/>
      <c r="D5" s="14"/>
      <c r="E5" s="14"/>
      <c r="F5" s="11"/>
      <c r="G5" s="11"/>
      <c r="H5" s="15"/>
      <c r="I5" s="14"/>
      <c r="J5" s="14"/>
      <c r="K5" s="14"/>
      <c r="L5" s="15"/>
    </row>
    <row r="6" spans="1:12" ht="14.25">
      <c r="A6" s="15"/>
      <c r="B6" s="72" t="str">
        <f>CONCATENATE("______________________ ", IF(Source!AL12&lt;&gt;"", Source!AL12, ""))</f>
        <v xml:space="preserve">______________________ </v>
      </c>
      <c r="C6" s="72"/>
      <c r="D6" s="72"/>
      <c r="E6" s="72"/>
      <c r="F6" s="11"/>
      <c r="G6" s="11"/>
      <c r="H6" s="72" t="str">
        <f>CONCATENATE("______________________ ", IF(Source!AH12&lt;&gt;"", Source!AH12, ""))</f>
        <v xml:space="preserve">______________________ </v>
      </c>
      <c r="I6" s="72"/>
      <c r="J6" s="72"/>
      <c r="K6" s="72"/>
      <c r="L6" s="72"/>
    </row>
    <row r="7" spans="1:12" ht="14.25">
      <c r="A7" s="16"/>
      <c r="B7" s="91" t="s">
        <v>338</v>
      </c>
      <c r="C7" s="91"/>
      <c r="D7" s="91"/>
      <c r="E7" s="91"/>
      <c r="F7" s="11"/>
      <c r="G7" s="11"/>
      <c r="H7" s="91" t="s">
        <v>338</v>
      </c>
      <c r="I7" s="91"/>
      <c r="J7" s="91"/>
      <c r="K7" s="91"/>
      <c r="L7" s="91"/>
    </row>
    <row r="10" spans="1:12" ht="15.75">
      <c r="A10" s="1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16"/>
    </row>
    <row r="11" spans="1:12" ht="14.25">
      <c r="A11" s="17"/>
      <c r="B11" s="92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16"/>
    </row>
    <row r="12" spans="1:12" ht="14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4.25">
      <c r="A13" s="11"/>
      <c r="B13" s="11"/>
      <c r="C13" s="11"/>
      <c r="D13" s="11"/>
      <c r="E13" s="11"/>
      <c r="F13" s="73" t="s">
        <v>340</v>
      </c>
      <c r="G13" s="73"/>
      <c r="H13" s="80" t="str">
        <f>IF(Source!F12&lt;&gt;"Новый объект", Source!F12, "")</f>
        <v/>
      </c>
      <c r="I13" s="80"/>
      <c r="J13" s="80"/>
      <c r="K13" s="80"/>
      <c r="L13" s="18"/>
    </row>
    <row r="14" spans="1:12" ht="14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5.75">
      <c r="A15" s="19"/>
      <c r="B15" s="86" t="str">
        <f>CONCATENATE( "ЛОКАЛЬНАЯ СМЕТА № ",IF(Source!F12&lt;&gt;"Новый объект", Source!F12, ""))</f>
        <v xml:space="preserve">ЛОКАЛЬНАЯ СМЕТА № </v>
      </c>
      <c r="C15" s="86"/>
      <c r="D15" s="86"/>
      <c r="E15" s="86"/>
      <c r="F15" s="86"/>
      <c r="G15" s="86"/>
      <c r="H15" s="86"/>
      <c r="I15" s="86"/>
      <c r="J15" s="86"/>
      <c r="K15" s="86"/>
      <c r="L15" s="19"/>
    </row>
    <row r="16" spans="1:12" ht="15.7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19"/>
    </row>
    <row r="17" spans="1:12" ht="18" hidden="1">
      <c r="A17" s="19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19"/>
    </row>
    <row r="18" spans="1:12" ht="14.25" hidden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8">
      <c r="A19" s="11"/>
      <c r="B19" s="88" t="str">
        <f>IF(Source!G12&lt;&gt;"Новый объект", Source!G12, "")</f>
        <v>Ремонт фойе ОВП1 этаж Ильский Погост</v>
      </c>
      <c r="C19" s="88"/>
      <c r="D19" s="88"/>
      <c r="E19" s="88"/>
      <c r="F19" s="88"/>
      <c r="G19" s="88"/>
      <c r="H19" s="88"/>
      <c r="I19" s="88"/>
      <c r="J19" s="88"/>
      <c r="K19" s="88"/>
      <c r="L19" s="21"/>
    </row>
    <row r="20" spans="1:12" ht="14.25">
      <c r="A20" s="11"/>
      <c r="B20" s="89" t="s">
        <v>341</v>
      </c>
      <c r="C20" s="89"/>
      <c r="D20" s="89"/>
      <c r="E20" s="89"/>
      <c r="F20" s="89"/>
      <c r="G20" s="89"/>
      <c r="H20" s="89"/>
      <c r="I20" s="89"/>
      <c r="J20" s="89"/>
      <c r="K20" s="89"/>
      <c r="L20" s="16"/>
    </row>
    <row r="21" spans="1:12" ht="14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ht="14.25">
      <c r="A22" s="80" t="str">
        <f>CONCATENATE("Основание: ", Source!J12)</f>
        <v xml:space="preserve">Основание: 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</row>
    <row r="23" spans="1:12" ht="14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4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4.25">
      <c r="A25" s="11"/>
      <c r="B25" s="11"/>
      <c r="C25" s="11"/>
      <c r="D25" s="11"/>
      <c r="E25" s="22"/>
      <c r="F25" s="22"/>
      <c r="G25" s="90" t="s">
        <v>342</v>
      </c>
      <c r="H25" s="90"/>
      <c r="I25" s="90" t="s">
        <v>343</v>
      </c>
      <c r="J25" s="90"/>
      <c r="K25" s="11"/>
      <c r="L25" s="11"/>
    </row>
    <row r="26" spans="1:12" ht="15">
      <c r="A26" s="11"/>
      <c r="B26" s="11"/>
      <c r="C26" s="82" t="s">
        <v>344</v>
      </c>
      <c r="D26" s="82"/>
      <c r="E26" s="82"/>
      <c r="F26" s="82"/>
      <c r="G26" s="83">
        <f>SUM(O1:O113)/1000</f>
        <v>8.9796399999999998</v>
      </c>
      <c r="H26" s="83"/>
      <c r="I26" s="83">
        <f>(Source!F133/1000)</f>
        <v>119.82130000000001</v>
      </c>
      <c r="J26" s="83"/>
      <c r="K26" s="84" t="s">
        <v>345</v>
      </c>
      <c r="L26" s="84"/>
    </row>
    <row r="27" spans="1:12" ht="14.25">
      <c r="A27" s="11"/>
      <c r="B27" s="11"/>
      <c r="C27" s="85" t="s">
        <v>346</v>
      </c>
      <c r="D27" s="85"/>
      <c r="E27" s="85"/>
      <c r="F27" s="85"/>
      <c r="G27" s="83">
        <f>SUM(W1:W113)/1000</f>
        <v>7.8503100000000003</v>
      </c>
      <c r="H27" s="83"/>
      <c r="I27" s="83">
        <f>(Source!F120)/1000</f>
        <v>92.549890000000005</v>
      </c>
      <c r="J27" s="83"/>
      <c r="K27" s="84" t="s">
        <v>345</v>
      </c>
      <c r="L27" s="84"/>
    </row>
    <row r="28" spans="1:12" ht="14.25">
      <c r="A28" s="11"/>
      <c r="B28" s="11"/>
      <c r="C28" s="85" t="s">
        <v>347</v>
      </c>
      <c r="D28" s="85"/>
      <c r="E28" s="85"/>
      <c r="F28" s="85"/>
      <c r="G28" s="83">
        <f>SUM(X1:X113)/1000</f>
        <v>1.1293299999999999</v>
      </c>
      <c r="H28" s="83"/>
      <c r="I28" s="83">
        <f>(Source!F121)/1000</f>
        <v>7.3011599999999994</v>
      </c>
      <c r="J28" s="83"/>
      <c r="K28" s="84" t="s">
        <v>345</v>
      </c>
      <c r="L28" s="84"/>
    </row>
    <row r="29" spans="1:12" ht="14.25">
      <c r="A29" s="11"/>
      <c r="B29" s="11"/>
      <c r="C29" s="85" t="s">
        <v>348</v>
      </c>
      <c r="D29" s="85"/>
      <c r="E29" s="85"/>
      <c r="F29" s="85"/>
      <c r="G29" s="83">
        <f>SUM(Y1:Y113)/1000</f>
        <v>0</v>
      </c>
      <c r="H29" s="83"/>
      <c r="I29" s="83">
        <f>(Source!F112)/1000</f>
        <v>0</v>
      </c>
      <c r="J29" s="83"/>
      <c r="K29" s="84" t="s">
        <v>345</v>
      </c>
      <c r="L29" s="84"/>
    </row>
    <row r="30" spans="1:12" ht="14.25">
      <c r="A30" s="11"/>
      <c r="B30" s="11"/>
      <c r="C30" s="85" t="s">
        <v>349</v>
      </c>
      <c r="D30" s="85"/>
      <c r="E30" s="85"/>
      <c r="F30" s="85"/>
      <c r="G30" s="83">
        <f>SUM(Z1:Z113)/1000</f>
        <v>0</v>
      </c>
      <c r="H30" s="83"/>
      <c r="I30" s="83">
        <f>(Source!F122+Source!F123)/1000</f>
        <v>0</v>
      </c>
      <c r="J30" s="83"/>
      <c r="K30" s="84" t="s">
        <v>345</v>
      </c>
      <c r="L30" s="84"/>
    </row>
    <row r="31" spans="1:12" ht="15">
      <c r="A31" s="11"/>
      <c r="B31" s="11"/>
      <c r="C31" s="82" t="s">
        <v>350</v>
      </c>
      <c r="D31" s="82"/>
      <c r="E31" s="82"/>
      <c r="F31" s="82"/>
      <c r="G31" s="83">
        <f>I31</f>
        <v>93.214436999999975</v>
      </c>
      <c r="H31" s="83"/>
      <c r="I31" s="83">
        <f>(Source!F125+Source!F126)</f>
        <v>93.214436999999975</v>
      </c>
      <c r="J31" s="83"/>
      <c r="K31" s="84" t="s">
        <v>351</v>
      </c>
      <c r="L31" s="84"/>
    </row>
    <row r="32" spans="1:12" ht="15">
      <c r="A32" s="11"/>
      <c r="B32" s="11"/>
      <c r="C32" s="82" t="s">
        <v>352</v>
      </c>
      <c r="D32" s="82"/>
      <c r="E32" s="82"/>
      <c r="F32" s="82"/>
      <c r="G32" s="83">
        <f>SUM(R1:R113)/1000</f>
        <v>0.86591999999999991</v>
      </c>
      <c r="H32" s="83"/>
      <c r="I32" s="83">
        <f>(Source!F118+ Source!F117)/1000</f>
        <v>28.618299999999998</v>
      </c>
      <c r="J32" s="83"/>
      <c r="K32" s="84" t="s">
        <v>345</v>
      </c>
      <c r="L32" s="84"/>
    </row>
    <row r="33" spans="1:22" ht="14.25" hidden="1">
      <c r="A33" s="11"/>
      <c r="B33" s="11"/>
      <c r="C33" s="85" t="s">
        <v>134</v>
      </c>
      <c r="D33" s="85"/>
      <c r="E33" s="85"/>
      <c r="F33" s="85"/>
      <c r="G33" s="83"/>
      <c r="H33" s="83"/>
      <c r="I33" s="83"/>
      <c r="J33" s="83"/>
      <c r="K33" s="23" t="s">
        <v>345</v>
      </c>
      <c r="L33" s="11"/>
    </row>
    <row r="34" spans="1:22" ht="15">
      <c r="A34" s="11"/>
      <c r="B34" s="11"/>
      <c r="C34" s="24"/>
      <c r="D34" s="24"/>
      <c r="E34" s="24"/>
      <c r="F34" s="15"/>
      <c r="G34" s="25"/>
      <c r="H34" s="25"/>
      <c r="I34" s="25"/>
      <c r="J34" s="25"/>
      <c r="K34" s="25"/>
      <c r="L34" s="25"/>
    </row>
    <row r="35" spans="1:22" ht="15" hidden="1">
      <c r="A35" s="15" t="s">
        <v>353</v>
      </c>
      <c r="B35" s="11"/>
      <c r="C35" s="11"/>
      <c r="D35" s="13"/>
      <c r="E35" s="11"/>
      <c r="F35" s="11"/>
      <c r="G35" s="26"/>
      <c r="H35" s="26"/>
      <c r="I35" s="27"/>
      <c r="J35" s="26"/>
      <c r="K35" s="26"/>
      <c r="L35" s="26"/>
    </row>
    <row r="36" spans="1:22" ht="15" hidden="1">
      <c r="A36" s="15" t="s">
        <v>354</v>
      </c>
      <c r="B36" s="11"/>
      <c r="C36" s="11"/>
      <c r="D36" s="13"/>
      <c r="E36" s="11"/>
      <c r="F36" s="11"/>
      <c r="G36" s="26"/>
      <c r="H36" s="26"/>
      <c r="I36" s="27"/>
      <c r="J36" s="26"/>
      <c r="K36" s="26"/>
      <c r="L36" s="26"/>
    </row>
    <row r="37" spans="1:22" ht="15" hidden="1">
      <c r="A37" s="11"/>
      <c r="B37" s="11"/>
      <c r="C37" s="10"/>
      <c r="D37" s="10"/>
      <c r="E37" s="10"/>
      <c r="F37" s="10"/>
      <c r="G37" s="26"/>
      <c r="H37" s="26"/>
      <c r="I37" s="27"/>
      <c r="J37" s="26"/>
      <c r="K37" s="26"/>
      <c r="L37" s="26"/>
    </row>
    <row r="38" spans="1:22" ht="14.25">
      <c r="A38" s="79" t="s">
        <v>367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</row>
    <row r="39" spans="1:22" ht="57">
      <c r="A39" s="28" t="s">
        <v>355</v>
      </c>
      <c r="B39" s="28" t="s">
        <v>356</v>
      </c>
      <c r="C39" s="28" t="s">
        <v>357</v>
      </c>
      <c r="D39" s="28" t="s">
        <v>358</v>
      </c>
      <c r="E39" s="28" t="s">
        <v>359</v>
      </c>
      <c r="F39" s="28" t="s">
        <v>360</v>
      </c>
      <c r="G39" s="28" t="s">
        <v>361</v>
      </c>
      <c r="H39" s="28" t="s">
        <v>362</v>
      </c>
      <c r="I39" s="28" t="s">
        <v>363</v>
      </c>
      <c r="J39" s="28" t="s">
        <v>364</v>
      </c>
      <c r="K39" s="28" t="s">
        <v>365</v>
      </c>
      <c r="L39" s="28" t="s">
        <v>366</v>
      </c>
    </row>
    <row r="40" spans="1:22" ht="14.25">
      <c r="A40" s="29">
        <v>1</v>
      </c>
      <c r="B40" s="29">
        <v>2</v>
      </c>
      <c r="C40" s="29">
        <v>3</v>
      </c>
      <c r="D40" s="29">
        <v>4</v>
      </c>
      <c r="E40" s="29">
        <v>5</v>
      </c>
      <c r="F40" s="29">
        <v>6</v>
      </c>
      <c r="G40" s="29">
        <v>7</v>
      </c>
      <c r="H40" s="29">
        <v>8</v>
      </c>
      <c r="I40" s="29">
        <v>9</v>
      </c>
      <c r="J40" s="29">
        <v>10</v>
      </c>
      <c r="K40" s="29">
        <v>11</v>
      </c>
      <c r="L40" s="30">
        <v>12</v>
      </c>
    </row>
    <row r="42" spans="1:22" ht="16.5">
      <c r="A42" s="74" t="str">
        <f>CONCATENATE("Локальная смета: ",IF(Source!G20&lt;&gt;"Новая локальная смета", Source!G20, ""))</f>
        <v xml:space="preserve">Локальная смета: 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</row>
    <row r="43" spans="1:22" ht="79.5">
      <c r="A43" s="23" t="str">
        <f>Source!E24</f>
        <v>3</v>
      </c>
      <c r="B43" s="55" t="s">
        <v>368</v>
      </c>
      <c r="C43" s="55" t="str">
        <f>Source!G24</f>
        <v>Облицовка стен по системе «КНАУФ» по одинарному металлическому каркасу из ПН и ПС профилей гипсокартонными листами в один слой (С 625) оконным проемом</v>
      </c>
      <c r="D43" s="37" t="str">
        <f>Source!H24</f>
        <v>100 м2 стен (за вычетом проемов)</v>
      </c>
      <c r="E43" s="10">
        <f>Source!I24</f>
        <v>0.35</v>
      </c>
      <c r="F43" s="38">
        <f>Source!AL24+Source!AM24+Source!AO24</f>
        <v>6367.3</v>
      </c>
      <c r="G43" s="39"/>
      <c r="H43" s="40"/>
      <c r="I43" s="39" t="str">
        <f>Source!BO24</f>
        <v>10-05-009-1</v>
      </c>
      <c r="J43" s="39"/>
      <c r="K43" s="40"/>
      <c r="L43" s="41"/>
      <c r="S43">
        <f>ROUND((Source!FX24/100)*((ROUND(Source!AF24*Source!I24, 2)+ROUND(Source!AE24*Source!I24, 2))), 2)</f>
        <v>275.27</v>
      </c>
      <c r="T43">
        <f>Source!X24</f>
        <v>9080.48</v>
      </c>
      <c r="U43">
        <f>ROUND((Source!FY24/100)*((ROUND(Source!AF24*Source!I24, 2)+ROUND(Source!AE24*Source!I24, 2))), 2)</f>
        <v>138.80000000000001</v>
      </c>
      <c r="V43">
        <f>Source!Y24</f>
        <v>4625.8999999999996</v>
      </c>
    </row>
    <row r="44" spans="1:22">
      <c r="C44" s="31" t="str">
        <f>"Объем: "&amp;Source!I24&amp;"=35/"&amp;"100"</f>
        <v>Объем: 0,35=35/100</v>
      </c>
    </row>
    <row r="45" spans="1:22" ht="14.25">
      <c r="A45" s="23"/>
      <c r="B45" s="55"/>
      <c r="C45" s="55" t="s">
        <v>369</v>
      </c>
      <c r="D45" s="37"/>
      <c r="E45" s="10"/>
      <c r="F45" s="38">
        <f>Source!AO24</f>
        <v>643.97</v>
      </c>
      <c r="G45" s="39" t="str">
        <f>Source!DG24</f>
        <v>)*1,15</v>
      </c>
      <c r="H45" s="40">
        <f>ROUND(Source!AF24*Source!I24, 2)</f>
        <v>259.2</v>
      </c>
      <c r="I45" s="39"/>
      <c r="J45" s="39">
        <f>IF(Source!BA24&lt;&gt; 0, Source!BA24, 1)</f>
        <v>33.049999999999997</v>
      </c>
      <c r="K45" s="40">
        <f>Source!S24</f>
        <v>8566.49</v>
      </c>
      <c r="L45" s="41"/>
      <c r="R45">
        <f>H45</f>
        <v>259.2</v>
      </c>
    </row>
    <row r="46" spans="1:22" ht="14.25">
      <c r="A46" s="23"/>
      <c r="B46" s="55"/>
      <c r="C46" s="55" t="s">
        <v>116</v>
      </c>
      <c r="D46" s="37"/>
      <c r="E46" s="10"/>
      <c r="F46" s="38">
        <f>Source!AM24</f>
        <v>18.48</v>
      </c>
      <c r="G46" s="39" t="str">
        <f>Source!DE24</f>
        <v>)*1,25</v>
      </c>
      <c r="H46" s="40">
        <f>ROUND(Source!AD24*Source!I24, 2)</f>
        <v>8.09</v>
      </c>
      <c r="I46" s="39"/>
      <c r="J46" s="39">
        <f>IF(Source!BB24&lt;&gt; 0, Source!BB24, 1)</f>
        <v>5.79</v>
      </c>
      <c r="K46" s="40">
        <f>Source!Q24</f>
        <v>46.81</v>
      </c>
      <c r="L46" s="41"/>
    </row>
    <row r="47" spans="1:22" ht="14.25">
      <c r="A47" s="23"/>
      <c r="B47" s="55"/>
      <c r="C47" s="55" t="s">
        <v>370</v>
      </c>
      <c r="D47" s="37"/>
      <c r="E47" s="10"/>
      <c r="F47" s="38">
        <f>Source!AL24</f>
        <v>5704.85</v>
      </c>
      <c r="G47" s="39" t="str">
        <f>Source!DD24</f>
        <v/>
      </c>
      <c r="H47" s="40">
        <f>ROUND(Source!AC24*Source!I24, 2)</f>
        <v>1996.7</v>
      </c>
      <c r="I47" s="39"/>
      <c r="J47" s="39">
        <f>IF(Source!BC24&lt;&gt; 0, Source!BC24, 1)</f>
        <v>6.21</v>
      </c>
      <c r="K47" s="40">
        <f>Source!P24</f>
        <v>12399.49</v>
      </c>
      <c r="L47" s="41"/>
    </row>
    <row r="48" spans="1:22" ht="14.25">
      <c r="A48" s="23"/>
      <c r="B48" s="55"/>
      <c r="C48" s="55" t="s">
        <v>371</v>
      </c>
      <c r="D48" s="37" t="s">
        <v>372</v>
      </c>
      <c r="E48" s="10">
        <f>Source!BZ24</f>
        <v>118</v>
      </c>
      <c r="F48" s="72" t="str">
        <f>CONCATENATE(" )", Source!DL24, Source!FT24, "=", Source!FX24)</f>
        <v xml:space="preserve"> )*0,9=106,2</v>
      </c>
      <c r="G48" s="73"/>
      <c r="H48" s="40">
        <f>SUM(S43:S50)</f>
        <v>275.27</v>
      </c>
      <c r="I48" s="42"/>
      <c r="J48" s="36">
        <f>Source!AT24</f>
        <v>106</v>
      </c>
      <c r="K48" s="40">
        <f>SUM(T43:T50)</f>
        <v>9080.48</v>
      </c>
      <c r="L48" s="41"/>
    </row>
    <row r="49" spans="1:26" ht="14.25">
      <c r="A49" s="23"/>
      <c r="B49" s="55"/>
      <c r="C49" s="55" t="s">
        <v>373</v>
      </c>
      <c r="D49" s="37" t="s">
        <v>372</v>
      </c>
      <c r="E49" s="10">
        <f>Source!CA24</f>
        <v>63</v>
      </c>
      <c r="F49" s="72" t="str">
        <f>CONCATENATE(" )", Source!DM24, Source!FU24, "=", Source!FY24)</f>
        <v xml:space="preserve"> )*0,85=53,55</v>
      </c>
      <c r="G49" s="73"/>
      <c r="H49" s="40">
        <f>SUM(U43:U50)</f>
        <v>138.80000000000001</v>
      </c>
      <c r="I49" s="42"/>
      <c r="J49" s="36">
        <f>Source!AU24</f>
        <v>54</v>
      </c>
      <c r="K49" s="40">
        <f>SUM(V43:V50)</f>
        <v>4625.8999999999996</v>
      </c>
      <c r="L49" s="41"/>
    </row>
    <row r="50" spans="1:26" ht="14.25">
      <c r="A50" s="56"/>
      <c r="B50" s="57"/>
      <c r="C50" s="57" t="s">
        <v>374</v>
      </c>
      <c r="D50" s="43" t="s">
        <v>375</v>
      </c>
      <c r="E50" s="44">
        <f>Source!AQ24</f>
        <v>71</v>
      </c>
      <c r="F50" s="45"/>
      <c r="G50" s="46" t="str">
        <f>Source!DI24</f>
        <v>)*1,15</v>
      </c>
      <c r="H50" s="47"/>
      <c r="I50" s="46"/>
      <c r="J50" s="46"/>
      <c r="K50" s="47"/>
      <c r="L50" s="48">
        <f>Source!U24</f>
        <v>28.577499999999993</v>
      </c>
    </row>
    <row r="51" spans="1:26" ht="15">
      <c r="G51" s="77">
        <f>H45+H46+H47+H48+H49</f>
        <v>2678.06</v>
      </c>
      <c r="H51" s="77"/>
      <c r="J51" s="77">
        <f>K45+K46+K47+K48+K49</f>
        <v>34719.17</v>
      </c>
      <c r="K51" s="77"/>
      <c r="L51" s="49">
        <f>Source!U24</f>
        <v>28.577499999999993</v>
      </c>
      <c r="O51" s="32">
        <f>G51</f>
        <v>2678.06</v>
      </c>
      <c r="P51" s="32">
        <f>J51</f>
        <v>34719.17</v>
      </c>
      <c r="Q51" s="32">
        <f>L51</f>
        <v>28.577499999999993</v>
      </c>
      <c r="W51">
        <f>IF(Source!BI24&lt;=1,H45+H46+H47+H48+H49, 0)</f>
        <v>2678.06</v>
      </c>
      <c r="X51">
        <f>IF(Source!BI24=2,H45+H46+H47+H48+H49, 0)</f>
        <v>0</v>
      </c>
      <c r="Y51">
        <f>IF(Source!BI24=3,H45+H46+H47+H48+H49, 0)</f>
        <v>0</v>
      </c>
      <c r="Z51">
        <f>IF(Source!BI24=4,H45+H46+H47+H48+H49, 0)</f>
        <v>0</v>
      </c>
    </row>
    <row r="52" spans="1:26" ht="99.75">
      <c r="A52" s="23" t="str">
        <f>Source!E25</f>
        <v>4</v>
      </c>
      <c r="B52" s="55" t="s">
        <v>376</v>
      </c>
      <c r="C52" s="55" t="str">
        <f>Source!G25</f>
        <v>Оклейка обоями стен по листовым материалам, гипсобетонным и гипсолитовым поверхностям простыми и средней плотности</v>
      </c>
      <c r="D52" s="37" t="str">
        <f>Source!H25</f>
        <v>100 м2 оклеиваемой и обиваемой поверхности</v>
      </c>
      <c r="E52" s="10">
        <f>Source!I25</f>
        <v>0.35</v>
      </c>
      <c r="F52" s="38">
        <f>Source!AL25+Source!AM25+Source!AO25</f>
        <v>807.46999999999991</v>
      </c>
      <c r="G52" s="39"/>
      <c r="H52" s="40"/>
      <c r="I52" s="39" t="str">
        <f>Source!BO25</f>
        <v>15-06-001-4</v>
      </c>
      <c r="J52" s="39"/>
      <c r="K52" s="40"/>
      <c r="L52" s="41"/>
      <c r="S52">
        <f>ROUND((Source!FX25/100)*((ROUND(Source!AF25*Source!I25, 2)+ROUND(Source!AE25*Source!I25, 2))), 2)</f>
        <v>93.21</v>
      </c>
      <c r="T52">
        <f>Source!X25</f>
        <v>3096.72</v>
      </c>
      <c r="U52">
        <f>ROUND((Source!FY25/100)*((ROUND(Source!AF25*Source!I25, 2)+ROUND(Source!AE25*Source!I25, 2))), 2)</f>
        <v>46.11</v>
      </c>
      <c r="V52">
        <f>Source!Y25</f>
        <v>1532.06</v>
      </c>
    </row>
    <row r="53" spans="1:26">
      <c r="C53" s="31" t="str">
        <f>"Объем: "&amp;Source!I25&amp;"=35/"&amp;"100"</f>
        <v>Объем: 0,35=35/100</v>
      </c>
    </row>
    <row r="54" spans="1:26" ht="14.25">
      <c r="A54" s="23"/>
      <c r="B54" s="55"/>
      <c r="C54" s="55" t="s">
        <v>369</v>
      </c>
      <c r="D54" s="37"/>
      <c r="E54" s="10"/>
      <c r="F54" s="38">
        <f>Source!AO25</f>
        <v>244.89</v>
      </c>
      <c r="G54" s="39" t="str">
        <f>Source!DG25</f>
        <v>)*1,15</v>
      </c>
      <c r="H54" s="40">
        <f>ROUND(Source!AF25*Source!I25, 2)</f>
        <v>98.57</v>
      </c>
      <c r="I54" s="39"/>
      <c r="J54" s="39">
        <f>IF(Source!BA25&lt;&gt; 0, Source!BA25, 1)</f>
        <v>33.049999999999997</v>
      </c>
      <c r="K54" s="40">
        <f>Source!S25</f>
        <v>3257.68</v>
      </c>
      <c r="L54" s="41"/>
      <c r="R54">
        <f>H54</f>
        <v>98.57</v>
      </c>
    </row>
    <row r="55" spans="1:26" ht="14.25">
      <c r="A55" s="23"/>
      <c r="B55" s="55"/>
      <c r="C55" s="55" t="s">
        <v>116</v>
      </c>
      <c r="D55" s="37"/>
      <c r="E55" s="10"/>
      <c r="F55" s="38">
        <f>Source!AM25</f>
        <v>1.18</v>
      </c>
      <c r="G55" s="39" t="str">
        <f>Source!DE25</f>
        <v>)*1,25</v>
      </c>
      <c r="H55" s="40">
        <f>ROUND(Source!AD25*Source!I25, 2)</f>
        <v>0.52</v>
      </c>
      <c r="I55" s="39"/>
      <c r="J55" s="39">
        <f>IF(Source!BB25&lt;&gt; 0, Source!BB25, 1)</f>
        <v>11.86</v>
      </c>
      <c r="K55" s="40">
        <f>Source!Q25</f>
        <v>6.12</v>
      </c>
      <c r="L55" s="41"/>
    </row>
    <row r="56" spans="1:26" ht="14.25">
      <c r="A56" s="23"/>
      <c r="B56" s="55"/>
      <c r="C56" s="55" t="s">
        <v>377</v>
      </c>
      <c r="D56" s="37"/>
      <c r="E56" s="10"/>
      <c r="F56" s="38">
        <f>Source!AN25</f>
        <v>0.14000000000000001</v>
      </c>
      <c r="G56" s="39" t="str">
        <f>Source!DF25</f>
        <v>)*1,25</v>
      </c>
      <c r="H56" s="50">
        <f>ROUND(Source!AE25*Source!I25, 2)</f>
        <v>0.06</v>
      </c>
      <c r="I56" s="39"/>
      <c r="J56" s="39">
        <f>IF(Source!BS25&lt;&gt; 0, Source!BS25, 1)</f>
        <v>33.049999999999997</v>
      </c>
      <c r="K56" s="50">
        <f>Source!R25</f>
        <v>2.02</v>
      </c>
      <c r="L56" s="41"/>
      <c r="R56">
        <f>H56</f>
        <v>0.06</v>
      </c>
    </row>
    <row r="57" spans="1:26" ht="14.25">
      <c r="A57" s="23"/>
      <c r="B57" s="55"/>
      <c r="C57" s="55" t="s">
        <v>370</v>
      </c>
      <c r="D57" s="37"/>
      <c r="E57" s="10"/>
      <c r="F57" s="38">
        <f>Source!AL25</f>
        <v>561.4</v>
      </c>
      <c r="G57" s="39" t="str">
        <f>Source!DD25</f>
        <v/>
      </c>
      <c r="H57" s="40">
        <f>ROUND(Source!AC25*Source!I25, 2)</f>
        <v>196.49</v>
      </c>
      <c r="I57" s="39"/>
      <c r="J57" s="39">
        <f>IF(Source!BC25&lt;&gt; 0, Source!BC25, 1)</f>
        <v>7.4</v>
      </c>
      <c r="K57" s="40">
        <f>Source!P25</f>
        <v>1454.03</v>
      </c>
      <c r="L57" s="41"/>
    </row>
    <row r="58" spans="1:26" ht="14.25">
      <c r="A58" s="23"/>
      <c r="B58" s="55"/>
      <c r="C58" s="55" t="s">
        <v>371</v>
      </c>
      <c r="D58" s="37" t="s">
        <v>372</v>
      </c>
      <c r="E58" s="10">
        <f>Source!BZ25</f>
        <v>105</v>
      </c>
      <c r="F58" s="72" t="str">
        <f>CONCATENATE(" )", Source!DL25, Source!FT25, "=", Source!FX25)</f>
        <v xml:space="preserve"> )*0,9=94,5</v>
      </c>
      <c r="G58" s="73"/>
      <c r="H58" s="40">
        <f>SUM(S52:S64)</f>
        <v>93.21</v>
      </c>
      <c r="I58" s="42"/>
      <c r="J58" s="36">
        <f>Source!AT25</f>
        <v>95</v>
      </c>
      <c r="K58" s="40">
        <f>SUM(T52:T64)</f>
        <v>3096.72</v>
      </c>
      <c r="L58" s="41"/>
    </row>
    <row r="59" spans="1:26" ht="14.25">
      <c r="A59" s="23"/>
      <c r="B59" s="55"/>
      <c r="C59" s="55" t="s">
        <v>373</v>
      </c>
      <c r="D59" s="37" t="s">
        <v>372</v>
      </c>
      <c r="E59" s="10">
        <f>Source!CA25</f>
        <v>55</v>
      </c>
      <c r="F59" s="72" t="str">
        <f>CONCATENATE(" )", Source!DM25, Source!FU25, "=", Source!FY25)</f>
        <v xml:space="preserve"> )*0,85=46,75</v>
      </c>
      <c r="G59" s="73"/>
      <c r="H59" s="40">
        <f>SUM(U52:U64)</f>
        <v>46.11</v>
      </c>
      <c r="I59" s="42"/>
      <c r="J59" s="36">
        <f>Source!AU25</f>
        <v>47</v>
      </c>
      <c r="K59" s="40">
        <f>SUM(V52:V64)</f>
        <v>1532.06</v>
      </c>
      <c r="L59" s="41"/>
    </row>
    <row r="60" spans="1:26" ht="14.25">
      <c r="A60" s="23"/>
      <c r="B60" s="55"/>
      <c r="C60" s="55" t="s">
        <v>374</v>
      </c>
      <c r="D60" s="37" t="s">
        <v>375</v>
      </c>
      <c r="E60" s="10">
        <f>Source!AQ25</f>
        <v>27.64</v>
      </c>
      <c r="F60" s="38"/>
      <c r="G60" s="39" t="str">
        <f>Source!DI25</f>
        <v>)*1,15</v>
      </c>
      <c r="H60" s="40"/>
      <c r="I60" s="39"/>
      <c r="J60" s="39"/>
      <c r="K60" s="40"/>
      <c r="L60" s="51">
        <f>Source!U25</f>
        <v>11.125099999999998</v>
      </c>
    </row>
    <row r="61" spans="1:26" ht="28.5">
      <c r="A61" s="23" t="str">
        <f>Source!E26</f>
        <v>4,1</v>
      </c>
      <c r="B61" s="55" t="str">
        <f>Source!F26</f>
        <v>101-3938</v>
      </c>
      <c r="C61" s="55" t="str">
        <f>Source!G26</f>
        <v>Стеклообои TASSOGLAS, рогожка крупная</v>
      </c>
      <c r="D61" s="37" t="str">
        <f>Source!H26</f>
        <v>м2</v>
      </c>
      <c r="E61" s="10">
        <f>Source!I26</f>
        <v>35</v>
      </c>
      <c r="F61" s="38">
        <f>Source!AL26+Source!AM26+Source!AO26</f>
        <v>44.68</v>
      </c>
      <c r="G61" s="52" t="s">
        <v>3</v>
      </c>
      <c r="H61" s="40">
        <f>ROUND(Source!AC26*Source!I26, 2)+ROUND(Source!AD26*Source!I26, 2)+ROUND(Source!AF26*Source!I26, 2)</f>
        <v>1563.8</v>
      </c>
      <c r="I61" s="39"/>
      <c r="J61" s="39">
        <f>IF(Source!BC26&lt;&gt; 0, Source!BC26, 1)</f>
        <v>1</v>
      </c>
      <c r="K61" s="40">
        <f>Source!O26</f>
        <v>1563.8</v>
      </c>
      <c r="L61" s="41"/>
      <c r="S61">
        <f>ROUND((Source!FX26/100)*((ROUND(Source!AF26*Source!I26, 2)+ROUND(Source!AE26*Source!I26, 2))), 2)</f>
        <v>0</v>
      </c>
      <c r="T61">
        <f>Source!X26</f>
        <v>0</v>
      </c>
      <c r="U61">
        <f>ROUND((Source!FY26/100)*((ROUND(Source!AF26*Source!I26, 2)+ROUND(Source!AE26*Source!I26, 2))), 2)</f>
        <v>0</v>
      </c>
      <c r="V61">
        <f>Source!Y26</f>
        <v>0</v>
      </c>
      <c r="W61">
        <f>IF(Source!BI26&lt;=1,H61, 0)</f>
        <v>1563.8</v>
      </c>
      <c r="X61">
        <f>IF(Source!BI26=2,H61, 0)</f>
        <v>0</v>
      </c>
      <c r="Y61">
        <f>IF(Source!BI26=3,H61, 0)</f>
        <v>0</v>
      </c>
      <c r="Z61">
        <f>IF(Source!BI26=4,H61, 0)</f>
        <v>0</v>
      </c>
    </row>
    <row r="62" spans="1:26" ht="14.25">
      <c r="A62" s="23" t="str">
        <f>Source!E27</f>
        <v>4,2</v>
      </c>
      <c r="B62" s="55" t="str">
        <f>Source!F27</f>
        <v>113-8039</v>
      </c>
      <c r="C62" s="55" t="str">
        <f>Source!G27</f>
        <v>Клей акриловый ПОЛАКС</v>
      </c>
      <c r="D62" s="37" t="str">
        <f>Source!H27</f>
        <v>кг</v>
      </c>
      <c r="E62" s="10">
        <f>Source!I27</f>
        <v>1.1666669999999999</v>
      </c>
      <c r="F62" s="38">
        <f>Source!AL27+Source!AM27+Source!AO27</f>
        <v>8.30138</v>
      </c>
      <c r="G62" s="52" t="s">
        <v>3</v>
      </c>
      <c r="H62" s="40">
        <f>ROUND(Source!AC27*Source!I27, 2)+ROUND(Source!AD27*Source!I27, 2)+ROUND(Source!AF27*Source!I27, 2)</f>
        <v>9.68</v>
      </c>
      <c r="I62" s="39"/>
      <c r="J62" s="39">
        <f>IF(Source!BC27&lt;&gt; 0, Source!BC27, 1)</f>
        <v>14</v>
      </c>
      <c r="K62" s="40">
        <f>Source!O27</f>
        <v>135.59</v>
      </c>
      <c r="L62" s="41"/>
      <c r="S62">
        <f>ROUND((Source!FX27/100)*((ROUND(Source!AF27*Source!I27, 2)+ROUND(Source!AE27*Source!I27, 2))), 2)</f>
        <v>0</v>
      </c>
      <c r="T62">
        <f>Source!X27</f>
        <v>0</v>
      </c>
      <c r="U62">
        <f>ROUND((Source!FY27/100)*((ROUND(Source!AF27*Source!I27, 2)+ROUND(Source!AE27*Source!I27, 2))), 2)</f>
        <v>0</v>
      </c>
      <c r="V62">
        <f>Source!Y27</f>
        <v>0</v>
      </c>
      <c r="W62">
        <f>IF(Source!BI27&lt;=1,H62, 0)</f>
        <v>9.68</v>
      </c>
      <c r="X62">
        <f>IF(Source!BI27=2,H62, 0)</f>
        <v>0</v>
      </c>
      <c r="Y62">
        <f>IF(Source!BI27=3,H62, 0)</f>
        <v>0</v>
      </c>
      <c r="Z62">
        <f>IF(Source!BI27=4,H62, 0)</f>
        <v>0</v>
      </c>
    </row>
    <row r="63" spans="1:26" ht="14.25">
      <c r="A63" s="23" t="str">
        <f>Source!E28</f>
        <v>4,3</v>
      </c>
      <c r="B63" s="55" t="str">
        <f>Source!F28</f>
        <v>101-1830</v>
      </c>
      <c r="C63" s="55" t="str">
        <f>Source!G28</f>
        <v>Обои обыкновенного качества</v>
      </c>
      <c r="D63" s="37" t="str">
        <f>Source!H28</f>
        <v>100 м2</v>
      </c>
      <c r="E63" s="10">
        <f>Source!I28</f>
        <v>-0.39550000000000002</v>
      </c>
      <c r="F63" s="38">
        <f>Source!AL28+Source!AM28+Source!AO28</f>
        <v>458</v>
      </c>
      <c r="G63" s="52" t="s">
        <v>3</v>
      </c>
      <c r="H63" s="40">
        <f>ROUND(Source!AC28*Source!I28, 2)+ROUND(Source!AD28*Source!I28, 2)+ROUND(Source!AF28*Source!I28, 2)</f>
        <v>-181.14</v>
      </c>
      <c r="I63" s="39"/>
      <c r="J63" s="39">
        <f>IF(Source!BC28&lt;&gt; 0, Source!BC28, 1)</f>
        <v>7.66</v>
      </c>
      <c r="K63" s="40">
        <f>Source!O28</f>
        <v>-1387.52</v>
      </c>
      <c r="L63" s="41"/>
      <c r="S63">
        <f>ROUND((Source!FX28/100)*((ROUND(Source!AF28*Source!I28, 2)+ROUND(Source!AE28*Source!I28, 2))), 2)</f>
        <v>0</v>
      </c>
      <c r="T63">
        <f>Source!X28</f>
        <v>0</v>
      </c>
      <c r="U63">
        <f>ROUND((Source!FY28/100)*((ROUND(Source!AF28*Source!I28, 2)+ROUND(Source!AE28*Source!I28, 2))), 2)</f>
        <v>0</v>
      </c>
      <c r="V63">
        <f>Source!Y28</f>
        <v>0</v>
      </c>
      <c r="W63">
        <f>IF(Source!BI28&lt;=1,H63, 0)</f>
        <v>-181.14</v>
      </c>
      <c r="X63">
        <f>IF(Source!BI28=2,H63, 0)</f>
        <v>0</v>
      </c>
      <c r="Y63">
        <f>IF(Source!BI28=3,H63, 0)</f>
        <v>0</v>
      </c>
      <c r="Z63">
        <f>IF(Source!BI28=4,H63, 0)</f>
        <v>0</v>
      </c>
    </row>
    <row r="64" spans="1:26" ht="14.25">
      <c r="A64" s="56" t="str">
        <f>Source!E29</f>
        <v>4,4</v>
      </c>
      <c r="B64" s="57" t="str">
        <f>Source!F29</f>
        <v>101-1817</v>
      </c>
      <c r="C64" s="57" t="str">
        <f>Source!G29</f>
        <v>Клей для обоев КМЦ</v>
      </c>
      <c r="D64" s="43" t="str">
        <f>Source!H29</f>
        <v>т</v>
      </c>
      <c r="E64" s="44">
        <f>Source!I29</f>
        <v>-5.2499999999999997E-4</v>
      </c>
      <c r="F64" s="45">
        <f>Source!AL29+Source!AM29+Source!AO29</f>
        <v>25990</v>
      </c>
      <c r="G64" s="53" t="s">
        <v>3</v>
      </c>
      <c r="H64" s="47">
        <f>ROUND(Source!AC29*Source!I29, 2)+ROUND(Source!AD29*Source!I29, 2)+ROUND(Source!AF29*Source!I29, 2)</f>
        <v>-13.64</v>
      </c>
      <c r="I64" s="46"/>
      <c r="J64" s="46">
        <f>IF(Source!BC29&lt;&gt; 0, Source!BC29, 1)</f>
        <v>3.82</v>
      </c>
      <c r="K64" s="47">
        <f>Source!O29</f>
        <v>-52.12</v>
      </c>
      <c r="L64" s="54"/>
      <c r="S64">
        <f>ROUND((Source!FX29/100)*((ROUND(Source!AF29*Source!I29, 2)+ROUND(Source!AE29*Source!I29, 2))), 2)</f>
        <v>0</v>
      </c>
      <c r="T64">
        <f>Source!X29</f>
        <v>0</v>
      </c>
      <c r="U64">
        <f>ROUND((Source!FY29/100)*((ROUND(Source!AF29*Source!I29, 2)+ROUND(Source!AE29*Source!I29, 2))), 2)</f>
        <v>0</v>
      </c>
      <c r="V64">
        <f>Source!Y29</f>
        <v>0</v>
      </c>
      <c r="W64">
        <f>IF(Source!BI29&lt;=1,H64, 0)</f>
        <v>-13.64</v>
      </c>
      <c r="X64">
        <f>IF(Source!BI29=2,H64, 0)</f>
        <v>0</v>
      </c>
      <c r="Y64">
        <f>IF(Source!BI29=3,H64, 0)</f>
        <v>0</v>
      </c>
      <c r="Z64">
        <f>IF(Source!BI29=4,H64, 0)</f>
        <v>0</v>
      </c>
    </row>
    <row r="65" spans="1:26" ht="15">
      <c r="G65" s="77">
        <f>H54+H55+H57+H58+H59+SUM(H61:H64)</f>
        <v>1813.6</v>
      </c>
      <c r="H65" s="77"/>
      <c r="J65" s="77">
        <f>K54+K55+K57+K58+K59+SUM(K61:K64)</f>
        <v>9606.3599999999988</v>
      </c>
      <c r="K65" s="77"/>
      <c r="L65" s="49">
        <f>Source!U25</f>
        <v>11.125099999999998</v>
      </c>
      <c r="O65" s="32">
        <f>G65</f>
        <v>1813.6</v>
      </c>
      <c r="P65" s="32">
        <f>J65</f>
        <v>9606.3599999999988</v>
      </c>
      <c r="Q65" s="32">
        <f>L65</f>
        <v>11.125099999999998</v>
      </c>
      <c r="W65">
        <f>IF(Source!BI25&lt;=1,H54+H55+H57+H58+H59, 0)</f>
        <v>434.9</v>
      </c>
      <c r="X65">
        <f>IF(Source!BI25=2,H54+H55+H57+H58+H59, 0)</f>
        <v>0</v>
      </c>
      <c r="Y65">
        <f>IF(Source!BI25=3,H54+H55+H57+H58+H59, 0)</f>
        <v>0</v>
      </c>
      <c r="Z65">
        <f>IF(Source!BI25=4,H54+H55+H57+H58+H59, 0)</f>
        <v>0</v>
      </c>
    </row>
    <row r="66" spans="1:26" ht="57">
      <c r="A66" s="23" t="str">
        <f>Source!E30</f>
        <v>5</v>
      </c>
      <c r="B66" s="55" t="str">
        <f>Source!F30</f>
        <v>15-06-004-1</v>
      </c>
      <c r="C66" s="55" t="str">
        <f>Source!G30</f>
        <v>Вторая окраска стен, оклееных стеклообоями, красками</v>
      </c>
      <c r="D66" s="37" t="str">
        <f>Source!H30</f>
        <v>100 м2 поверхности стен</v>
      </c>
      <c r="E66" s="10">
        <f>Source!I30</f>
        <v>0.35</v>
      </c>
      <c r="F66" s="38">
        <f>Source!AL30+Source!AM30+Source!AO30</f>
        <v>80.62</v>
      </c>
      <c r="G66" s="39"/>
      <c r="H66" s="40"/>
      <c r="I66" s="39" t="str">
        <f>Source!BO30</f>
        <v>15-06-004-1</v>
      </c>
      <c r="J66" s="39"/>
      <c r="K66" s="40"/>
      <c r="L66" s="41"/>
      <c r="S66">
        <f>ROUND((Source!FX30/100)*((ROUND(Source!AF30*Source!I30, 2)+ROUND(Source!AE30*Source!I30, 2))), 2)</f>
        <v>26.67</v>
      </c>
      <c r="T66">
        <f>Source!X30</f>
        <v>885.94</v>
      </c>
      <c r="U66">
        <f>ROUND((Source!FY30/100)*((ROUND(Source!AF30*Source!I30, 2)+ROUND(Source!AE30*Source!I30, 2))), 2)</f>
        <v>13.19</v>
      </c>
      <c r="V66">
        <f>Source!Y30</f>
        <v>438.31</v>
      </c>
    </row>
    <row r="67" spans="1:26">
      <c r="C67" s="31" t="str">
        <f>"Объем: "&amp;Source!I30&amp;"=35/"&amp;"100"</f>
        <v>Объем: 0,35=35/100</v>
      </c>
    </row>
    <row r="68" spans="1:26" ht="14.25">
      <c r="A68" s="23"/>
      <c r="B68" s="55"/>
      <c r="C68" s="55" t="s">
        <v>369</v>
      </c>
      <c r="D68" s="37"/>
      <c r="E68" s="10"/>
      <c r="F68" s="38">
        <f>Source!AO30</f>
        <v>80.62</v>
      </c>
      <c r="G68" s="39" t="str">
        <f>Source!DG30</f>
        <v/>
      </c>
      <c r="H68" s="40">
        <f>ROUND(Source!AF30*Source!I30, 2)</f>
        <v>28.22</v>
      </c>
      <c r="I68" s="39"/>
      <c r="J68" s="39">
        <f>IF(Source!BA30&lt;&gt; 0, Source!BA30, 1)</f>
        <v>33.049999999999997</v>
      </c>
      <c r="K68" s="40">
        <f>Source!S30</f>
        <v>932.57</v>
      </c>
      <c r="L68" s="41"/>
      <c r="R68">
        <f>H68</f>
        <v>28.22</v>
      </c>
    </row>
    <row r="69" spans="1:26" ht="14.25">
      <c r="A69" s="23"/>
      <c r="B69" s="55"/>
      <c r="C69" s="55" t="s">
        <v>371</v>
      </c>
      <c r="D69" s="37" t="s">
        <v>372</v>
      </c>
      <c r="E69" s="10">
        <f>Source!BZ30</f>
        <v>105</v>
      </c>
      <c r="F69" s="72" t="str">
        <f>CONCATENATE(" )", Source!DL30, Source!FT30, "=", Source!FX30)</f>
        <v xml:space="preserve"> )*0,9=94,5</v>
      </c>
      <c r="G69" s="73"/>
      <c r="H69" s="40">
        <f>SUM(S66:S72)</f>
        <v>26.67</v>
      </c>
      <c r="I69" s="42"/>
      <c r="J69" s="36">
        <f>Source!AT30</f>
        <v>95</v>
      </c>
      <c r="K69" s="40">
        <f>SUM(T66:T72)</f>
        <v>885.94</v>
      </c>
      <c r="L69" s="41"/>
    </row>
    <row r="70" spans="1:26" ht="14.25">
      <c r="A70" s="23"/>
      <c r="B70" s="55"/>
      <c r="C70" s="55" t="s">
        <v>373</v>
      </c>
      <c r="D70" s="37" t="s">
        <v>372</v>
      </c>
      <c r="E70" s="10">
        <f>Source!CA30</f>
        <v>55</v>
      </c>
      <c r="F70" s="72" t="str">
        <f>CONCATENATE(" )", Source!DM30, Source!FU30, "=", Source!FY30)</f>
        <v xml:space="preserve"> )*0,85=46,75</v>
      </c>
      <c r="G70" s="73"/>
      <c r="H70" s="40">
        <f>SUM(U66:U72)</f>
        <v>13.19</v>
      </c>
      <c r="I70" s="42"/>
      <c r="J70" s="36">
        <f>Source!AU30</f>
        <v>47</v>
      </c>
      <c r="K70" s="40">
        <f>SUM(V66:V72)</f>
        <v>438.31</v>
      </c>
      <c r="L70" s="41"/>
    </row>
    <row r="71" spans="1:26" ht="14.25">
      <c r="A71" s="23"/>
      <c r="B71" s="55"/>
      <c r="C71" s="55" t="s">
        <v>374</v>
      </c>
      <c r="D71" s="37" t="s">
        <v>375</v>
      </c>
      <c r="E71" s="10">
        <f>Source!AQ30</f>
        <v>8.3800000000000008</v>
      </c>
      <c r="F71" s="38"/>
      <c r="G71" s="39" t="str">
        <f>Source!DI30</f>
        <v/>
      </c>
      <c r="H71" s="40"/>
      <c r="I71" s="39"/>
      <c r="J71" s="39"/>
      <c r="K71" s="40"/>
      <c r="L71" s="51">
        <f>Source!U30</f>
        <v>2.9330000000000003</v>
      </c>
    </row>
    <row r="72" spans="1:26" ht="28.5">
      <c r="A72" s="56" t="str">
        <f>Source!E31</f>
        <v>5,1</v>
      </c>
      <c r="B72" s="57" t="str">
        <f>Source!F31</f>
        <v>101-3518</v>
      </c>
      <c r="C72" s="57" t="str">
        <f>Source!G31</f>
        <v>Краска акриловая ДИВА-В для стен и потолков</v>
      </c>
      <c r="D72" s="43" t="str">
        <f>Source!H31</f>
        <v>т</v>
      </c>
      <c r="E72" s="44">
        <f>Source!I31</f>
        <v>5.5999999999999999E-3</v>
      </c>
      <c r="F72" s="45">
        <f>Source!AL31+Source!AM31+Source!AO31</f>
        <v>7118.45</v>
      </c>
      <c r="G72" s="53" t="s">
        <v>3</v>
      </c>
      <c r="H72" s="47">
        <f>ROUND(Source!AC31*Source!I31, 2)+ROUND(Source!AD31*Source!I31, 2)+ROUND(Source!AF31*Source!I31, 2)</f>
        <v>39.86</v>
      </c>
      <c r="I72" s="46"/>
      <c r="J72" s="46">
        <f>IF(Source!BC31&lt;&gt; 0, Source!BC31, 1)</f>
        <v>9.0500000000000007</v>
      </c>
      <c r="K72" s="47">
        <f>Source!O31</f>
        <v>360.76</v>
      </c>
      <c r="L72" s="54"/>
      <c r="S72">
        <f>ROUND((Source!FX31/100)*((ROUND(Source!AF31*Source!I31, 2)+ROUND(Source!AE31*Source!I31, 2))), 2)</f>
        <v>0</v>
      </c>
      <c r="T72">
        <f>Source!X31</f>
        <v>0</v>
      </c>
      <c r="U72">
        <f>ROUND((Source!FY31/100)*((ROUND(Source!AF31*Source!I31, 2)+ROUND(Source!AE31*Source!I31, 2))), 2)</f>
        <v>0</v>
      </c>
      <c r="V72">
        <f>Source!Y31</f>
        <v>0</v>
      </c>
      <c r="W72">
        <f>IF(Source!BI31&lt;=1,H72, 0)</f>
        <v>39.86</v>
      </c>
      <c r="X72">
        <f>IF(Source!BI31=2,H72, 0)</f>
        <v>0</v>
      </c>
      <c r="Y72">
        <f>IF(Source!BI31=3,H72, 0)</f>
        <v>0</v>
      </c>
      <c r="Z72">
        <f>IF(Source!BI31=4,H72, 0)</f>
        <v>0</v>
      </c>
    </row>
    <row r="73" spans="1:26" ht="15">
      <c r="G73" s="77">
        <f>H68+H69+H70+SUM(H72:H72)</f>
        <v>107.94</v>
      </c>
      <c r="H73" s="77"/>
      <c r="J73" s="77">
        <f>K68+K69+K70+SUM(K72:K72)</f>
        <v>2617.58</v>
      </c>
      <c r="K73" s="77"/>
      <c r="L73" s="49">
        <f>Source!U30</f>
        <v>2.9330000000000003</v>
      </c>
      <c r="O73" s="32">
        <f>G73</f>
        <v>107.94</v>
      </c>
      <c r="P73" s="32">
        <f>J73</f>
        <v>2617.58</v>
      </c>
      <c r="Q73" s="32">
        <f>L73</f>
        <v>2.9330000000000003</v>
      </c>
      <c r="W73">
        <f>IF(Source!BI30&lt;=1,H68+H69+H70, 0)</f>
        <v>68.08</v>
      </c>
      <c r="X73">
        <f>IF(Source!BI30=2,H68+H69+H70, 0)</f>
        <v>0</v>
      </c>
      <c r="Y73">
        <f>IF(Source!BI30=3,H68+H69+H70, 0)</f>
        <v>0</v>
      </c>
      <c r="Z73">
        <f>IF(Source!BI30=4,H68+H69+H70, 0)</f>
        <v>0</v>
      </c>
    </row>
    <row r="75" spans="1:26" ht="16.5">
      <c r="A75" s="74" t="str">
        <f>CONCATENATE("Раздел: ",IF(Source!G33&lt;&gt;"Новый раздел", Source!G33, ""))</f>
        <v>Раздел: потолок</v>
      </c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</row>
    <row r="76" spans="1:26" ht="79.5">
      <c r="A76" s="23" t="str">
        <f>Source!E37</f>
        <v>1</v>
      </c>
      <c r="B76" s="55" t="s">
        <v>378</v>
      </c>
      <c r="C76" s="55" t="str">
        <f>Source!G37</f>
        <v>Устройство подвесных потолков типа &lt;Армстронг&gt; по каркасу из оцинкованного профиля</v>
      </c>
      <c r="D76" s="37" t="str">
        <f>Source!H37</f>
        <v>100 м2 поверхности облицовки</v>
      </c>
      <c r="E76" s="10">
        <f>Source!I37</f>
        <v>0.378</v>
      </c>
      <c r="F76" s="38">
        <f>Source!AL37+Source!AM37+Source!AO37</f>
        <v>6747.4000000000005</v>
      </c>
      <c r="G76" s="39"/>
      <c r="H76" s="40"/>
      <c r="I76" s="39" t="str">
        <f>Source!BO37</f>
        <v>15-01-047-15</v>
      </c>
      <c r="J76" s="39"/>
      <c r="K76" s="40"/>
      <c r="L76" s="41"/>
      <c r="S76">
        <f>ROUND((Source!FX37/100)*((ROUND(Source!AF37*Source!I37, 2)+ROUND(Source!AE37*Source!I37, 2))), 2)</f>
        <v>400.23</v>
      </c>
      <c r="T76">
        <f>Source!X37</f>
        <v>13297.35</v>
      </c>
      <c r="U76">
        <f>ROUND((Source!FY37/100)*((ROUND(Source!AF37*Source!I37, 2)+ROUND(Source!AE37*Source!I37, 2))), 2)</f>
        <v>198</v>
      </c>
      <c r="V76">
        <f>Source!Y37</f>
        <v>6578.69</v>
      </c>
    </row>
    <row r="77" spans="1:26">
      <c r="C77" s="31" t="str">
        <f>"Объем: "&amp;Source!I37&amp;"=37,8/"&amp;"100"</f>
        <v>Объем: 0,378=37,8/100</v>
      </c>
    </row>
    <row r="78" spans="1:26" ht="14.25">
      <c r="A78" s="23"/>
      <c r="B78" s="55"/>
      <c r="C78" s="55" t="s">
        <v>369</v>
      </c>
      <c r="D78" s="37"/>
      <c r="E78" s="10"/>
      <c r="F78" s="38">
        <f>Source!AO37</f>
        <v>963.12</v>
      </c>
      <c r="G78" s="39" t="str">
        <f>Source!DG37</f>
        <v>)*1,15</v>
      </c>
      <c r="H78" s="40">
        <f>ROUND(Source!AF37*Source!I37, 2)</f>
        <v>418.67</v>
      </c>
      <c r="I78" s="39"/>
      <c r="J78" s="39">
        <f>IF(Source!BA37&lt;&gt; 0, Source!BA37, 1)</f>
        <v>33.049999999999997</v>
      </c>
      <c r="K78" s="40">
        <f>Source!S37</f>
        <v>13836.99</v>
      </c>
      <c r="L78" s="41"/>
      <c r="R78">
        <f>H78</f>
        <v>418.67</v>
      </c>
    </row>
    <row r="79" spans="1:26" ht="14.25">
      <c r="A79" s="23"/>
      <c r="B79" s="55"/>
      <c r="C79" s="55" t="s">
        <v>116</v>
      </c>
      <c r="D79" s="37"/>
      <c r="E79" s="10"/>
      <c r="F79" s="38">
        <f>Source!AM37</f>
        <v>433.43</v>
      </c>
      <c r="G79" s="39" t="str">
        <f>Source!DE37</f>
        <v>)*1,25</v>
      </c>
      <c r="H79" s="40">
        <f>ROUND(Source!AD37*Source!I37, 2)</f>
        <v>204.8</v>
      </c>
      <c r="I79" s="39"/>
      <c r="J79" s="39">
        <f>IF(Source!BB37&lt;&gt; 0, Source!BB37, 1)</f>
        <v>10.76</v>
      </c>
      <c r="K79" s="40">
        <f>Source!Q37</f>
        <v>2203.6</v>
      </c>
      <c r="L79" s="41"/>
    </row>
    <row r="80" spans="1:26" ht="14.25">
      <c r="A80" s="23"/>
      <c r="B80" s="55"/>
      <c r="C80" s="55" t="s">
        <v>377</v>
      </c>
      <c r="D80" s="37"/>
      <c r="E80" s="10"/>
      <c r="F80" s="38">
        <f>Source!AN37</f>
        <v>10.26</v>
      </c>
      <c r="G80" s="39" t="str">
        <f>Source!DF37</f>
        <v>)*1,25</v>
      </c>
      <c r="H80" s="50">
        <f>ROUND(Source!AE37*Source!I37, 2)</f>
        <v>4.8499999999999996</v>
      </c>
      <c r="I80" s="39"/>
      <c r="J80" s="39">
        <f>IF(Source!BS37&lt;&gt; 0, Source!BS37, 1)</f>
        <v>33.049999999999997</v>
      </c>
      <c r="K80" s="50">
        <f>Source!R37</f>
        <v>160.22</v>
      </c>
      <c r="L80" s="41"/>
      <c r="R80">
        <f>H80</f>
        <v>4.8499999999999996</v>
      </c>
    </row>
    <row r="81" spans="1:26" ht="14.25">
      <c r="A81" s="23"/>
      <c r="B81" s="55"/>
      <c r="C81" s="55" t="s">
        <v>370</v>
      </c>
      <c r="D81" s="37"/>
      <c r="E81" s="10"/>
      <c r="F81" s="38">
        <f>Source!AL37</f>
        <v>5350.85</v>
      </c>
      <c r="G81" s="39" t="str">
        <f>Source!DD37</f>
        <v/>
      </c>
      <c r="H81" s="40">
        <f>ROUND(Source!AC37*Source!I37, 2)</f>
        <v>2022.62</v>
      </c>
      <c r="I81" s="39"/>
      <c r="J81" s="39">
        <f>IF(Source!BC37&lt;&gt; 0, Source!BC37, 1)</f>
        <v>4.75</v>
      </c>
      <c r="K81" s="40">
        <f>Source!P37</f>
        <v>9607.4500000000007</v>
      </c>
      <c r="L81" s="41"/>
    </row>
    <row r="82" spans="1:26" ht="14.25">
      <c r="A82" s="23"/>
      <c r="B82" s="55"/>
      <c r="C82" s="55" t="s">
        <v>371</v>
      </c>
      <c r="D82" s="37" t="s">
        <v>372</v>
      </c>
      <c r="E82" s="10">
        <f>Source!BZ37</f>
        <v>105</v>
      </c>
      <c r="F82" s="72" t="str">
        <f>CONCATENATE(" )", Source!DL37, Source!FT37, "=", Source!FX37)</f>
        <v xml:space="preserve"> )*0,9=94,5</v>
      </c>
      <c r="G82" s="73"/>
      <c r="H82" s="40">
        <f>SUM(S76:S84)</f>
        <v>400.23</v>
      </c>
      <c r="I82" s="42"/>
      <c r="J82" s="36">
        <f>Source!AT37</f>
        <v>95</v>
      </c>
      <c r="K82" s="40">
        <f>SUM(T76:T84)</f>
        <v>13297.35</v>
      </c>
      <c r="L82" s="41"/>
    </row>
    <row r="83" spans="1:26" ht="14.25">
      <c r="A83" s="23"/>
      <c r="B83" s="55"/>
      <c r="C83" s="55" t="s">
        <v>373</v>
      </c>
      <c r="D83" s="37" t="s">
        <v>372</v>
      </c>
      <c r="E83" s="10">
        <f>Source!CA37</f>
        <v>55</v>
      </c>
      <c r="F83" s="72" t="str">
        <f>CONCATENATE(" )", Source!DM37, Source!FU37, "=", Source!FY37)</f>
        <v xml:space="preserve"> )*0,85=46,75</v>
      </c>
      <c r="G83" s="73"/>
      <c r="H83" s="40">
        <f>SUM(U76:U84)</f>
        <v>198</v>
      </c>
      <c r="I83" s="42"/>
      <c r="J83" s="36">
        <f>Source!AU37</f>
        <v>47</v>
      </c>
      <c r="K83" s="40">
        <f>SUM(V76:V84)</f>
        <v>6578.69</v>
      </c>
      <c r="L83" s="41"/>
    </row>
    <row r="84" spans="1:26" ht="14.25">
      <c r="A84" s="56"/>
      <c r="B84" s="57"/>
      <c r="C84" s="57" t="s">
        <v>374</v>
      </c>
      <c r="D84" s="43" t="s">
        <v>375</v>
      </c>
      <c r="E84" s="44">
        <f>Source!AQ37</f>
        <v>102.46</v>
      </c>
      <c r="F84" s="45"/>
      <c r="G84" s="46" t="str">
        <f>Source!DI37</f>
        <v>)*1,15</v>
      </c>
      <c r="H84" s="47"/>
      <c r="I84" s="46"/>
      <c r="J84" s="46"/>
      <c r="K84" s="47"/>
      <c r="L84" s="48">
        <f>Source!U37</f>
        <v>44.53936199999999</v>
      </c>
    </row>
    <row r="85" spans="1:26" ht="15">
      <c r="G85" s="77">
        <f>H78+H79+H81+H82+H83</f>
        <v>3244.32</v>
      </c>
      <c r="H85" s="77"/>
      <c r="J85" s="77">
        <f>K78+K79+K81+K82+K83</f>
        <v>45524.08</v>
      </c>
      <c r="K85" s="77"/>
      <c r="L85" s="49">
        <f>Source!U37</f>
        <v>44.53936199999999</v>
      </c>
      <c r="O85" s="32">
        <f>G85</f>
        <v>3244.32</v>
      </c>
      <c r="P85" s="32">
        <f>J85</f>
        <v>45524.08</v>
      </c>
      <c r="Q85" s="32">
        <f>L85</f>
        <v>44.53936199999999</v>
      </c>
      <c r="W85">
        <f>IF(Source!BI37&lt;=1,H78+H79+H81+H82+H83, 0)</f>
        <v>3244.32</v>
      </c>
      <c r="X85">
        <f>IF(Source!BI37=2,H78+H79+H81+H82+H83, 0)</f>
        <v>0</v>
      </c>
      <c r="Y85">
        <f>IF(Source!BI37=3,H78+H79+H81+H82+H83, 0)</f>
        <v>0</v>
      </c>
      <c r="Z85">
        <f>IF(Source!BI37=4,H78+H79+H81+H82+H83, 0)</f>
        <v>0</v>
      </c>
    </row>
    <row r="86" spans="1:26" ht="28.5">
      <c r="A86" s="23" t="str">
        <f>Source!E38</f>
        <v>2</v>
      </c>
      <c r="B86" s="55" t="str">
        <f>Source!F38</f>
        <v>м08-03-593-19</v>
      </c>
      <c r="C86" s="55" t="str">
        <f>Source!G38</f>
        <v>Светильник в подвесных потолках</v>
      </c>
      <c r="D86" s="37" t="str">
        <f>Source!H38</f>
        <v>100 шт.</v>
      </c>
      <c r="E86" s="10">
        <f>Source!I38</f>
        <v>0.06</v>
      </c>
      <c r="F86" s="38">
        <f>Source!AL38+Source!AM38+Source!AO38</f>
        <v>1101.54</v>
      </c>
      <c r="G86" s="39"/>
      <c r="H86" s="40"/>
      <c r="I86" s="39" t="str">
        <f>Source!BO38</f>
        <v>м08-03-593-19</v>
      </c>
      <c r="J86" s="39"/>
      <c r="K86" s="40"/>
      <c r="L86" s="41"/>
      <c r="S86">
        <f>ROUND((Source!FX38/100)*((ROUND(Source!AF38*Source!I38, 2)+ROUND(Source!AE38*Source!I38, 2))), 2)</f>
        <v>53.53</v>
      </c>
      <c r="T86">
        <f>Source!X38</f>
        <v>1769.21</v>
      </c>
      <c r="U86">
        <f>ROUND((Source!FY38/100)*((ROUND(Source!AF38*Source!I38, 2)+ROUND(Source!AE38*Source!I38, 2))), 2)</f>
        <v>36.630000000000003</v>
      </c>
      <c r="V86">
        <f>Source!Y38</f>
        <v>1210.51</v>
      </c>
    </row>
    <row r="87" spans="1:26">
      <c r="C87" s="31" t="str">
        <f>"Объем: "&amp;Source!I38&amp;"=6/"&amp;"100"</f>
        <v>Объем: 0,06=6/100</v>
      </c>
    </row>
    <row r="88" spans="1:26" ht="14.25">
      <c r="A88" s="23"/>
      <c r="B88" s="55"/>
      <c r="C88" s="55" t="s">
        <v>369</v>
      </c>
      <c r="D88" s="37"/>
      <c r="E88" s="10"/>
      <c r="F88" s="38">
        <f>Source!AO38</f>
        <v>936.45</v>
      </c>
      <c r="G88" s="39" t="str">
        <f>Source!DG38</f>
        <v/>
      </c>
      <c r="H88" s="40">
        <f>ROUND(Source!AF38*Source!I38, 2)</f>
        <v>56.19</v>
      </c>
      <c r="I88" s="39"/>
      <c r="J88" s="39">
        <f>IF(Source!BA38&lt;&gt; 0, Source!BA38, 1)</f>
        <v>33.049999999999997</v>
      </c>
      <c r="K88" s="40">
        <f>Source!S38</f>
        <v>1856.98</v>
      </c>
      <c r="L88" s="41"/>
      <c r="R88">
        <f>H88</f>
        <v>56.19</v>
      </c>
    </row>
    <row r="89" spans="1:26" ht="14.25">
      <c r="A89" s="23"/>
      <c r="B89" s="55"/>
      <c r="C89" s="55" t="s">
        <v>116</v>
      </c>
      <c r="D89" s="37"/>
      <c r="E89" s="10"/>
      <c r="F89" s="38">
        <f>Source!AM38</f>
        <v>44.36</v>
      </c>
      <c r="G89" s="39" t="str">
        <f>Source!DE38</f>
        <v/>
      </c>
      <c r="H89" s="40">
        <f>ROUND(Source!AD38*Source!I38, 2)</f>
        <v>2.66</v>
      </c>
      <c r="I89" s="39"/>
      <c r="J89" s="39">
        <f>IF(Source!BB38&lt;&gt; 0, Source!BB38, 1)</f>
        <v>9.23</v>
      </c>
      <c r="K89" s="40">
        <f>Source!Q38</f>
        <v>24.57</v>
      </c>
      <c r="L89" s="41"/>
    </row>
    <row r="90" spans="1:26" ht="14.25">
      <c r="A90" s="23"/>
      <c r="B90" s="55"/>
      <c r="C90" s="55" t="s">
        <v>377</v>
      </c>
      <c r="D90" s="37"/>
      <c r="E90" s="10"/>
      <c r="F90" s="38">
        <f>Source!AN38</f>
        <v>2.7</v>
      </c>
      <c r="G90" s="39" t="str">
        <f>Source!DF38</f>
        <v/>
      </c>
      <c r="H90" s="50">
        <f>ROUND(Source!AE38*Source!I38, 2)</f>
        <v>0.16</v>
      </c>
      <c r="I90" s="39"/>
      <c r="J90" s="39">
        <f>IF(Source!BS38&lt;&gt; 0, Source!BS38, 1)</f>
        <v>33.049999999999997</v>
      </c>
      <c r="K90" s="50">
        <f>Source!R38</f>
        <v>5.35</v>
      </c>
      <c r="L90" s="41"/>
      <c r="R90">
        <f>H90</f>
        <v>0.16</v>
      </c>
    </row>
    <row r="91" spans="1:26" ht="14.25">
      <c r="A91" s="23"/>
      <c r="B91" s="55"/>
      <c r="C91" s="55" t="s">
        <v>370</v>
      </c>
      <c r="D91" s="37"/>
      <c r="E91" s="10"/>
      <c r="F91" s="38">
        <f>Source!AL38</f>
        <v>120.73</v>
      </c>
      <c r="G91" s="39" t="str">
        <f>Source!DD38</f>
        <v/>
      </c>
      <c r="H91" s="40">
        <f>ROUND(Source!AC38*Source!I38, 2)</f>
        <v>7.24</v>
      </c>
      <c r="I91" s="39"/>
      <c r="J91" s="39">
        <f>IF(Source!BC38&lt;&gt; 0, Source!BC38, 1)</f>
        <v>11.74</v>
      </c>
      <c r="K91" s="40">
        <f>Source!P38</f>
        <v>85.04</v>
      </c>
      <c r="L91" s="41"/>
    </row>
    <row r="92" spans="1:26" ht="14.25">
      <c r="A92" s="23"/>
      <c r="B92" s="55"/>
      <c r="C92" s="55" t="s">
        <v>371</v>
      </c>
      <c r="D92" s="37" t="s">
        <v>372</v>
      </c>
      <c r="E92" s="10">
        <f>Source!BZ38</f>
        <v>95</v>
      </c>
      <c r="F92" s="58"/>
      <c r="G92" s="39"/>
      <c r="H92" s="40">
        <f>SUM(S86:S95)</f>
        <v>53.53</v>
      </c>
      <c r="I92" s="42"/>
      <c r="J92" s="36">
        <f>Source!AT38</f>
        <v>95</v>
      </c>
      <c r="K92" s="40">
        <f>SUM(T86:T95)</f>
        <v>1769.21</v>
      </c>
      <c r="L92" s="41"/>
    </row>
    <row r="93" spans="1:26" ht="14.25">
      <c r="A93" s="23"/>
      <c r="B93" s="55"/>
      <c r="C93" s="55" t="s">
        <v>373</v>
      </c>
      <c r="D93" s="37" t="s">
        <v>372</v>
      </c>
      <c r="E93" s="10">
        <f>Source!CA38</f>
        <v>65</v>
      </c>
      <c r="F93" s="58"/>
      <c r="G93" s="39"/>
      <c r="H93" s="40">
        <f>SUM(U86:U95)</f>
        <v>36.630000000000003</v>
      </c>
      <c r="I93" s="42"/>
      <c r="J93" s="36">
        <f>Source!AU38</f>
        <v>65</v>
      </c>
      <c r="K93" s="40">
        <f>SUM(V86:V95)</f>
        <v>1210.51</v>
      </c>
      <c r="L93" s="41"/>
    </row>
    <row r="94" spans="1:26" ht="14.25">
      <c r="A94" s="23"/>
      <c r="B94" s="55"/>
      <c r="C94" s="55" t="s">
        <v>374</v>
      </c>
      <c r="D94" s="37" t="s">
        <v>375</v>
      </c>
      <c r="E94" s="10">
        <f>Source!AQ38</f>
        <v>94.4</v>
      </c>
      <c r="F94" s="38"/>
      <c r="G94" s="39" t="str">
        <f>Source!DI38</f>
        <v/>
      </c>
      <c r="H94" s="40"/>
      <c r="I94" s="39"/>
      <c r="J94" s="39"/>
      <c r="K94" s="40"/>
      <c r="L94" s="51">
        <f>Source!U38</f>
        <v>5.6639999999999997</v>
      </c>
    </row>
    <row r="95" spans="1:26" ht="42.75">
      <c r="A95" s="56" t="str">
        <f>Source!E39</f>
        <v>2,1</v>
      </c>
      <c r="B95" s="57" t="str">
        <f>Source!F39</f>
        <v>509-5121</v>
      </c>
      <c r="C95" s="57" t="str">
        <f>Source!G39</f>
        <v>Светильник встраиваемый растровый с белым параболическим отражателем (5 перемычек) ЛВО 13-4х18-731/5</v>
      </c>
      <c r="D95" s="43" t="str">
        <f>Source!H39</f>
        <v>шт.</v>
      </c>
      <c r="E95" s="44">
        <f>Source!I39</f>
        <v>6</v>
      </c>
      <c r="F95" s="45">
        <f>Source!AL39+Source!AM39+Source!AO39</f>
        <v>162.18</v>
      </c>
      <c r="G95" s="53" t="s">
        <v>3</v>
      </c>
      <c r="H95" s="47">
        <f>ROUND(Source!AC39*Source!I39, 2)+ROUND(Source!AD39*Source!I39, 2)+ROUND(Source!AF39*Source!I39, 2)</f>
        <v>973.08</v>
      </c>
      <c r="I95" s="46"/>
      <c r="J95" s="46">
        <f>IF(Source!BC39&lt;&gt; 0, Source!BC39, 1)</f>
        <v>2.42</v>
      </c>
      <c r="K95" s="47">
        <f>Source!O39</f>
        <v>2354.85</v>
      </c>
      <c r="L95" s="54"/>
      <c r="S95">
        <f>ROUND((Source!FX39/100)*((ROUND(Source!AF39*Source!I39, 2)+ROUND(Source!AE39*Source!I39, 2))), 2)</f>
        <v>0</v>
      </c>
      <c r="T95">
        <f>Source!X39</f>
        <v>0</v>
      </c>
      <c r="U95">
        <f>ROUND((Source!FY39/100)*((ROUND(Source!AF39*Source!I39, 2)+ROUND(Source!AE39*Source!I39, 2))), 2)</f>
        <v>0</v>
      </c>
      <c r="V95">
        <f>Source!Y39</f>
        <v>0</v>
      </c>
      <c r="W95">
        <f>IF(Source!BI39&lt;=1,H95, 0)</f>
        <v>0</v>
      </c>
      <c r="X95">
        <f>IF(Source!BI39=2,H95, 0)</f>
        <v>973.08</v>
      </c>
      <c r="Y95">
        <f>IF(Source!BI39=3,H95, 0)</f>
        <v>0</v>
      </c>
      <c r="Z95">
        <f>IF(Source!BI39=4,H95, 0)</f>
        <v>0</v>
      </c>
    </row>
    <row r="96" spans="1:26" ht="15">
      <c r="G96" s="77">
        <f>H88+H89+H91+H92+H93+SUM(H95:H95)</f>
        <v>1129.33</v>
      </c>
      <c r="H96" s="77"/>
      <c r="J96" s="77">
        <f>K88+K89+K91+K92+K93+SUM(K95:K95)</f>
        <v>7301.16</v>
      </c>
      <c r="K96" s="77"/>
      <c r="L96" s="49">
        <f>Source!U38</f>
        <v>5.6639999999999997</v>
      </c>
      <c r="O96" s="32">
        <f>G96</f>
        <v>1129.33</v>
      </c>
      <c r="P96" s="32">
        <f>J96</f>
        <v>7301.16</v>
      </c>
      <c r="Q96" s="32">
        <f>L96</f>
        <v>5.6639999999999997</v>
      </c>
      <c r="W96">
        <f>IF(Source!BI38&lt;=1,H88+H89+H91+H92+H93, 0)</f>
        <v>0</v>
      </c>
      <c r="X96">
        <f>IF(Source!BI38=2,H88+H89+H91+H92+H93, 0)</f>
        <v>156.25</v>
      </c>
      <c r="Y96">
        <f>IF(Source!BI38=3,H88+H89+H91+H92+H93, 0)</f>
        <v>0</v>
      </c>
      <c r="Z96">
        <f>IF(Source!BI38=4,H88+H89+H91+H92+H93, 0)</f>
        <v>0</v>
      </c>
    </row>
    <row r="97" spans="1:32" ht="42.75">
      <c r="A97" s="23" t="str">
        <f>Source!E40</f>
        <v>3</v>
      </c>
      <c r="B97" s="55" t="str">
        <f>Source!F40</f>
        <v>т01-01-01-041</v>
      </c>
      <c r="C97" s="55" t="str">
        <f>Source!G40</f>
        <v>Погрузка при автомобильных перевозках мусора строительного с погрузкой вручную</v>
      </c>
      <c r="D97" s="37" t="str">
        <f>Source!H40</f>
        <v>1 Т ГРУЗА</v>
      </c>
      <c r="E97" s="10">
        <f>Source!I40</f>
        <v>0.1</v>
      </c>
      <c r="F97" s="38">
        <f>Source!AL40+Source!AM40+Source!AO40</f>
        <v>42.98</v>
      </c>
      <c r="G97" s="39"/>
      <c r="H97" s="40"/>
      <c r="I97" s="39" t="str">
        <f>Source!BO40</f>
        <v/>
      </c>
      <c r="J97" s="39"/>
      <c r="K97" s="40"/>
      <c r="L97" s="41"/>
      <c r="S97">
        <f>ROUND((Source!FX40/100)*((ROUND(Source!AF40*Source!I40, 2)+ROUND(Source!AE40*Source!I40, 2))), 2)</f>
        <v>0</v>
      </c>
      <c r="T97">
        <f>Source!X40</f>
        <v>0</v>
      </c>
      <c r="U97">
        <f>ROUND((Source!FY40/100)*((ROUND(Source!AF40*Source!I40, 2)+ROUND(Source!AE40*Source!I40, 2))), 2)</f>
        <v>0</v>
      </c>
      <c r="V97">
        <f>Source!Y40</f>
        <v>0</v>
      </c>
    </row>
    <row r="98" spans="1:32" ht="14.25">
      <c r="A98" s="56"/>
      <c r="B98" s="57"/>
      <c r="C98" s="57" t="s">
        <v>116</v>
      </c>
      <c r="D98" s="43"/>
      <c r="E98" s="44"/>
      <c r="F98" s="45">
        <f>Source!AM40</f>
        <v>42.98</v>
      </c>
      <c r="G98" s="46" t="str">
        <f>Source!DE40</f>
        <v/>
      </c>
      <c r="H98" s="47">
        <f>ROUND(Source!AD40*Source!I40, 2)</f>
        <v>4.3</v>
      </c>
      <c r="I98" s="46"/>
      <c r="J98" s="46">
        <f>IF(Source!BB40&lt;&gt; 0, Source!BB40, 1)</f>
        <v>14.43</v>
      </c>
      <c r="K98" s="47">
        <f>Source!Q40</f>
        <v>62.02</v>
      </c>
      <c r="L98" s="54"/>
    </row>
    <row r="99" spans="1:32" ht="15">
      <c r="G99" s="77">
        <f>H98</f>
        <v>4.3</v>
      </c>
      <c r="H99" s="77"/>
      <c r="J99" s="77">
        <f>K98</f>
        <v>62.02</v>
      </c>
      <c r="K99" s="77"/>
      <c r="L99" s="49">
        <f>Source!U40</f>
        <v>0</v>
      </c>
      <c r="O99" s="32">
        <f>G99</f>
        <v>4.3</v>
      </c>
      <c r="P99" s="32">
        <f>J99</f>
        <v>62.02</v>
      </c>
      <c r="Q99" s="32">
        <f>L99</f>
        <v>0</v>
      </c>
      <c r="W99">
        <f>IF(Source!BI40&lt;=1,H98, 0)</f>
        <v>4.3</v>
      </c>
      <c r="X99">
        <f>IF(Source!BI40=2,H98, 0)</f>
        <v>0</v>
      </c>
      <c r="Y99">
        <f>IF(Source!BI40=3,H98, 0)</f>
        <v>0</v>
      </c>
      <c r="Z99">
        <f>IF(Source!BI40=4,H98, 0)</f>
        <v>0</v>
      </c>
    </row>
    <row r="100" spans="1:32" ht="57">
      <c r="A100" s="23" t="str">
        <f>Source!E41</f>
        <v>4</v>
      </c>
      <c r="B100" s="55" t="str">
        <f>Source!F41</f>
        <v>т03-01-01-040</v>
      </c>
      <c r="C100" s="55" t="str">
        <f>Source!G41</f>
        <v>Перевозка грузов I класса автомобилями бортовыми грузоподъемностью до 15 т на расстояние до 40 км</v>
      </c>
      <c r="D100" s="37" t="str">
        <f>Source!H41</f>
        <v>1 Т ГРУЗА</v>
      </c>
      <c r="E100" s="10">
        <f>Source!I41</f>
        <v>0.1</v>
      </c>
      <c r="F100" s="38">
        <f>Source!AL41+Source!AM41+Source!AO41</f>
        <v>20.91</v>
      </c>
      <c r="G100" s="39"/>
      <c r="H100" s="40"/>
      <c r="I100" s="39" t="str">
        <f>Source!BO41</f>
        <v/>
      </c>
      <c r="J100" s="39"/>
      <c r="K100" s="40"/>
      <c r="L100" s="41"/>
      <c r="S100">
        <f>ROUND((Source!FX41/100)*((ROUND(Source!AF41*Source!I41, 2)+ROUND(Source!AE41*Source!I41, 2))), 2)</f>
        <v>0</v>
      </c>
      <c r="T100">
        <f>Source!X41</f>
        <v>0</v>
      </c>
      <c r="U100">
        <f>ROUND((Source!FY41/100)*((ROUND(Source!AF41*Source!I41, 2)+ROUND(Source!AE41*Source!I41, 2))), 2)</f>
        <v>0</v>
      </c>
      <c r="V100">
        <f>Source!Y41</f>
        <v>0</v>
      </c>
    </row>
    <row r="101" spans="1:32" ht="14.25">
      <c r="A101" s="56"/>
      <c r="B101" s="57"/>
      <c r="C101" s="57" t="s">
        <v>116</v>
      </c>
      <c r="D101" s="43"/>
      <c r="E101" s="44"/>
      <c r="F101" s="45">
        <f>Source!AM41</f>
        <v>20.91</v>
      </c>
      <c r="G101" s="46" t="str">
        <f>Source!DE41</f>
        <v/>
      </c>
      <c r="H101" s="47">
        <f>ROUND(Source!AD41*Source!I41, 2)</f>
        <v>2.09</v>
      </c>
      <c r="I101" s="46"/>
      <c r="J101" s="46">
        <f>IF(Source!BB41&lt;&gt; 0, Source!BB41, 1)</f>
        <v>9.89</v>
      </c>
      <c r="K101" s="47">
        <f>Source!Q41</f>
        <v>20.68</v>
      </c>
      <c r="L101" s="54"/>
    </row>
    <row r="102" spans="1:32" ht="15">
      <c r="G102" s="77">
        <f>H101</f>
        <v>2.09</v>
      </c>
      <c r="H102" s="77"/>
      <c r="J102" s="77">
        <f>K101</f>
        <v>20.68</v>
      </c>
      <c r="K102" s="77"/>
      <c r="L102" s="49">
        <f>Source!U41</f>
        <v>0</v>
      </c>
      <c r="O102" s="32">
        <f>G102</f>
        <v>2.09</v>
      </c>
      <c r="P102" s="32">
        <f>J102</f>
        <v>20.68</v>
      </c>
      <c r="Q102" s="32">
        <f>L102</f>
        <v>0</v>
      </c>
      <c r="W102">
        <f>IF(Source!BI41&lt;=1,H101, 0)</f>
        <v>2.09</v>
      </c>
      <c r="X102">
        <f>IF(Source!BI41=2,H101, 0)</f>
        <v>0</v>
      </c>
      <c r="Y102">
        <f>IF(Source!BI41=3,H101, 0)</f>
        <v>0</v>
      </c>
      <c r="Z102">
        <f>IF(Source!BI41=4,H101, 0)</f>
        <v>0</v>
      </c>
    </row>
    <row r="104" spans="1:32" ht="15">
      <c r="A104" s="76" t="str">
        <f>CONCATENATE("Итого по разделу: ",IF(Source!G43&lt;&gt;"Новый раздел", Source!G43, ""))</f>
        <v>Итого по разделу: потолок</v>
      </c>
      <c r="B104" s="76"/>
      <c r="C104" s="76"/>
      <c r="D104" s="76"/>
      <c r="E104" s="76"/>
      <c r="F104" s="76"/>
      <c r="G104" s="75">
        <f>SUM(O75:O103)</f>
        <v>4380.04</v>
      </c>
      <c r="H104" s="75"/>
      <c r="I104" s="35"/>
      <c r="J104" s="75">
        <f>SUM(P75:P103)</f>
        <v>52907.94</v>
      </c>
      <c r="K104" s="75"/>
      <c r="L104" s="49">
        <f>SUM(Q75:Q103)</f>
        <v>50.203361999999991</v>
      </c>
    </row>
    <row r="108" spans="1:32" ht="15">
      <c r="A108" s="76" t="str">
        <f>CONCATENATE("Итого по локальной смете: ",IF(Source!G73&lt;&gt;"Новая локальная смета", Source!G73, ""))</f>
        <v xml:space="preserve">Итого по локальной смете: </v>
      </c>
      <c r="B108" s="76"/>
      <c r="C108" s="76"/>
      <c r="D108" s="76"/>
      <c r="E108" s="76"/>
      <c r="F108" s="76"/>
      <c r="G108" s="75">
        <f>SUM(O42:O107)</f>
        <v>8979.64</v>
      </c>
      <c r="H108" s="75"/>
      <c r="I108" s="35"/>
      <c r="J108" s="75">
        <f>SUM(P42:P107)</f>
        <v>99851.05</v>
      </c>
      <c r="K108" s="75"/>
      <c r="L108" s="49">
        <f>SUM(Q42:Q107)</f>
        <v>92.838961999999981</v>
      </c>
    </row>
    <row r="112" spans="1:32" ht="15">
      <c r="A112" s="76" t="str">
        <f>CONCATENATE("Итого по смете: ",IF(Source!G103&lt;&gt;"Новый объект", Source!G103, ""))</f>
        <v>Итого по смете: Ремонт фойе ОВП1 этаж Ильский Погост</v>
      </c>
      <c r="B112" s="76"/>
      <c r="C112" s="76"/>
      <c r="D112" s="76"/>
      <c r="E112" s="76"/>
      <c r="F112" s="76"/>
      <c r="G112" s="75">
        <f>SUM(O1:O111)</f>
        <v>8979.64</v>
      </c>
      <c r="H112" s="75"/>
      <c r="I112" s="35"/>
      <c r="J112" s="75">
        <f>SUM(P1:P111)</f>
        <v>99851.05</v>
      </c>
      <c r="K112" s="75"/>
      <c r="L112" s="49">
        <f>SUM(Q1:Q111)</f>
        <v>92.838961999999981</v>
      </c>
      <c r="AF112" s="59" t="str">
        <f>CONCATENATE("Итого по смете: ",IF(Source!G103&lt;&gt;"Новый объект", Source!G103, ""))</f>
        <v>Итого по смете: Ремонт фойе ОВП1 этаж Ильский Погост</v>
      </c>
    </row>
    <row r="114" spans="1:12" ht="14.25">
      <c r="C114" s="80" t="str">
        <f>Source!H132</f>
        <v>НДС 20%</v>
      </c>
      <c r="D114" s="80"/>
      <c r="E114" s="80"/>
      <c r="F114" s="80"/>
      <c r="G114" s="80"/>
      <c r="H114" s="80"/>
      <c r="I114" s="80"/>
      <c r="J114" s="81">
        <f>IF(Source!F132=0, "", Source!F132)</f>
        <v>19970.2</v>
      </c>
      <c r="K114" s="81"/>
    </row>
    <row r="115" spans="1:12" ht="14.25">
      <c r="C115" s="80" t="str">
        <f>Source!H133</f>
        <v>всего с НДС</v>
      </c>
      <c r="D115" s="80"/>
      <c r="E115" s="80"/>
      <c r="F115" s="80"/>
      <c r="G115" s="80"/>
      <c r="H115" s="80"/>
      <c r="I115" s="80"/>
      <c r="J115" s="81">
        <f>IF(Source!F133=0, "", Source!F133)</f>
        <v>119821.3</v>
      </c>
      <c r="K115" s="81"/>
    </row>
    <row r="118" spans="1:12" ht="14.25">
      <c r="A118" s="34" t="s">
        <v>379</v>
      </c>
      <c r="B118" s="34"/>
      <c r="C118" s="10" t="s">
        <v>380</v>
      </c>
      <c r="D118" s="33" t="str">
        <f>IF(Source!CP12&lt;&gt;"", Source!CP12," ")</f>
        <v xml:space="preserve"> </v>
      </c>
      <c r="E118" s="33"/>
      <c r="F118" s="33"/>
      <c r="G118" s="33"/>
      <c r="H118" s="33"/>
      <c r="I118" s="11" t="str">
        <f>IF(Source!CO12&lt;&gt;"", Source!CO12," ")</f>
        <v xml:space="preserve"> </v>
      </c>
      <c r="J118" s="10"/>
      <c r="K118" s="11"/>
      <c r="L118" s="11"/>
    </row>
    <row r="119" spans="1:12" ht="14.25">
      <c r="A119" s="11"/>
      <c r="B119" s="11"/>
      <c r="C119" s="10"/>
      <c r="D119" s="78" t="s">
        <v>381</v>
      </c>
      <c r="E119" s="78"/>
      <c r="F119" s="78"/>
      <c r="G119" s="78"/>
      <c r="H119" s="78"/>
      <c r="I119" s="11"/>
      <c r="J119" s="10"/>
      <c r="K119" s="11"/>
      <c r="L119" s="11"/>
    </row>
    <row r="120" spans="1:12" ht="14.25">
      <c r="A120" s="11"/>
      <c r="B120" s="11"/>
      <c r="C120" s="10"/>
      <c r="D120" s="11"/>
      <c r="E120" s="11"/>
      <c r="F120" s="11"/>
      <c r="G120" s="11"/>
      <c r="H120" s="11"/>
      <c r="I120" s="11"/>
      <c r="J120" s="10"/>
      <c r="K120" s="11"/>
      <c r="L120" s="11"/>
    </row>
    <row r="121" spans="1:12" ht="14.25">
      <c r="A121" s="34" t="s">
        <v>379</v>
      </c>
      <c r="B121" s="34"/>
      <c r="C121" s="10" t="s">
        <v>382</v>
      </c>
      <c r="D121" s="33" t="str">
        <f>IF(Source!AC12&lt;&gt;"", Source!AC12," ")</f>
        <v xml:space="preserve"> </v>
      </c>
      <c r="E121" s="33"/>
      <c r="F121" s="33"/>
      <c r="G121" s="33"/>
      <c r="H121" s="33"/>
      <c r="I121" s="11" t="str">
        <f>IF(Source!AB12&lt;&gt;"", Source!AB12," ")</f>
        <v xml:space="preserve"> </v>
      </c>
      <c r="J121" s="10"/>
      <c r="K121" s="11"/>
      <c r="L121" s="11"/>
    </row>
    <row r="122" spans="1:12" ht="14.25">
      <c r="A122" s="11"/>
      <c r="B122" s="11"/>
      <c r="C122" s="11"/>
      <c r="D122" s="78" t="s">
        <v>381</v>
      </c>
      <c r="E122" s="78"/>
      <c r="F122" s="78"/>
      <c r="G122" s="78"/>
      <c r="H122" s="78"/>
      <c r="I122" s="11"/>
      <c r="J122" s="11"/>
      <c r="K122" s="11"/>
      <c r="L122" s="11"/>
    </row>
    <row r="123" spans="1:12" ht="14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</row>
    <row r="124" spans="1:12" ht="14.25">
      <c r="A124" s="11"/>
      <c r="B124" s="11"/>
      <c r="C124" s="10" t="s">
        <v>383</v>
      </c>
      <c r="D124" s="33" t="str">
        <f>IF(Source!AE12&lt;&gt;"", Source!AE12," ")</f>
        <v xml:space="preserve"> </v>
      </c>
      <c r="E124" s="33"/>
      <c r="F124" s="33"/>
      <c r="G124" s="33"/>
      <c r="H124" s="33"/>
      <c r="I124" s="11" t="str">
        <f>IF(Source!AD12&lt;&gt;"", Source!AD12," ")</f>
        <v xml:space="preserve"> </v>
      </c>
      <c r="J124" s="10"/>
      <c r="K124" s="11"/>
      <c r="L124" s="11"/>
    </row>
    <row r="125" spans="1:12" ht="14.25">
      <c r="A125" s="11"/>
      <c r="B125" s="11"/>
      <c r="C125" s="11"/>
      <c r="D125" s="78" t="s">
        <v>381</v>
      </c>
      <c r="E125" s="78"/>
      <c r="F125" s="78"/>
      <c r="G125" s="78"/>
      <c r="H125" s="78"/>
      <c r="I125" s="11"/>
      <c r="J125" s="11"/>
      <c r="K125" s="11"/>
      <c r="L125" s="11"/>
    </row>
  </sheetData>
  <mergeCells count="91">
    <mergeCell ref="B3:E3"/>
    <mergeCell ref="H3:L3"/>
    <mergeCell ref="B4:E4"/>
    <mergeCell ref="H4:L4"/>
    <mergeCell ref="B6:E6"/>
    <mergeCell ref="H6:L6"/>
    <mergeCell ref="G25:H25"/>
    <mergeCell ref="I25:J25"/>
    <mergeCell ref="B7:E7"/>
    <mergeCell ref="H7:L7"/>
    <mergeCell ref="B10:K10"/>
    <mergeCell ref="B11:K11"/>
    <mergeCell ref="F13:G13"/>
    <mergeCell ref="H13:K13"/>
    <mergeCell ref="B15:K15"/>
    <mergeCell ref="B17:K17"/>
    <mergeCell ref="B19:K19"/>
    <mergeCell ref="B20:K20"/>
    <mergeCell ref="A22:L22"/>
    <mergeCell ref="C26:F26"/>
    <mergeCell ref="G26:H26"/>
    <mergeCell ref="I26:J26"/>
    <mergeCell ref="K26:L26"/>
    <mergeCell ref="C27:F27"/>
    <mergeCell ref="G27:H27"/>
    <mergeCell ref="I27:J27"/>
    <mergeCell ref="K27:L27"/>
    <mergeCell ref="C28:F28"/>
    <mergeCell ref="G28:H28"/>
    <mergeCell ref="I28:J28"/>
    <mergeCell ref="K28:L28"/>
    <mergeCell ref="C29:F29"/>
    <mergeCell ref="G29:H29"/>
    <mergeCell ref="I29:J29"/>
    <mergeCell ref="K29:L29"/>
    <mergeCell ref="C30:F30"/>
    <mergeCell ref="G30:H30"/>
    <mergeCell ref="I30:J30"/>
    <mergeCell ref="K30:L30"/>
    <mergeCell ref="C31:F31"/>
    <mergeCell ref="G31:H31"/>
    <mergeCell ref="I31:J31"/>
    <mergeCell ref="K31:L31"/>
    <mergeCell ref="C32:F32"/>
    <mergeCell ref="G32:H32"/>
    <mergeCell ref="I32:J32"/>
    <mergeCell ref="K32:L32"/>
    <mergeCell ref="C33:F33"/>
    <mergeCell ref="G33:H33"/>
    <mergeCell ref="I33:J33"/>
    <mergeCell ref="J99:K99"/>
    <mergeCell ref="G99:H99"/>
    <mergeCell ref="J104:K104"/>
    <mergeCell ref="A38:L38"/>
    <mergeCell ref="C114:I114"/>
    <mergeCell ref="J114:K114"/>
    <mergeCell ref="J96:K96"/>
    <mergeCell ref="G96:H96"/>
    <mergeCell ref="J85:K85"/>
    <mergeCell ref="G85:H85"/>
    <mergeCell ref="D122:H122"/>
    <mergeCell ref="D125:H125"/>
    <mergeCell ref="A104:F104"/>
    <mergeCell ref="J102:K102"/>
    <mergeCell ref="G102:H102"/>
    <mergeCell ref="C115:I115"/>
    <mergeCell ref="J115:K115"/>
    <mergeCell ref="D119:H119"/>
    <mergeCell ref="G51:H51"/>
    <mergeCell ref="F83:G83"/>
    <mergeCell ref="F82:G82"/>
    <mergeCell ref="A75:L75"/>
    <mergeCell ref="J73:K73"/>
    <mergeCell ref="G73:H73"/>
    <mergeCell ref="F70:G70"/>
    <mergeCell ref="F49:G49"/>
    <mergeCell ref="F48:G48"/>
    <mergeCell ref="A42:L42"/>
    <mergeCell ref="G112:H112"/>
    <mergeCell ref="J112:K112"/>
    <mergeCell ref="A112:F112"/>
    <mergeCell ref="G108:H108"/>
    <mergeCell ref="J108:K108"/>
    <mergeCell ref="A108:F108"/>
    <mergeCell ref="G104:H104"/>
    <mergeCell ref="F69:G69"/>
    <mergeCell ref="J65:K65"/>
    <mergeCell ref="G65:H65"/>
    <mergeCell ref="F59:G59"/>
    <mergeCell ref="F58:G58"/>
    <mergeCell ref="J51:K51"/>
  </mergeCells>
  <pageMargins left="0.4" right="0.2" top="0.2" bottom="0.4" header="0.2" footer="0.2"/>
  <pageSetup paperSize="9" scale="59" fitToHeight="0" orientation="portrait" horizontalDpi="360" verticalDpi="36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7"/>
  <sheetViews>
    <sheetView zoomScaleNormal="100" workbookViewId="0"/>
  </sheetViews>
  <sheetFormatPr defaultRowHeight="12.75"/>
  <cols>
    <col min="1" max="1" width="6.7109375" customWidth="1"/>
    <col min="2" max="2" width="75.7109375" customWidth="1"/>
    <col min="3" max="5" width="15.7109375" customWidth="1"/>
    <col min="30" max="31" width="0" hidden="1" customWidth="1"/>
  </cols>
  <sheetData>
    <row r="1" spans="1:5" ht="14.25">
      <c r="A1" s="11"/>
      <c r="B1" s="11"/>
      <c r="C1" s="11"/>
      <c r="D1" s="11"/>
      <c r="E1" s="11"/>
    </row>
    <row r="2" spans="1:5" ht="15.75">
      <c r="A2" s="94" t="str">
        <f>CONCATENATE("Дефектный акт ", IF(Source!AN15&lt;&gt;"", Source!AN15," "))</f>
        <v xml:space="preserve">Дефектный акт  </v>
      </c>
      <c r="B2" s="94"/>
      <c r="C2" s="94"/>
      <c r="D2" s="94"/>
      <c r="E2" s="11"/>
    </row>
    <row r="3" spans="1:5" ht="15">
      <c r="A3" s="95" t="str">
        <f>CONCATENATE("На капитальный ремонт ", Source!G12)</f>
        <v>На капитальный ремонт Ремонт фойе ОВП1 этаж Ильский Погост</v>
      </c>
      <c r="B3" s="95"/>
      <c r="C3" s="95"/>
      <c r="D3" s="95"/>
      <c r="E3" s="11"/>
    </row>
    <row r="4" spans="1:5" ht="14.25">
      <c r="A4" s="11"/>
      <c r="B4" s="11"/>
      <c r="C4" s="11"/>
      <c r="D4" s="11"/>
      <c r="E4" s="11"/>
    </row>
    <row r="5" spans="1:5" ht="15">
      <c r="A5" s="11"/>
      <c r="B5" s="60" t="s">
        <v>384</v>
      </c>
      <c r="C5" s="11"/>
      <c r="D5" s="11"/>
      <c r="E5" s="11"/>
    </row>
    <row r="6" spans="1:5" ht="15">
      <c r="A6" s="11"/>
      <c r="B6" s="60" t="s">
        <v>385</v>
      </c>
      <c r="C6" s="11"/>
      <c r="D6" s="11"/>
      <c r="E6" s="11"/>
    </row>
    <row r="7" spans="1:5" ht="15">
      <c r="A7" s="11"/>
      <c r="B7" s="60" t="s">
        <v>386</v>
      </c>
      <c r="C7" s="11"/>
      <c r="D7" s="11"/>
      <c r="E7" s="11"/>
    </row>
    <row r="8" spans="1:5" ht="28.5">
      <c r="A8" s="28" t="s">
        <v>355</v>
      </c>
      <c r="B8" s="28" t="s">
        <v>357</v>
      </c>
      <c r="C8" s="28" t="s">
        <v>387</v>
      </c>
      <c r="D8" s="28" t="s">
        <v>388</v>
      </c>
      <c r="E8" s="61" t="s">
        <v>389</v>
      </c>
    </row>
    <row r="9" spans="1:5" ht="14.25">
      <c r="A9" s="62">
        <v>1</v>
      </c>
      <c r="B9" s="62">
        <v>2</v>
      </c>
      <c r="C9" s="62">
        <v>3</v>
      </c>
      <c r="D9" s="62">
        <v>4</v>
      </c>
      <c r="E9" s="63">
        <v>5</v>
      </c>
    </row>
    <row r="10" spans="1:5" ht="16.5">
      <c r="A10" s="96" t="str">
        <f>CONCATENATE("Локальная смета: ", Source!G20)</f>
        <v>Локальная смета: Новая локальная смета</v>
      </c>
      <c r="B10" s="96"/>
      <c r="C10" s="96"/>
      <c r="D10" s="96"/>
      <c r="E10" s="96"/>
    </row>
    <row r="11" spans="1:5" ht="42.75">
      <c r="A11" s="68" t="str">
        <f>Source!E24</f>
        <v>3</v>
      </c>
      <c r="B11" s="69" t="str">
        <f>Source!G24</f>
        <v>Облицовка стен по системе «КНАУФ» по одинарному металлическому каркасу из ПН и ПС профилей гипсокартонными листами в один слой (С 625) оконным проемом</v>
      </c>
      <c r="C11" s="70" t="str">
        <f>Source!H24</f>
        <v>100 м2 стен (за вычетом проемов)</v>
      </c>
      <c r="D11" s="71">
        <f>Source!I24</f>
        <v>0.35</v>
      </c>
      <c r="E11" s="69"/>
    </row>
    <row r="12" spans="1:5" ht="57">
      <c r="A12" s="68" t="str">
        <f>Source!E25</f>
        <v>4</v>
      </c>
      <c r="B12" s="69" t="str">
        <f>Source!G25</f>
        <v>Оклейка обоями стен по листовым материалам, гипсобетонным и гипсолитовым поверхностям простыми и средней плотности</v>
      </c>
      <c r="C12" s="70" t="str">
        <f>Source!H25</f>
        <v>100 м2 оклеиваемой и обиваемой поверхности</v>
      </c>
      <c r="D12" s="71">
        <f>Source!I25</f>
        <v>0.35</v>
      </c>
      <c r="E12" s="69"/>
    </row>
    <row r="13" spans="1:5" ht="14.25">
      <c r="A13" s="68" t="str">
        <f>Source!E26</f>
        <v>4,1</v>
      </c>
      <c r="B13" s="69" t="str">
        <f>Source!G26</f>
        <v>Стеклообои TASSOGLAS, рогожка крупная</v>
      </c>
      <c r="C13" s="70" t="str">
        <f>Source!H26</f>
        <v>м2</v>
      </c>
      <c r="D13" s="71">
        <f>Source!I26</f>
        <v>35</v>
      </c>
      <c r="E13" s="69"/>
    </row>
    <row r="14" spans="1:5" ht="14.25">
      <c r="A14" s="68" t="str">
        <f>Source!E27</f>
        <v>4,2</v>
      </c>
      <c r="B14" s="69" t="str">
        <f>Source!G27</f>
        <v>Клей акриловый ПОЛАКС</v>
      </c>
      <c r="C14" s="70" t="str">
        <f>Source!H27</f>
        <v>кг</v>
      </c>
      <c r="D14" s="71">
        <f>Source!I27</f>
        <v>1.1666669999999999</v>
      </c>
      <c r="E14" s="69"/>
    </row>
    <row r="15" spans="1:5" ht="14.25">
      <c r="A15" s="68" t="str">
        <f>Source!E28</f>
        <v>4,3</v>
      </c>
      <c r="B15" s="69" t="str">
        <f>Source!G28</f>
        <v>Обои обыкновенного качества</v>
      </c>
      <c r="C15" s="70" t="str">
        <f>Source!H28</f>
        <v>100 м2</v>
      </c>
      <c r="D15" s="71">
        <f>Source!I28</f>
        <v>-0.39550000000000002</v>
      </c>
      <c r="E15" s="69"/>
    </row>
    <row r="16" spans="1:5" ht="14.25">
      <c r="A16" s="68" t="str">
        <f>Source!E29</f>
        <v>4,4</v>
      </c>
      <c r="B16" s="69" t="str">
        <f>Source!G29</f>
        <v>Клей для обоев КМЦ</v>
      </c>
      <c r="C16" s="70" t="str">
        <f>Source!H29</f>
        <v>т</v>
      </c>
      <c r="D16" s="71">
        <f>Source!I29</f>
        <v>-5.2499999999999997E-4</v>
      </c>
      <c r="E16" s="69"/>
    </row>
    <row r="17" spans="1:5" ht="42.75">
      <c r="A17" s="68" t="str">
        <f>Source!E30</f>
        <v>5</v>
      </c>
      <c r="B17" s="69" t="str">
        <f>Source!G30</f>
        <v>Вторая окраска стен, оклееных стеклообоями, красками</v>
      </c>
      <c r="C17" s="70" t="str">
        <f>Source!H30</f>
        <v>100 м2 поверхности стен</v>
      </c>
      <c r="D17" s="71">
        <f>Source!I30</f>
        <v>0.35</v>
      </c>
      <c r="E17" s="69"/>
    </row>
    <row r="18" spans="1:5" ht="14.25">
      <c r="A18" s="68" t="str">
        <f>Source!E31</f>
        <v>5,1</v>
      </c>
      <c r="B18" s="69" t="str">
        <f>Source!G31</f>
        <v>Краска акриловая ДИВА-В для стен и потолков</v>
      </c>
      <c r="C18" s="70" t="str">
        <f>Source!H31</f>
        <v>т</v>
      </c>
      <c r="D18" s="71">
        <f>Source!I31</f>
        <v>5.5999999999999999E-3</v>
      </c>
      <c r="E18" s="69"/>
    </row>
    <row r="19" spans="1:5" ht="16.5">
      <c r="A19" s="96" t="str">
        <f>CONCATENATE("Раздел: ", Source!G33)</f>
        <v>Раздел: потолок</v>
      </c>
      <c r="B19" s="96"/>
      <c r="C19" s="96"/>
      <c r="D19" s="96"/>
      <c r="E19" s="96"/>
    </row>
    <row r="20" spans="1:5" ht="42.75">
      <c r="A20" s="68" t="str">
        <f>Source!E37</f>
        <v>1</v>
      </c>
      <c r="B20" s="69" t="str">
        <f>Source!G37</f>
        <v>Устройство подвесных потолков типа &lt;Армстронг&gt; по каркасу из оцинкованного профиля</v>
      </c>
      <c r="C20" s="70" t="str">
        <f>Source!H37</f>
        <v>100 м2 поверхности облицовки</v>
      </c>
      <c r="D20" s="71">
        <f>Source!I37</f>
        <v>0.378</v>
      </c>
      <c r="E20" s="69"/>
    </row>
    <row r="21" spans="1:5" ht="14.25">
      <c r="A21" s="68" t="str">
        <f>Source!E38</f>
        <v>2</v>
      </c>
      <c r="B21" s="69" t="str">
        <f>Source!G38</f>
        <v>Светильник в подвесных потолках</v>
      </c>
      <c r="C21" s="70" t="str">
        <f>Source!H38</f>
        <v>100 шт.</v>
      </c>
      <c r="D21" s="71">
        <f>Source!I38</f>
        <v>0.06</v>
      </c>
      <c r="E21" s="69"/>
    </row>
    <row r="22" spans="1:5" ht="28.5">
      <c r="A22" s="68" t="str">
        <f>Source!E39</f>
        <v>2,1</v>
      </c>
      <c r="B22" s="69" t="str">
        <f>Source!G39</f>
        <v>Светильник встраиваемый растровый с белым параболическим отражателем (5 перемычек) ЛВО 13-4х18-731/5</v>
      </c>
      <c r="C22" s="70" t="str">
        <f>Source!H39</f>
        <v>шт.</v>
      </c>
      <c r="D22" s="71">
        <f>Source!I39</f>
        <v>6</v>
      </c>
      <c r="E22" s="69"/>
    </row>
    <row r="23" spans="1:5" ht="28.5">
      <c r="A23" s="68" t="str">
        <f>Source!E40</f>
        <v>3</v>
      </c>
      <c r="B23" s="69" t="str">
        <f>Source!G40</f>
        <v>Погрузка при автомобильных перевозках мусора строительного с погрузкой вручную</v>
      </c>
      <c r="C23" s="70" t="str">
        <f>Source!H40</f>
        <v>1 Т ГРУЗА</v>
      </c>
      <c r="D23" s="71">
        <f>Source!I40</f>
        <v>0.1</v>
      </c>
      <c r="E23" s="69"/>
    </row>
    <row r="24" spans="1:5" ht="28.5">
      <c r="A24" s="64" t="str">
        <f>Source!E41</f>
        <v>4</v>
      </c>
      <c r="B24" s="65" t="str">
        <f>Source!G41</f>
        <v>Перевозка грузов I класса автомобилями бортовыми грузоподъемностью до 15 т на расстояние до 40 км</v>
      </c>
      <c r="C24" s="66" t="str">
        <f>Source!H41</f>
        <v>1 Т ГРУЗА</v>
      </c>
      <c r="D24" s="67">
        <f>Source!I41</f>
        <v>0.1</v>
      </c>
      <c r="E24" s="65"/>
    </row>
    <row r="27" spans="1:5" ht="15">
      <c r="A27" s="35" t="s">
        <v>390</v>
      </c>
      <c r="B27" s="35"/>
      <c r="C27" s="35" t="s">
        <v>391</v>
      </c>
      <c r="D27" s="35"/>
      <c r="E27" s="35"/>
    </row>
  </sheetData>
  <mergeCells count="4">
    <mergeCell ref="A2:D2"/>
    <mergeCell ref="A3:D3"/>
    <mergeCell ref="A10:E10"/>
    <mergeCell ref="A19:E19"/>
  </mergeCells>
  <pageMargins left="0.4" right="0.2" top="0.2" bottom="0.4" header="0.2" footer="0.2"/>
  <pageSetup paperSize="9" scale="75" fitToHeight="0" orientation="portrait" horizontalDpi="360" verticalDpi="360" r:id="rId1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K170"/>
  <sheetViews>
    <sheetView workbookViewId="0">
      <selection activeCell="A166" sqref="A166:AN166"/>
    </sheetView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1</v>
      </c>
      <c r="Q1">
        <v>0</v>
      </c>
    </row>
    <row r="12" spans="1:133">
      <c r="A12" s="1">
        <v>1</v>
      </c>
      <c r="B12" s="1">
        <v>164</v>
      </c>
      <c r="C12" s="1">
        <v>0</v>
      </c>
      <c r="D12" s="1">
        <f>ROW(A103)</f>
        <v>103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B103</f>
        <v>164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Ремонт фойе ОВП1 этаж Ильский Погост</v>
      </c>
      <c r="H18" s="2"/>
      <c r="I18" s="2"/>
      <c r="J18" s="2"/>
      <c r="K18" s="2"/>
      <c r="L18" s="2"/>
      <c r="M18" s="2"/>
      <c r="N18" s="2"/>
      <c r="O18" s="2">
        <f t="shared" ref="O18:AT18" si="1">O103</f>
        <v>57335.88</v>
      </c>
      <c r="P18" s="2">
        <f t="shared" si="1"/>
        <v>26521.37</v>
      </c>
      <c r="Q18" s="2">
        <f t="shared" si="1"/>
        <v>2363.8000000000002</v>
      </c>
      <c r="R18" s="2">
        <f t="shared" si="1"/>
        <v>167.59</v>
      </c>
      <c r="S18" s="2">
        <f t="shared" si="1"/>
        <v>28450.71</v>
      </c>
      <c r="T18" s="2">
        <f t="shared" si="1"/>
        <v>0</v>
      </c>
      <c r="U18" s="2">
        <f t="shared" si="1"/>
        <v>92.838961999999981</v>
      </c>
      <c r="V18" s="2">
        <f t="shared" si="1"/>
        <v>0.375475</v>
      </c>
      <c r="W18" s="2">
        <f t="shared" si="1"/>
        <v>92.74</v>
      </c>
      <c r="X18" s="2">
        <f t="shared" si="1"/>
        <v>28129.7</v>
      </c>
      <c r="Y18" s="2">
        <f t="shared" si="1"/>
        <v>14385.47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99851.05</v>
      </c>
      <c r="AS18" s="2">
        <f t="shared" si="1"/>
        <v>92549.89</v>
      </c>
      <c r="AT18" s="2">
        <f t="shared" si="1"/>
        <v>7301.16</v>
      </c>
      <c r="AU18" s="2">
        <f t="shared" ref="AU18:BZ18" si="2">AU103</f>
        <v>0</v>
      </c>
      <c r="AV18" s="2">
        <f t="shared" si="2"/>
        <v>26521.37</v>
      </c>
      <c r="AW18" s="2">
        <f t="shared" si="2"/>
        <v>26521.37</v>
      </c>
      <c r="AX18" s="2">
        <f t="shared" si="2"/>
        <v>0</v>
      </c>
      <c r="AY18" s="2">
        <f t="shared" si="2"/>
        <v>26521.37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82.7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CA103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DG103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EM103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FS103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ROW(A73)</f>
        <v>73</v>
      </c>
      <c r="E20" s="1"/>
      <c r="F20" s="1" t="s">
        <v>12</v>
      </c>
      <c r="G20" s="1" t="s">
        <v>12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>
      <c r="A22" s="2">
        <v>52</v>
      </c>
      <c r="B22" s="2">
        <f t="shared" ref="B22:G22" si="7">B73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O73</f>
        <v>57335.88</v>
      </c>
      <c r="P22" s="2">
        <f t="shared" si="8"/>
        <v>26521.37</v>
      </c>
      <c r="Q22" s="2">
        <f t="shared" si="8"/>
        <v>2363.8000000000002</v>
      </c>
      <c r="R22" s="2">
        <f t="shared" si="8"/>
        <v>167.59</v>
      </c>
      <c r="S22" s="2">
        <f t="shared" si="8"/>
        <v>28450.71</v>
      </c>
      <c r="T22" s="2">
        <f t="shared" si="8"/>
        <v>0</v>
      </c>
      <c r="U22" s="2">
        <f t="shared" si="8"/>
        <v>92.838961999999981</v>
      </c>
      <c r="V22" s="2">
        <f t="shared" si="8"/>
        <v>0.375475</v>
      </c>
      <c r="W22" s="2">
        <f t="shared" si="8"/>
        <v>92.74</v>
      </c>
      <c r="X22" s="2">
        <f t="shared" si="8"/>
        <v>28129.7</v>
      </c>
      <c r="Y22" s="2">
        <f t="shared" si="8"/>
        <v>14385.47</v>
      </c>
      <c r="Z22" s="2">
        <f t="shared" si="8"/>
        <v>0</v>
      </c>
      <c r="AA22" s="2">
        <f t="shared" si="8"/>
        <v>0</v>
      </c>
      <c r="AB22" s="2">
        <f t="shared" si="8"/>
        <v>27283.7</v>
      </c>
      <c r="AC22" s="2">
        <f t="shared" si="8"/>
        <v>14474.03</v>
      </c>
      <c r="AD22" s="2">
        <f t="shared" si="8"/>
        <v>52.93</v>
      </c>
      <c r="AE22" s="2">
        <f t="shared" si="8"/>
        <v>2.02</v>
      </c>
      <c r="AF22" s="2">
        <f t="shared" si="8"/>
        <v>12756.74</v>
      </c>
      <c r="AG22" s="2">
        <f t="shared" si="8"/>
        <v>0</v>
      </c>
      <c r="AH22" s="2">
        <f t="shared" si="8"/>
        <v>42.63559999999999</v>
      </c>
      <c r="AI22" s="2">
        <f t="shared" si="8"/>
        <v>4.3749999999999995E-3</v>
      </c>
      <c r="AJ22" s="2">
        <f t="shared" si="8"/>
        <v>74.02</v>
      </c>
      <c r="AK22" s="2">
        <f t="shared" si="8"/>
        <v>13063.14</v>
      </c>
      <c r="AL22" s="2">
        <f t="shared" si="8"/>
        <v>6596.27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99851.05</v>
      </c>
      <c r="AS22" s="2">
        <f t="shared" si="8"/>
        <v>92549.89</v>
      </c>
      <c r="AT22" s="2">
        <f t="shared" si="8"/>
        <v>7301.16</v>
      </c>
      <c r="AU22" s="2">
        <f t="shared" ref="AU22:BZ22" si="9">AU73</f>
        <v>0</v>
      </c>
      <c r="AV22" s="2">
        <f t="shared" si="9"/>
        <v>26521.37</v>
      </c>
      <c r="AW22" s="2">
        <f t="shared" si="9"/>
        <v>26521.37</v>
      </c>
      <c r="AX22" s="2">
        <f t="shared" si="9"/>
        <v>0</v>
      </c>
      <c r="AY22" s="2">
        <f t="shared" si="9"/>
        <v>26521.37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82.7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CA73</f>
        <v>46943.11</v>
      </c>
      <c r="CB22" s="2">
        <f t="shared" si="10"/>
        <v>46943.11</v>
      </c>
      <c r="CC22" s="2">
        <f t="shared" si="10"/>
        <v>0</v>
      </c>
      <c r="CD22" s="2">
        <f t="shared" si="10"/>
        <v>0</v>
      </c>
      <c r="CE22" s="2">
        <f t="shared" si="10"/>
        <v>14474.03</v>
      </c>
      <c r="CF22" s="2">
        <f t="shared" si="10"/>
        <v>14474.03</v>
      </c>
      <c r="CG22" s="2">
        <f t="shared" si="10"/>
        <v>0</v>
      </c>
      <c r="CH22" s="2">
        <f t="shared" si="10"/>
        <v>14474.03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DG73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EM73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FS73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>
        <v>17</v>
      </c>
      <c r="B24">
        <v>1</v>
      </c>
      <c r="C24">
        <f>ROW(SmtRes!A18)</f>
        <v>18</v>
      </c>
      <c r="D24">
        <f>ROW(EtalonRes!A18)</f>
        <v>18</v>
      </c>
      <c r="E24" t="s">
        <v>13</v>
      </c>
      <c r="F24" t="s">
        <v>14</v>
      </c>
      <c r="G24" t="s">
        <v>15</v>
      </c>
      <c r="H24" t="s">
        <v>16</v>
      </c>
      <c r="I24">
        <f>ROUND(35/100,9)</f>
        <v>0.35</v>
      </c>
      <c r="J24">
        <v>0</v>
      </c>
      <c r="K24">
        <f>ROUND(35/100,9)</f>
        <v>0.35</v>
      </c>
      <c r="O24">
        <f t="shared" ref="O24:O31" si="14">ROUND(CP24,2)</f>
        <v>21012.79</v>
      </c>
      <c r="P24">
        <f t="shared" ref="P24:P31" si="15">ROUND(CQ24*I24,2)</f>
        <v>12399.49</v>
      </c>
      <c r="Q24">
        <f t="shared" ref="Q24:Q31" si="16">ROUND(CR24*I24,2)</f>
        <v>46.81</v>
      </c>
      <c r="R24">
        <f t="shared" ref="R24:R31" si="17">ROUND(CS24*I24,2)</f>
        <v>0</v>
      </c>
      <c r="S24">
        <f t="shared" ref="S24:S31" si="18">ROUND(CT24*I24,2)</f>
        <v>8566.49</v>
      </c>
      <c r="T24">
        <f t="shared" ref="T24:T31" si="19">ROUND(CU24*I24,2)</f>
        <v>0</v>
      </c>
      <c r="U24">
        <f t="shared" ref="U24:U31" si="20">CV24*I24</f>
        <v>28.577499999999993</v>
      </c>
      <c r="V24">
        <f t="shared" ref="V24:V31" si="21">CW24*I24</f>
        <v>0</v>
      </c>
      <c r="W24">
        <f t="shared" ref="W24:W31" si="22">ROUND(CX24*I24,2)</f>
        <v>0</v>
      </c>
      <c r="X24">
        <f t="shared" ref="X24:Y31" si="23">ROUND(CY24,2)</f>
        <v>9080.48</v>
      </c>
      <c r="Y24">
        <f t="shared" si="23"/>
        <v>4625.8999999999996</v>
      </c>
      <c r="AA24">
        <v>35798216</v>
      </c>
      <c r="AB24">
        <f t="shared" ref="AB24:AB31" si="24">ROUND((AC24+AD24+AF24),6)</f>
        <v>6468.5155000000004</v>
      </c>
      <c r="AC24">
        <f t="shared" ref="AC24:AC31" si="25">ROUND((ES24),6)</f>
        <v>5704.85</v>
      </c>
      <c r="AD24">
        <f>ROUND(((((ET24*1.25))-((EU24*1.25)))+AE24),6)</f>
        <v>23.1</v>
      </c>
      <c r="AE24">
        <f>ROUND(((EU24*1.25)),6)</f>
        <v>0</v>
      </c>
      <c r="AF24">
        <f>ROUND(((EV24*1.15)),6)</f>
        <v>740.56550000000004</v>
      </c>
      <c r="AG24">
        <f t="shared" ref="AG24:AG31" si="26">ROUND((AP24),6)</f>
        <v>0</v>
      </c>
      <c r="AH24">
        <f>((EW24*1.15))</f>
        <v>81.649999999999991</v>
      </c>
      <c r="AI24">
        <f>((EX24*1.25))</f>
        <v>0</v>
      </c>
      <c r="AJ24">
        <f t="shared" ref="AJ24:AJ31" si="27">(AS24)</f>
        <v>0</v>
      </c>
      <c r="AK24">
        <v>6367.3</v>
      </c>
      <c r="AL24">
        <v>5704.85</v>
      </c>
      <c r="AM24">
        <v>18.48</v>
      </c>
      <c r="AN24">
        <v>0</v>
      </c>
      <c r="AO24">
        <v>643.97</v>
      </c>
      <c r="AP24">
        <v>0</v>
      </c>
      <c r="AQ24">
        <v>71</v>
      </c>
      <c r="AR24">
        <v>0</v>
      </c>
      <c r="AS24">
        <v>0</v>
      </c>
      <c r="AT24">
        <v>106</v>
      </c>
      <c r="AU24">
        <v>54</v>
      </c>
      <c r="AV24">
        <v>1</v>
      </c>
      <c r="AW24">
        <v>1</v>
      </c>
      <c r="AZ24">
        <v>1</v>
      </c>
      <c r="BA24">
        <v>33.049999999999997</v>
      </c>
      <c r="BB24">
        <v>5.79</v>
      </c>
      <c r="BC24">
        <v>6.21</v>
      </c>
      <c r="BD24" t="s">
        <v>3</v>
      </c>
      <c r="BE24" t="s">
        <v>3</v>
      </c>
      <c r="BF24" t="s">
        <v>3</v>
      </c>
      <c r="BG24" t="s">
        <v>3</v>
      </c>
      <c r="BH24">
        <v>0</v>
      </c>
      <c r="BI24">
        <v>1</v>
      </c>
      <c r="BJ24" t="s">
        <v>17</v>
      </c>
      <c r="BM24">
        <v>10001</v>
      </c>
      <c r="BN24">
        <v>0</v>
      </c>
      <c r="BO24" t="s">
        <v>14</v>
      </c>
      <c r="BP24">
        <v>1</v>
      </c>
      <c r="BQ24">
        <v>2</v>
      </c>
      <c r="BR24">
        <v>0</v>
      </c>
      <c r="BS24">
        <v>33.049999999999997</v>
      </c>
      <c r="BT24">
        <v>1</v>
      </c>
      <c r="BU24">
        <v>1</v>
      </c>
      <c r="BV24">
        <v>1</v>
      </c>
      <c r="BW24">
        <v>1</v>
      </c>
      <c r="BX24">
        <v>1</v>
      </c>
      <c r="BY24" t="s">
        <v>3</v>
      </c>
      <c r="BZ24">
        <v>118</v>
      </c>
      <c r="CA24">
        <v>63</v>
      </c>
      <c r="CB24" t="s">
        <v>3</v>
      </c>
      <c r="CE24">
        <v>0</v>
      </c>
      <c r="CF24">
        <v>0</v>
      </c>
      <c r="CG24">
        <v>0</v>
      </c>
      <c r="CM24">
        <v>0</v>
      </c>
      <c r="CN24" t="s">
        <v>335</v>
      </c>
      <c r="CO24">
        <v>0</v>
      </c>
      <c r="CP24">
        <f t="shared" ref="CP24:CP31" si="28">(P24+Q24+S24)</f>
        <v>21012.79</v>
      </c>
      <c r="CQ24">
        <f t="shared" ref="CQ24:CQ31" si="29">AC24*BC24</f>
        <v>35427.118500000004</v>
      </c>
      <c r="CR24">
        <f t="shared" ref="CR24:CR31" si="30">AD24*BB24</f>
        <v>133.749</v>
      </c>
      <c r="CS24">
        <f t="shared" ref="CS24:CS31" si="31">AE24*BS24</f>
        <v>0</v>
      </c>
      <c r="CT24">
        <f t="shared" ref="CT24:CT31" si="32">AF24*BA24</f>
        <v>24475.689774999999</v>
      </c>
      <c r="CU24">
        <f t="shared" ref="CU24:CX31" si="33">AG24</f>
        <v>0</v>
      </c>
      <c r="CV24">
        <f t="shared" si="33"/>
        <v>81.649999999999991</v>
      </c>
      <c r="CW24">
        <f t="shared" si="33"/>
        <v>0</v>
      </c>
      <c r="CX24">
        <f t="shared" si="33"/>
        <v>0</v>
      </c>
      <c r="CY24">
        <f t="shared" ref="CY24:CY31" si="34">(((S24+R24)*AT24)/100)</f>
        <v>9080.4794000000002</v>
      </c>
      <c r="CZ24">
        <f t="shared" ref="CZ24:CZ31" si="35">(((S24+R24)*AU24)/100)</f>
        <v>4625.9045999999998</v>
      </c>
      <c r="DC24" t="s">
        <v>3</v>
      </c>
      <c r="DD24" t="s">
        <v>3</v>
      </c>
      <c r="DE24" t="s">
        <v>18</v>
      </c>
      <c r="DF24" t="s">
        <v>18</v>
      </c>
      <c r="DG24" t="s">
        <v>19</v>
      </c>
      <c r="DH24" t="s">
        <v>3</v>
      </c>
      <c r="DI24" t="s">
        <v>19</v>
      </c>
      <c r="DJ24" t="s">
        <v>18</v>
      </c>
      <c r="DK24" t="s">
        <v>3</v>
      </c>
      <c r="DL24" t="s">
        <v>3</v>
      </c>
      <c r="DM24" t="s">
        <v>3</v>
      </c>
      <c r="DN24">
        <v>0</v>
      </c>
      <c r="DO24">
        <v>0</v>
      </c>
      <c r="DP24">
        <v>1</v>
      </c>
      <c r="DQ24">
        <v>1</v>
      </c>
      <c r="DU24">
        <v>1005</v>
      </c>
      <c r="DV24" t="s">
        <v>16</v>
      </c>
      <c r="DW24" t="s">
        <v>16</v>
      </c>
      <c r="DX24">
        <v>100</v>
      </c>
      <c r="DZ24" t="s">
        <v>3</v>
      </c>
      <c r="EA24" t="s">
        <v>3</v>
      </c>
      <c r="EB24" t="s">
        <v>3</v>
      </c>
      <c r="EC24" t="s">
        <v>3</v>
      </c>
      <c r="EE24">
        <v>36260426</v>
      </c>
      <c r="EF24">
        <v>2</v>
      </c>
      <c r="EG24" t="s">
        <v>20</v>
      </c>
      <c r="EH24">
        <v>0</v>
      </c>
      <c r="EI24" t="s">
        <v>3</v>
      </c>
      <c r="EJ24">
        <v>1</v>
      </c>
      <c r="EK24">
        <v>10001</v>
      </c>
      <c r="EL24" t="s">
        <v>21</v>
      </c>
      <c r="EM24" t="s">
        <v>22</v>
      </c>
      <c r="EO24" t="s">
        <v>23</v>
      </c>
      <c r="EQ24">
        <v>0</v>
      </c>
      <c r="ER24">
        <v>6367.3</v>
      </c>
      <c r="ES24">
        <v>5704.85</v>
      </c>
      <c r="ET24">
        <v>18.48</v>
      </c>
      <c r="EU24">
        <v>0</v>
      </c>
      <c r="EV24">
        <v>643.97</v>
      </c>
      <c r="EW24">
        <v>71</v>
      </c>
      <c r="EX24">
        <v>0</v>
      </c>
      <c r="EY24">
        <v>0</v>
      </c>
      <c r="FQ24">
        <v>0</v>
      </c>
      <c r="FR24">
        <f t="shared" ref="FR24:FR31" si="36">ROUND(IF(AND(BH24=3,BI24=3),P24,0),2)</f>
        <v>0</v>
      </c>
      <c r="FS24">
        <v>0</v>
      </c>
      <c r="FT24" t="s">
        <v>24</v>
      </c>
      <c r="FU24" t="s">
        <v>25</v>
      </c>
      <c r="FX24">
        <v>106.2</v>
      </c>
      <c r="FY24">
        <v>53.55</v>
      </c>
      <c r="GA24" t="s">
        <v>3</v>
      </c>
      <c r="GD24">
        <v>1</v>
      </c>
      <c r="GF24">
        <v>961553821</v>
      </c>
      <c r="GG24">
        <v>2</v>
      </c>
      <c r="GH24">
        <v>1</v>
      </c>
      <c r="GI24">
        <v>2</v>
      </c>
      <c r="GJ24">
        <v>0</v>
      </c>
      <c r="GK24">
        <v>0</v>
      </c>
      <c r="GL24">
        <f t="shared" ref="GL24:GL31" si="37">ROUND(IF(AND(BH24=3,BI24=3,FS24&lt;&gt;0),P24,0),2)</f>
        <v>0</v>
      </c>
      <c r="GM24">
        <f t="shared" ref="GM24:GM31" si="38">ROUND(O24+X24+Y24,2)+GX24</f>
        <v>34719.17</v>
      </c>
      <c r="GN24">
        <f t="shared" ref="GN24:GN31" si="39">IF(OR(BI24=0,BI24=1),ROUND(O24+X24+Y24,2),0)</f>
        <v>34719.17</v>
      </c>
      <c r="GO24">
        <f t="shared" ref="GO24:GO31" si="40">IF(BI24=2,ROUND(O24+X24+Y24,2),0)</f>
        <v>0</v>
      </c>
      <c r="GP24">
        <f t="shared" ref="GP24:GP31" si="41">IF(BI24=4,ROUND(O24+X24+Y24,2)+GX24,0)</f>
        <v>0</v>
      </c>
      <c r="GR24">
        <v>0</v>
      </c>
      <c r="GS24">
        <v>3</v>
      </c>
      <c r="GT24">
        <v>0</v>
      </c>
      <c r="GU24" t="s">
        <v>3</v>
      </c>
      <c r="GV24">
        <f t="shared" ref="GV24:GV31" si="42">ROUND((GT24),6)</f>
        <v>0</v>
      </c>
      <c r="GW24">
        <v>1</v>
      </c>
      <c r="GX24">
        <f t="shared" ref="GX24:GX31" si="43">ROUND(HC24*I24,2)</f>
        <v>0</v>
      </c>
      <c r="HA24">
        <v>0</v>
      </c>
      <c r="HB24">
        <v>0</v>
      </c>
      <c r="HC24">
        <f t="shared" ref="HC24:HC31" si="44">GV24*GW24</f>
        <v>0</v>
      </c>
      <c r="HE24" t="s">
        <v>3</v>
      </c>
      <c r="HF24" t="s">
        <v>3</v>
      </c>
      <c r="HM24" t="s">
        <v>3</v>
      </c>
      <c r="IK24">
        <v>0</v>
      </c>
    </row>
    <row r="25" spans="1:245">
      <c r="A25">
        <v>17</v>
      </c>
      <c r="B25">
        <v>1</v>
      </c>
      <c r="C25">
        <f>ROW(SmtRes!A30)</f>
        <v>30</v>
      </c>
      <c r="D25">
        <f>ROW(EtalonRes!A28)</f>
        <v>28</v>
      </c>
      <c r="E25" t="s">
        <v>26</v>
      </c>
      <c r="F25" t="s">
        <v>27</v>
      </c>
      <c r="G25" t="s">
        <v>28</v>
      </c>
      <c r="H25" t="s">
        <v>29</v>
      </c>
      <c r="I25">
        <f>ROUND(35/100,9)</f>
        <v>0.35</v>
      </c>
      <c r="J25">
        <v>0</v>
      </c>
      <c r="K25">
        <f>ROUND(35/100,9)</f>
        <v>0.35</v>
      </c>
      <c r="O25">
        <f t="shared" si="14"/>
        <v>4717.83</v>
      </c>
      <c r="P25">
        <f t="shared" si="15"/>
        <v>1454.03</v>
      </c>
      <c r="Q25">
        <f t="shared" si="16"/>
        <v>6.12</v>
      </c>
      <c r="R25">
        <f t="shared" si="17"/>
        <v>2.02</v>
      </c>
      <c r="S25">
        <f t="shared" si="18"/>
        <v>3257.68</v>
      </c>
      <c r="T25">
        <f t="shared" si="19"/>
        <v>0</v>
      </c>
      <c r="U25">
        <f t="shared" si="20"/>
        <v>11.125099999999998</v>
      </c>
      <c r="V25">
        <f t="shared" si="21"/>
        <v>4.3749999999999995E-3</v>
      </c>
      <c r="W25">
        <f t="shared" si="22"/>
        <v>0</v>
      </c>
      <c r="X25">
        <f t="shared" si="23"/>
        <v>3096.72</v>
      </c>
      <c r="Y25">
        <f t="shared" si="23"/>
        <v>1532.06</v>
      </c>
      <c r="AA25">
        <v>35798216</v>
      </c>
      <c r="AB25">
        <f t="shared" si="24"/>
        <v>844.49850000000004</v>
      </c>
      <c r="AC25">
        <f t="shared" si="25"/>
        <v>561.4</v>
      </c>
      <c r="AD25">
        <f>ROUND(((((ET25*1.25))-((EU25*1.25)))+AE25),6)</f>
        <v>1.4750000000000001</v>
      </c>
      <c r="AE25">
        <f>ROUND(((EU25*1.25)),6)</f>
        <v>0.17499999999999999</v>
      </c>
      <c r="AF25">
        <f>ROUND(((EV25*1.15)),6)</f>
        <v>281.62349999999998</v>
      </c>
      <c r="AG25">
        <f t="shared" si="26"/>
        <v>0</v>
      </c>
      <c r="AH25">
        <f>((EW25*1.15))</f>
        <v>31.785999999999998</v>
      </c>
      <c r="AI25">
        <f>((EX25*1.25))</f>
        <v>1.2500000000000001E-2</v>
      </c>
      <c r="AJ25">
        <f t="shared" si="27"/>
        <v>0</v>
      </c>
      <c r="AK25">
        <v>807.47</v>
      </c>
      <c r="AL25">
        <v>561.4</v>
      </c>
      <c r="AM25">
        <v>1.18</v>
      </c>
      <c r="AN25">
        <v>0.14000000000000001</v>
      </c>
      <c r="AO25">
        <v>244.89</v>
      </c>
      <c r="AP25">
        <v>0</v>
      </c>
      <c r="AQ25">
        <v>27.64</v>
      </c>
      <c r="AR25">
        <v>0.01</v>
      </c>
      <c r="AS25">
        <v>0</v>
      </c>
      <c r="AT25">
        <v>95</v>
      </c>
      <c r="AU25">
        <v>47</v>
      </c>
      <c r="AV25">
        <v>1</v>
      </c>
      <c r="AW25">
        <v>1</v>
      </c>
      <c r="AZ25">
        <v>1</v>
      </c>
      <c r="BA25">
        <v>33.049999999999997</v>
      </c>
      <c r="BB25">
        <v>11.86</v>
      </c>
      <c r="BC25">
        <v>7.4</v>
      </c>
      <c r="BD25" t="s">
        <v>3</v>
      </c>
      <c r="BE25" t="s">
        <v>3</v>
      </c>
      <c r="BF25" t="s">
        <v>3</v>
      </c>
      <c r="BG25" t="s">
        <v>3</v>
      </c>
      <c r="BH25">
        <v>0</v>
      </c>
      <c r="BI25">
        <v>1</v>
      </c>
      <c r="BJ25" t="s">
        <v>30</v>
      </c>
      <c r="BM25">
        <v>15001</v>
      </c>
      <c r="BN25">
        <v>0</v>
      </c>
      <c r="BO25" t="s">
        <v>27</v>
      </c>
      <c r="BP25">
        <v>1</v>
      </c>
      <c r="BQ25">
        <v>2</v>
      </c>
      <c r="BR25">
        <v>0</v>
      </c>
      <c r="BS25">
        <v>33.049999999999997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3</v>
      </c>
      <c r="BZ25">
        <v>105</v>
      </c>
      <c r="CA25">
        <v>55</v>
      </c>
      <c r="CB25" t="s">
        <v>3</v>
      </c>
      <c r="CE25">
        <v>0</v>
      </c>
      <c r="CF25">
        <v>0</v>
      </c>
      <c r="CG25">
        <v>0</v>
      </c>
      <c r="CM25">
        <v>0</v>
      </c>
      <c r="CN25" t="s">
        <v>335</v>
      </c>
      <c r="CO25">
        <v>0</v>
      </c>
      <c r="CP25">
        <f t="shared" si="28"/>
        <v>4717.83</v>
      </c>
      <c r="CQ25">
        <f t="shared" si="29"/>
        <v>4154.3599999999997</v>
      </c>
      <c r="CR25">
        <f t="shared" si="30"/>
        <v>17.493500000000001</v>
      </c>
      <c r="CS25">
        <f t="shared" si="31"/>
        <v>5.7837499999999995</v>
      </c>
      <c r="CT25">
        <f t="shared" si="32"/>
        <v>9307.6566749999984</v>
      </c>
      <c r="CU25">
        <f t="shared" si="33"/>
        <v>0</v>
      </c>
      <c r="CV25">
        <f t="shared" si="33"/>
        <v>31.785999999999998</v>
      </c>
      <c r="CW25">
        <f t="shared" si="33"/>
        <v>1.2500000000000001E-2</v>
      </c>
      <c r="CX25">
        <f t="shared" si="33"/>
        <v>0</v>
      </c>
      <c r="CY25">
        <f t="shared" si="34"/>
        <v>3096.7150000000001</v>
      </c>
      <c r="CZ25">
        <f t="shared" si="35"/>
        <v>1532.059</v>
      </c>
      <c r="DC25" t="s">
        <v>3</v>
      </c>
      <c r="DD25" t="s">
        <v>3</v>
      </c>
      <c r="DE25" t="s">
        <v>18</v>
      </c>
      <c r="DF25" t="s">
        <v>18</v>
      </c>
      <c r="DG25" t="s">
        <v>19</v>
      </c>
      <c r="DH25" t="s">
        <v>3</v>
      </c>
      <c r="DI25" t="s">
        <v>19</v>
      </c>
      <c r="DJ25" t="s">
        <v>18</v>
      </c>
      <c r="DK25" t="s">
        <v>3</v>
      </c>
      <c r="DL25" t="s">
        <v>3</v>
      </c>
      <c r="DM25" t="s">
        <v>3</v>
      </c>
      <c r="DN25">
        <v>0</v>
      </c>
      <c r="DO25">
        <v>0</v>
      </c>
      <c r="DP25">
        <v>1</v>
      </c>
      <c r="DQ25">
        <v>1</v>
      </c>
      <c r="DU25">
        <v>1013</v>
      </c>
      <c r="DV25" t="s">
        <v>29</v>
      </c>
      <c r="DW25" t="s">
        <v>29</v>
      </c>
      <c r="DX25">
        <v>1</v>
      </c>
      <c r="DZ25" t="s">
        <v>3</v>
      </c>
      <c r="EA25" t="s">
        <v>3</v>
      </c>
      <c r="EB25" t="s">
        <v>3</v>
      </c>
      <c r="EC25" t="s">
        <v>3</v>
      </c>
      <c r="EE25">
        <v>36260452</v>
      </c>
      <c r="EF25">
        <v>2</v>
      </c>
      <c r="EG25" t="s">
        <v>20</v>
      </c>
      <c r="EH25">
        <v>0</v>
      </c>
      <c r="EI25" t="s">
        <v>3</v>
      </c>
      <c r="EJ25">
        <v>1</v>
      </c>
      <c r="EK25">
        <v>15001</v>
      </c>
      <c r="EL25" t="s">
        <v>31</v>
      </c>
      <c r="EM25" t="s">
        <v>32</v>
      </c>
      <c r="EO25" t="s">
        <v>23</v>
      </c>
      <c r="EQ25">
        <v>0</v>
      </c>
      <c r="ER25">
        <v>807.47</v>
      </c>
      <c r="ES25">
        <v>561.4</v>
      </c>
      <c r="ET25">
        <v>1.18</v>
      </c>
      <c r="EU25">
        <v>0.14000000000000001</v>
      </c>
      <c r="EV25">
        <v>244.89</v>
      </c>
      <c r="EW25">
        <v>27.64</v>
      </c>
      <c r="EX25">
        <v>0.01</v>
      </c>
      <c r="EY25">
        <v>0</v>
      </c>
      <c r="FQ25">
        <v>0</v>
      </c>
      <c r="FR25">
        <f t="shared" si="36"/>
        <v>0</v>
      </c>
      <c r="FS25">
        <v>0</v>
      </c>
      <c r="FT25" t="s">
        <v>24</v>
      </c>
      <c r="FU25" t="s">
        <v>25</v>
      </c>
      <c r="FX25">
        <v>94.5</v>
      </c>
      <c r="FY25">
        <v>46.75</v>
      </c>
      <c r="GA25" t="s">
        <v>3</v>
      </c>
      <c r="GD25">
        <v>1</v>
      </c>
      <c r="GF25">
        <v>501768663</v>
      </c>
      <c r="GG25">
        <v>2</v>
      </c>
      <c r="GH25">
        <v>1</v>
      </c>
      <c r="GI25">
        <v>2</v>
      </c>
      <c r="GJ25">
        <v>0</v>
      </c>
      <c r="GK25">
        <v>0</v>
      </c>
      <c r="GL25">
        <f t="shared" si="37"/>
        <v>0</v>
      </c>
      <c r="GM25">
        <f t="shared" si="38"/>
        <v>9346.61</v>
      </c>
      <c r="GN25">
        <f t="shared" si="39"/>
        <v>9346.61</v>
      </c>
      <c r="GO25">
        <f t="shared" si="40"/>
        <v>0</v>
      </c>
      <c r="GP25">
        <f t="shared" si="41"/>
        <v>0</v>
      </c>
      <c r="GR25">
        <v>0</v>
      </c>
      <c r="GS25">
        <v>3</v>
      </c>
      <c r="GT25">
        <v>0</v>
      </c>
      <c r="GU25" t="s">
        <v>3</v>
      </c>
      <c r="GV25">
        <f t="shared" si="42"/>
        <v>0</v>
      </c>
      <c r="GW25">
        <v>1</v>
      </c>
      <c r="GX25">
        <f t="shared" si="43"/>
        <v>0</v>
      </c>
      <c r="HA25">
        <v>0</v>
      </c>
      <c r="HB25">
        <v>0</v>
      </c>
      <c r="HC25">
        <f t="shared" si="44"/>
        <v>0</v>
      </c>
      <c r="HE25" t="s">
        <v>3</v>
      </c>
      <c r="HF25" t="s">
        <v>3</v>
      </c>
      <c r="HM25" t="s">
        <v>3</v>
      </c>
      <c r="IK25">
        <v>0</v>
      </c>
    </row>
    <row r="26" spans="1:245">
      <c r="A26">
        <v>18</v>
      </c>
      <c r="B26">
        <v>1</v>
      </c>
      <c r="C26">
        <v>27</v>
      </c>
      <c r="E26" t="s">
        <v>33</v>
      </c>
      <c r="F26" t="s">
        <v>34</v>
      </c>
      <c r="G26" t="s">
        <v>35</v>
      </c>
      <c r="H26" t="s">
        <v>36</v>
      </c>
      <c r="I26">
        <f>I25*J26</f>
        <v>35</v>
      </c>
      <c r="J26">
        <v>100</v>
      </c>
      <c r="K26">
        <v>100</v>
      </c>
      <c r="O26">
        <f t="shared" si="14"/>
        <v>1563.8</v>
      </c>
      <c r="P26">
        <f t="shared" si="15"/>
        <v>1563.8</v>
      </c>
      <c r="Q26">
        <f t="shared" si="16"/>
        <v>0</v>
      </c>
      <c r="R26">
        <f t="shared" si="17"/>
        <v>0</v>
      </c>
      <c r="S26">
        <f t="shared" si="18"/>
        <v>0</v>
      </c>
      <c r="T26">
        <f t="shared" si="19"/>
        <v>0</v>
      </c>
      <c r="U26">
        <f t="shared" si="20"/>
        <v>0</v>
      </c>
      <c r="V26">
        <f t="shared" si="21"/>
        <v>0</v>
      </c>
      <c r="W26">
        <f t="shared" si="22"/>
        <v>71.75</v>
      </c>
      <c r="X26">
        <f t="shared" si="23"/>
        <v>0</v>
      </c>
      <c r="Y26">
        <f t="shared" si="23"/>
        <v>0</v>
      </c>
      <c r="AA26">
        <v>35798216</v>
      </c>
      <c r="AB26">
        <f t="shared" si="24"/>
        <v>44.68</v>
      </c>
      <c r="AC26">
        <f t="shared" si="25"/>
        <v>44.68</v>
      </c>
      <c r="AD26">
        <f t="shared" ref="AD26:AD31" si="45">ROUND((((ET26)-(EU26))+AE26),6)</f>
        <v>0</v>
      </c>
      <c r="AE26">
        <f t="shared" ref="AE26:AF31" si="46">ROUND((EU26),6)</f>
        <v>0</v>
      </c>
      <c r="AF26">
        <f t="shared" si="46"/>
        <v>0</v>
      </c>
      <c r="AG26">
        <f t="shared" si="26"/>
        <v>0</v>
      </c>
      <c r="AH26">
        <f t="shared" ref="AH26:AI31" si="47">(EW26)</f>
        <v>0</v>
      </c>
      <c r="AI26">
        <f t="shared" si="47"/>
        <v>0</v>
      </c>
      <c r="AJ26">
        <f t="shared" si="27"/>
        <v>2.0499999999999998</v>
      </c>
      <c r="AK26">
        <v>44.68</v>
      </c>
      <c r="AL26">
        <v>44.68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2.0499999999999998</v>
      </c>
      <c r="AT26">
        <v>95</v>
      </c>
      <c r="AU26">
        <v>47</v>
      </c>
      <c r="AV26">
        <v>1</v>
      </c>
      <c r="AW26">
        <v>1</v>
      </c>
      <c r="AZ26">
        <v>1</v>
      </c>
      <c r="BA26">
        <v>1</v>
      </c>
      <c r="BB26">
        <v>1</v>
      </c>
      <c r="BC26">
        <v>1</v>
      </c>
      <c r="BD26" t="s">
        <v>3</v>
      </c>
      <c r="BE26" t="s">
        <v>3</v>
      </c>
      <c r="BF26" t="s">
        <v>3</v>
      </c>
      <c r="BG26" t="s">
        <v>3</v>
      </c>
      <c r="BH26">
        <v>3</v>
      </c>
      <c r="BI26">
        <v>1</v>
      </c>
      <c r="BJ26" t="s">
        <v>37</v>
      </c>
      <c r="BM26">
        <v>15001</v>
      </c>
      <c r="BN26">
        <v>0</v>
      </c>
      <c r="BO26" t="s">
        <v>3</v>
      </c>
      <c r="BP26">
        <v>0</v>
      </c>
      <c r="BQ26">
        <v>2</v>
      </c>
      <c r="BR26">
        <v>0</v>
      </c>
      <c r="BS26">
        <v>1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3</v>
      </c>
      <c r="BZ26">
        <v>105</v>
      </c>
      <c r="CA26">
        <v>55</v>
      </c>
      <c r="CB26" t="s">
        <v>3</v>
      </c>
      <c r="CE26">
        <v>0</v>
      </c>
      <c r="CF26">
        <v>0</v>
      </c>
      <c r="CG26">
        <v>0</v>
      </c>
      <c r="CM26">
        <v>0</v>
      </c>
      <c r="CN26" t="s">
        <v>3</v>
      </c>
      <c r="CO26">
        <v>0</v>
      </c>
      <c r="CP26">
        <f t="shared" si="28"/>
        <v>1563.8</v>
      </c>
      <c r="CQ26">
        <f t="shared" si="29"/>
        <v>44.68</v>
      </c>
      <c r="CR26">
        <f t="shared" si="30"/>
        <v>0</v>
      </c>
      <c r="CS26">
        <f t="shared" si="31"/>
        <v>0</v>
      </c>
      <c r="CT26">
        <f t="shared" si="32"/>
        <v>0</v>
      </c>
      <c r="CU26">
        <f t="shared" si="33"/>
        <v>0</v>
      </c>
      <c r="CV26">
        <f t="shared" si="33"/>
        <v>0</v>
      </c>
      <c r="CW26">
        <f t="shared" si="33"/>
        <v>0</v>
      </c>
      <c r="CX26">
        <f t="shared" si="33"/>
        <v>2.0499999999999998</v>
      </c>
      <c r="CY26">
        <f t="shared" si="34"/>
        <v>0</v>
      </c>
      <c r="CZ26">
        <f t="shared" si="35"/>
        <v>0</v>
      </c>
      <c r="DC26" t="s">
        <v>3</v>
      </c>
      <c r="DD26" t="s">
        <v>3</v>
      </c>
      <c r="DE26" t="s">
        <v>3</v>
      </c>
      <c r="DF26" t="s">
        <v>3</v>
      </c>
      <c r="DG26" t="s">
        <v>3</v>
      </c>
      <c r="DH26" t="s">
        <v>3</v>
      </c>
      <c r="DI26" t="s">
        <v>3</v>
      </c>
      <c r="DJ26" t="s">
        <v>3</v>
      </c>
      <c r="DK26" t="s">
        <v>3</v>
      </c>
      <c r="DL26" t="s">
        <v>3</v>
      </c>
      <c r="DM26" t="s">
        <v>3</v>
      </c>
      <c r="DN26">
        <v>0</v>
      </c>
      <c r="DO26">
        <v>0</v>
      </c>
      <c r="DP26">
        <v>1</v>
      </c>
      <c r="DQ26">
        <v>1</v>
      </c>
      <c r="DU26">
        <v>1005</v>
      </c>
      <c r="DV26" t="s">
        <v>36</v>
      </c>
      <c r="DW26" t="s">
        <v>36</v>
      </c>
      <c r="DX26">
        <v>1</v>
      </c>
      <c r="DZ26" t="s">
        <v>3</v>
      </c>
      <c r="EA26" t="s">
        <v>3</v>
      </c>
      <c r="EB26" t="s">
        <v>3</v>
      </c>
      <c r="EC26" t="s">
        <v>3</v>
      </c>
      <c r="EE26">
        <v>36260452</v>
      </c>
      <c r="EF26">
        <v>2</v>
      </c>
      <c r="EG26" t="s">
        <v>20</v>
      </c>
      <c r="EH26">
        <v>0</v>
      </c>
      <c r="EI26" t="s">
        <v>3</v>
      </c>
      <c r="EJ26">
        <v>1</v>
      </c>
      <c r="EK26">
        <v>15001</v>
      </c>
      <c r="EL26" t="s">
        <v>31</v>
      </c>
      <c r="EM26" t="s">
        <v>32</v>
      </c>
      <c r="EO26" t="s">
        <v>3</v>
      </c>
      <c r="EQ26">
        <v>0</v>
      </c>
      <c r="ER26">
        <v>44.68</v>
      </c>
      <c r="ES26">
        <v>44.68</v>
      </c>
      <c r="ET26">
        <v>0</v>
      </c>
      <c r="EU26">
        <v>0</v>
      </c>
      <c r="EV26">
        <v>0</v>
      </c>
      <c r="EW26">
        <v>0</v>
      </c>
      <c r="EX26">
        <v>0</v>
      </c>
      <c r="FQ26">
        <v>0</v>
      </c>
      <c r="FR26">
        <f t="shared" si="36"/>
        <v>0</v>
      </c>
      <c r="FS26">
        <v>0</v>
      </c>
      <c r="FT26" t="s">
        <v>24</v>
      </c>
      <c r="FU26" t="s">
        <v>25</v>
      </c>
      <c r="FX26">
        <v>94.5</v>
      </c>
      <c r="FY26">
        <v>46.75</v>
      </c>
      <c r="GA26" t="s">
        <v>3</v>
      </c>
      <c r="GD26">
        <v>1</v>
      </c>
      <c r="GF26">
        <v>2076120530</v>
      </c>
      <c r="GG26">
        <v>2</v>
      </c>
      <c r="GH26">
        <v>1</v>
      </c>
      <c r="GI26">
        <v>-2</v>
      </c>
      <c r="GJ26">
        <v>0</v>
      </c>
      <c r="GK26">
        <v>0</v>
      </c>
      <c r="GL26">
        <f t="shared" si="37"/>
        <v>0</v>
      </c>
      <c r="GM26">
        <f t="shared" si="38"/>
        <v>1563.8</v>
      </c>
      <c r="GN26">
        <f t="shared" si="39"/>
        <v>1563.8</v>
      </c>
      <c r="GO26">
        <f t="shared" si="40"/>
        <v>0</v>
      </c>
      <c r="GP26">
        <f t="shared" si="41"/>
        <v>0</v>
      </c>
      <c r="GR26">
        <v>0</v>
      </c>
      <c r="GS26">
        <v>3</v>
      </c>
      <c r="GT26">
        <v>0</v>
      </c>
      <c r="GU26" t="s">
        <v>3</v>
      </c>
      <c r="GV26">
        <f t="shared" si="42"/>
        <v>0</v>
      </c>
      <c r="GW26">
        <v>1</v>
      </c>
      <c r="GX26">
        <f t="shared" si="43"/>
        <v>0</v>
      </c>
      <c r="HA26">
        <v>0</v>
      </c>
      <c r="HB26">
        <v>0</v>
      </c>
      <c r="HC26">
        <f t="shared" si="44"/>
        <v>0</v>
      </c>
      <c r="HE26" t="s">
        <v>3</v>
      </c>
      <c r="HF26" t="s">
        <v>3</v>
      </c>
      <c r="HM26" t="s">
        <v>3</v>
      </c>
      <c r="IK26">
        <v>0</v>
      </c>
    </row>
    <row r="27" spans="1:245">
      <c r="A27">
        <v>18</v>
      </c>
      <c r="B27">
        <v>1</v>
      </c>
      <c r="C27">
        <v>28</v>
      </c>
      <c r="E27" t="s">
        <v>38</v>
      </c>
      <c r="F27" t="s">
        <v>39</v>
      </c>
      <c r="G27" t="s">
        <v>40</v>
      </c>
      <c r="H27" t="s">
        <v>41</v>
      </c>
      <c r="I27">
        <f>I25*J27</f>
        <v>1.1666669999999999</v>
      </c>
      <c r="J27">
        <v>3.3333342857142858</v>
      </c>
      <c r="K27">
        <v>3.3333330000000001</v>
      </c>
      <c r="O27">
        <f t="shared" si="14"/>
        <v>135.59</v>
      </c>
      <c r="P27">
        <f t="shared" si="15"/>
        <v>135.59</v>
      </c>
      <c r="Q27">
        <f t="shared" si="16"/>
        <v>0</v>
      </c>
      <c r="R27">
        <f t="shared" si="17"/>
        <v>0</v>
      </c>
      <c r="S27">
        <f t="shared" si="18"/>
        <v>0</v>
      </c>
      <c r="T27">
        <f t="shared" si="19"/>
        <v>0</v>
      </c>
      <c r="U27">
        <f t="shared" si="20"/>
        <v>0</v>
      </c>
      <c r="V27">
        <f t="shared" si="21"/>
        <v>0</v>
      </c>
      <c r="W27">
        <f t="shared" si="22"/>
        <v>0.44</v>
      </c>
      <c r="X27">
        <f t="shared" si="23"/>
        <v>0</v>
      </c>
      <c r="Y27">
        <f t="shared" si="23"/>
        <v>0</v>
      </c>
      <c r="AA27">
        <v>35798216</v>
      </c>
      <c r="AB27">
        <f t="shared" si="24"/>
        <v>8.30138</v>
      </c>
      <c r="AC27">
        <f t="shared" si="25"/>
        <v>8.30138</v>
      </c>
      <c r="AD27">
        <f t="shared" si="45"/>
        <v>0</v>
      </c>
      <c r="AE27">
        <f t="shared" si="46"/>
        <v>0</v>
      </c>
      <c r="AF27">
        <f t="shared" si="46"/>
        <v>0</v>
      </c>
      <c r="AG27">
        <f t="shared" si="26"/>
        <v>0</v>
      </c>
      <c r="AH27">
        <f t="shared" si="47"/>
        <v>0</v>
      </c>
      <c r="AI27">
        <f t="shared" si="47"/>
        <v>0</v>
      </c>
      <c r="AJ27">
        <f t="shared" si="27"/>
        <v>0.38016</v>
      </c>
      <c r="AK27">
        <v>8.30138</v>
      </c>
      <c r="AL27">
        <v>8.30138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0.38016</v>
      </c>
      <c r="AT27">
        <v>95</v>
      </c>
      <c r="AU27">
        <v>47</v>
      </c>
      <c r="AV27">
        <v>1</v>
      </c>
      <c r="AW27">
        <v>1</v>
      </c>
      <c r="AZ27">
        <v>1</v>
      </c>
      <c r="BA27">
        <v>1</v>
      </c>
      <c r="BB27">
        <v>1</v>
      </c>
      <c r="BC27">
        <v>14</v>
      </c>
      <c r="BD27" t="s">
        <v>3</v>
      </c>
      <c r="BE27" t="s">
        <v>3</v>
      </c>
      <c r="BF27" t="s">
        <v>3</v>
      </c>
      <c r="BG27" t="s">
        <v>3</v>
      </c>
      <c r="BH27">
        <v>3</v>
      </c>
      <c r="BI27">
        <v>1</v>
      </c>
      <c r="BJ27" t="s">
        <v>42</v>
      </c>
      <c r="BM27">
        <v>15001</v>
      </c>
      <c r="BN27">
        <v>0</v>
      </c>
      <c r="BO27" t="s">
        <v>39</v>
      </c>
      <c r="BP27">
        <v>1</v>
      </c>
      <c r="BQ27">
        <v>2</v>
      </c>
      <c r="BR27">
        <v>0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3</v>
      </c>
      <c r="BZ27">
        <v>105</v>
      </c>
      <c r="CA27">
        <v>55</v>
      </c>
      <c r="CB27" t="s">
        <v>3</v>
      </c>
      <c r="CE27">
        <v>0</v>
      </c>
      <c r="CF27">
        <v>0</v>
      </c>
      <c r="CG27">
        <v>0</v>
      </c>
      <c r="CM27">
        <v>0</v>
      </c>
      <c r="CN27" t="s">
        <v>3</v>
      </c>
      <c r="CO27">
        <v>0</v>
      </c>
      <c r="CP27">
        <f t="shared" si="28"/>
        <v>135.59</v>
      </c>
      <c r="CQ27">
        <f t="shared" si="29"/>
        <v>116.21932</v>
      </c>
      <c r="CR27">
        <f t="shared" si="30"/>
        <v>0</v>
      </c>
      <c r="CS27">
        <f t="shared" si="31"/>
        <v>0</v>
      </c>
      <c r="CT27">
        <f t="shared" si="32"/>
        <v>0</v>
      </c>
      <c r="CU27">
        <f t="shared" si="33"/>
        <v>0</v>
      </c>
      <c r="CV27">
        <f t="shared" si="33"/>
        <v>0</v>
      </c>
      <c r="CW27">
        <f t="shared" si="33"/>
        <v>0</v>
      </c>
      <c r="CX27">
        <f t="shared" si="33"/>
        <v>0.38016</v>
      </c>
      <c r="CY27">
        <f t="shared" si="34"/>
        <v>0</v>
      </c>
      <c r="CZ27">
        <f t="shared" si="35"/>
        <v>0</v>
      </c>
      <c r="DC27" t="s">
        <v>3</v>
      </c>
      <c r="DD27" t="s">
        <v>3</v>
      </c>
      <c r="DE27" t="s">
        <v>3</v>
      </c>
      <c r="DF27" t="s">
        <v>3</v>
      </c>
      <c r="DG27" t="s">
        <v>3</v>
      </c>
      <c r="DH27" t="s">
        <v>3</v>
      </c>
      <c r="DI27" t="s">
        <v>3</v>
      </c>
      <c r="DJ27" t="s">
        <v>3</v>
      </c>
      <c r="DK27" t="s">
        <v>3</v>
      </c>
      <c r="DL27" t="s">
        <v>3</v>
      </c>
      <c r="DM27" t="s">
        <v>3</v>
      </c>
      <c r="DN27">
        <v>0</v>
      </c>
      <c r="DO27">
        <v>0</v>
      </c>
      <c r="DP27">
        <v>1</v>
      </c>
      <c r="DQ27">
        <v>1</v>
      </c>
      <c r="DU27">
        <v>1009</v>
      </c>
      <c r="DV27" t="s">
        <v>41</v>
      </c>
      <c r="DW27" t="s">
        <v>41</v>
      </c>
      <c r="DX27">
        <v>1</v>
      </c>
      <c r="DZ27" t="s">
        <v>3</v>
      </c>
      <c r="EA27" t="s">
        <v>3</v>
      </c>
      <c r="EB27" t="s">
        <v>3</v>
      </c>
      <c r="EC27" t="s">
        <v>3</v>
      </c>
      <c r="EE27">
        <v>36260452</v>
      </c>
      <c r="EF27">
        <v>2</v>
      </c>
      <c r="EG27" t="s">
        <v>20</v>
      </c>
      <c r="EH27">
        <v>0</v>
      </c>
      <c r="EI27" t="s">
        <v>3</v>
      </c>
      <c r="EJ27">
        <v>1</v>
      </c>
      <c r="EK27">
        <v>15001</v>
      </c>
      <c r="EL27" t="s">
        <v>31</v>
      </c>
      <c r="EM27" t="s">
        <v>32</v>
      </c>
      <c r="EO27" t="s">
        <v>3</v>
      </c>
      <c r="EQ27">
        <v>0</v>
      </c>
      <c r="ER27">
        <v>8.30138</v>
      </c>
      <c r="ES27">
        <v>8.30138</v>
      </c>
      <c r="ET27">
        <v>0</v>
      </c>
      <c r="EU27">
        <v>0</v>
      </c>
      <c r="EV27">
        <v>0</v>
      </c>
      <c r="EW27">
        <v>0</v>
      </c>
      <c r="EX27">
        <v>0</v>
      </c>
      <c r="FQ27">
        <v>0</v>
      </c>
      <c r="FR27">
        <f t="shared" si="36"/>
        <v>0</v>
      </c>
      <c r="FS27">
        <v>0</v>
      </c>
      <c r="FT27" t="s">
        <v>24</v>
      </c>
      <c r="FU27" t="s">
        <v>25</v>
      </c>
      <c r="FX27">
        <v>94.5</v>
      </c>
      <c r="FY27">
        <v>46.75</v>
      </c>
      <c r="GA27" t="s">
        <v>3</v>
      </c>
      <c r="GD27">
        <v>1</v>
      </c>
      <c r="GF27">
        <v>1484594400</v>
      </c>
      <c r="GG27">
        <v>2</v>
      </c>
      <c r="GH27">
        <v>1</v>
      </c>
      <c r="GI27">
        <v>2</v>
      </c>
      <c r="GJ27">
        <v>0</v>
      </c>
      <c r="GK27">
        <v>0</v>
      </c>
      <c r="GL27">
        <f t="shared" si="37"/>
        <v>0</v>
      </c>
      <c r="GM27">
        <f t="shared" si="38"/>
        <v>135.59</v>
      </c>
      <c r="GN27">
        <f t="shared" si="39"/>
        <v>135.59</v>
      </c>
      <c r="GO27">
        <f t="shared" si="40"/>
        <v>0</v>
      </c>
      <c r="GP27">
        <f t="shared" si="41"/>
        <v>0</v>
      </c>
      <c r="GR27">
        <v>0</v>
      </c>
      <c r="GS27">
        <v>3</v>
      </c>
      <c r="GT27">
        <v>0</v>
      </c>
      <c r="GU27" t="s">
        <v>3</v>
      </c>
      <c r="GV27">
        <f t="shared" si="42"/>
        <v>0</v>
      </c>
      <c r="GW27">
        <v>1</v>
      </c>
      <c r="GX27">
        <f t="shared" si="43"/>
        <v>0</v>
      </c>
      <c r="HA27">
        <v>0</v>
      </c>
      <c r="HB27">
        <v>0</v>
      </c>
      <c r="HC27">
        <f t="shared" si="44"/>
        <v>0</v>
      </c>
      <c r="HE27" t="s">
        <v>3</v>
      </c>
      <c r="HF27" t="s">
        <v>3</v>
      </c>
      <c r="HM27" t="s">
        <v>3</v>
      </c>
      <c r="IK27">
        <v>0</v>
      </c>
    </row>
    <row r="28" spans="1:245">
      <c r="A28">
        <v>18</v>
      </c>
      <c r="B28">
        <v>1</v>
      </c>
      <c r="C28">
        <v>26</v>
      </c>
      <c r="E28" t="s">
        <v>43</v>
      </c>
      <c r="F28" t="s">
        <v>44</v>
      </c>
      <c r="G28" t="s">
        <v>45</v>
      </c>
      <c r="H28" t="s">
        <v>46</v>
      </c>
      <c r="I28">
        <f>I25*J28</f>
        <v>-0.39550000000000002</v>
      </c>
      <c r="J28">
        <v>-1.1300000000000001</v>
      </c>
      <c r="K28">
        <v>-1.1299999999999999</v>
      </c>
      <c r="O28">
        <f t="shared" si="14"/>
        <v>-1387.52</v>
      </c>
      <c r="P28">
        <f t="shared" si="15"/>
        <v>-1387.52</v>
      </c>
      <c r="Q28">
        <f t="shared" si="16"/>
        <v>0</v>
      </c>
      <c r="R28">
        <f t="shared" si="17"/>
        <v>0</v>
      </c>
      <c r="S28">
        <f t="shared" si="18"/>
        <v>0</v>
      </c>
      <c r="T28">
        <f t="shared" si="19"/>
        <v>0</v>
      </c>
      <c r="U28">
        <f t="shared" si="20"/>
        <v>0</v>
      </c>
      <c r="V28">
        <f t="shared" si="21"/>
        <v>0</v>
      </c>
      <c r="W28">
        <f t="shared" si="22"/>
        <v>0</v>
      </c>
      <c r="X28">
        <f t="shared" si="23"/>
        <v>0</v>
      </c>
      <c r="Y28">
        <f t="shared" si="23"/>
        <v>0</v>
      </c>
      <c r="AA28">
        <v>35798216</v>
      </c>
      <c r="AB28">
        <f t="shared" si="24"/>
        <v>458</v>
      </c>
      <c r="AC28">
        <f t="shared" si="25"/>
        <v>458</v>
      </c>
      <c r="AD28">
        <f t="shared" si="45"/>
        <v>0</v>
      </c>
      <c r="AE28">
        <f t="shared" si="46"/>
        <v>0</v>
      </c>
      <c r="AF28">
        <f t="shared" si="46"/>
        <v>0</v>
      </c>
      <c r="AG28">
        <f t="shared" si="26"/>
        <v>0</v>
      </c>
      <c r="AH28">
        <f t="shared" si="47"/>
        <v>0</v>
      </c>
      <c r="AI28">
        <f t="shared" si="47"/>
        <v>0</v>
      </c>
      <c r="AJ28">
        <f t="shared" si="27"/>
        <v>0</v>
      </c>
      <c r="AK28">
        <v>458</v>
      </c>
      <c r="AL28">
        <v>458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95</v>
      </c>
      <c r="AU28">
        <v>47</v>
      </c>
      <c r="AV28">
        <v>1</v>
      </c>
      <c r="AW28">
        <v>1</v>
      </c>
      <c r="AZ28">
        <v>1</v>
      </c>
      <c r="BA28">
        <v>1</v>
      </c>
      <c r="BB28">
        <v>1</v>
      </c>
      <c r="BC28">
        <v>7.66</v>
      </c>
      <c r="BD28" t="s">
        <v>3</v>
      </c>
      <c r="BE28" t="s">
        <v>3</v>
      </c>
      <c r="BF28" t="s">
        <v>3</v>
      </c>
      <c r="BG28" t="s">
        <v>3</v>
      </c>
      <c r="BH28">
        <v>3</v>
      </c>
      <c r="BI28">
        <v>1</v>
      </c>
      <c r="BJ28" t="s">
        <v>47</v>
      </c>
      <c r="BM28">
        <v>15001</v>
      </c>
      <c r="BN28">
        <v>0</v>
      </c>
      <c r="BO28" t="s">
        <v>44</v>
      </c>
      <c r="BP28">
        <v>1</v>
      </c>
      <c r="BQ28">
        <v>2</v>
      </c>
      <c r="BR28">
        <v>1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105</v>
      </c>
      <c r="CA28">
        <v>55</v>
      </c>
      <c r="CB28" t="s">
        <v>3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si="28"/>
        <v>-1387.52</v>
      </c>
      <c r="CQ28">
        <f t="shared" si="29"/>
        <v>3508.28</v>
      </c>
      <c r="CR28">
        <f t="shared" si="30"/>
        <v>0</v>
      </c>
      <c r="CS28">
        <f t="shared" si="31"/>
        <v>0</v>
      </c>
      <c r="CT28">
        <f t="shared" si="32"/>
        <v>0</v>
      </c>
      <c r="CU28">
        <f t="shared" si="33"/>
        <v>0</v>
      </c>
      <c r="CV28">
        <f t="shared" si="33"/>
        <v>0</v>
      </c>
      <c r="CW28">
        <f t="shared" si="33"/>
        <v>0</v>
      </c>
      <c r="CX28">
        <f t="shared" si="33"/>
        <v>0</v>
      </c>
      <c r="CY28">
        <f t="shared" si="34"/>
        <v>0</v>
      </c>
      <c r="CZ28">
        <f t="shared" si="35"/>
        <v>0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1005</v>
      </c>
      <c r="DV28" t="s">
        <v>46</v>
      </c>
      <c r="DW28" t="s">
        <v>46</v>
      </c>
      <c r="DX28">
        <v>100</v>
      </c>
      <c r="DZ28" t="s">
        <v>3</v>
      </c>
      <c r="EA28" t="s">
        <v>3</v>
      </c>
      <c r="EB28" t="s">
        <v>3</v>
      </c>
      <c r="EC28" t="s">
        <v>3</v>
      </c>
      <c r="EE28">
        <v>36260452</v>
      </c>
      <c r="EF28">
        <v>2</v>
      </c>
      <c r="EG28" t="s">
        <v>20</v>
      </c>
      <c r="EH28">
        <v>0</v>
      </c>
      <c r="EI28" t="s">
        <v>3</v>
      </c>
      <c r="EJ28">
        <v>1</v>
      </c>
      <c r="EK28">
        <v>15001</v>
      </c>
      <c r="EL28" t="s">
        <v>31</v>
      </c>
      <c r="EM28" t="s">
        <v>32</v>
      </c>
      <c r="EO28" t="s">
        <v>3</v>
      </c>
      <c r="EQ28">
        <v>0</v>
      </c>
      <c r="ER28">
        <v>458</v>
      </c>
      <c r="ES28">
        <v>458</v>
      </c>
      <c r="ET28">
        <v>0</v>
      </c>
      <c r="EU28">
        <v>0</v>
      </c>
      <c r="EV28">
        <v>0</v>
      </c>
      <c r="EW28">
        <v>0</v>
      </c>
      <c r="EX28">
        <v>0</v>
      </c>
      <c r="FQ28">
        <v>0</v>
      </c>
      <c r="FR28">
        <f t="shared" si="36"/>
        <v>0</v>
      </c>
      <c r="FS28">
        <v>0</v>
      </c>
      <c r="FT28" t="s">
        <v>24</v>
      </c>
      <c r="FU28" t="s">
        <v>25</v>
      </c>
      <c r="FX28">
        <v>94.5</v>
      </c>
      <c r="FY28">
        <v>46.75</v>
      </c>
      <c r="GA28" t="s">
        <v>3</v>
      </c>
      <c r="GD28">
        <v>1</v>
      </c>
      <c r="GF28">
        <v>-756490368</v>
      </c>
      <c r="GG28">
        <v>2</v>
      </c>
      <c r="GH28">
        <v>1</v>
      </c>
      <c r="GI28">
        <v>2</v>
      </c>
      <c r="GJ28">
        <v>0</v>
      </c>
      <c r="GK28">
        <v>0</v>
      </c>
      <c r="GL28">
        <f t="shared" si="37"/>
        <v>0</v>
      </c>
      <c r="GM28">
        <f t="shared" si="38"/>
        <v>-1387.52</v>
      </c>
      <c r="GN28">
        <f t="shared" si="39"/>
        <v>-1387.52</v>
      </c>
      <c r="GO28">
        <f t="shared" si="40"/>
        <v>0</v>
      </c>
      <c r="GP28">
        <f t="shared" si="41"/>
        <v>0</v>
      </c>
      <c r="GR28">
        <v>0</v>
      </c>
      <c r="GS28">
        <v>3</v>
      </c>
      <c r="GT28">
        <v>0</v>
      </c>
      <c r="GU28" t="s">
        <v>3</v>
      </c>
      <c r="GV28">
        <f t="shared" si="42"/>
        <v>0</v>
      </c>
      <c r="GW28">
        <v>1</v>
      </c>
      <c r="GX28">
        <f t="shared" si="43"/>
        <v>0</v>
      </c>
      <c r="HA28">
        <v>0</v>
      </c>
      <c r="HB28">
        <v>0</v>
      </c>
      <c r="HC28">
        <f t="shared" si="44"/>
        <v>0</v>
      </c>
      <c r="HE28" t="s">
        <v>3</v>
      </c>
      <c r="HF28" t="s">
        <v>3</v>
      </c>
      <c r="HM28" t="s">
        <v>3</v>
      </c>
      <c r="IK28">
        <v>0</v>
      </c>
    </row>
    <row r="29" spans="1:245">
      <c r="A29">
        <v>18</v>
      </c>
      <c r="B29">
        <v>1</v>
      </c>
      <c r="C29">
        <v>24</v>
      </c>
      <c r="E29" t="s">
        <v>48</v>
      </c>
      <c r="F29" t="s">
        <v>49</v>
      </c>
      <c r="G29" t="s">
        <v>50</v>
      </c>
      <c r="H29" t="s">
        <v>51</v>
      </c>
      <c r="I29">
        <f>I25*J29</f>
        <v>-5.2499999999999997E-4</v>
      </c>
      <c r="J29">
        <v>-1.5E-3</v>
      </c>
      <c r="K29">
        <v>-1.5E-3</v>
      </c>
      <c r="O29">
        <f t="shared" si="14"/>
        <v>-52.12</v>
      </c>
      <c r="P29">
        <f t="shared" si="15"/>
        <v>-52.12</v>
      </c>
      <c r="Q29">
        <f t="shared" si="16"/>
        <v>0</v>
      </c>
      <c r="R29">
        <f t="shared" si="17"/>
        <v>0</v>
      </c>
      <c r="S29">
        <f t="shared" si="18"/>
        <v>0</v>
      </c>
      <c r="T29">
        <f t="shared" si="19"/>
        <v>0</v>
      </c>
      <c r="U29">
        <f t="shared" si="20"/>
        <v>0</v>
      </c>
      <c r="V29">
        <f t="shared" si="21"/>
        <v>0</v>
      </c>
      <c r="W29">
        <f t="shared" si="22"/>
        <v>0</v>
      </c>
      <c r="X29">
        <f t="shared" si="23"/>
        <v>0</v>
      </c>
      <c r="Y29">
        <f t="shared" si="23"/>
        <v>0</v>
      </c>
      <c r="AA29">
        <v>35798216</v>
      </c>
      <c r="AB29">
        <f t="shared" si="24"/>
        <v>25990</v>
      </c>
      <c r="AC29">
        <f t="shared" si="25"/>
        <v>25990</v>
      </c>
      <c r="AD29">
        <f t="shared" si="45"/>
        <v>0</v>
      </c>
      <c r="AE29">
        <f t="shared" si="46"/>
        <v>0</v>
      </c>
      <c r="AF29">
        <f t="shared" si="46"/>
        <v>0</v>
      </c>
      <c r="AG29">
        <f t="shared" si="26"/>
        <v>0</v>
      </c>
      <c r="AH29">
        <f t="shared" si="47"/>
        <v>0</v>
      </c>
      <c r="AI29">
        <f t="shared" si="47"/>
        <v>0</v>
      </c>
      <c r="AJ29">
        <f t="shared" si="27"/>
        <v>0</v>
      </c>
      <c r="AK29">
        <v>25990</v>
      </c>
      <c r="AL29">
        <v>25990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95</v>
      </c>
      <c r="AU29">
        <v>47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3.82</v>
      </c>
      <c r="BD29" t="s">
        <v>3</v>
      </c>
      <c r="BE29" t="s">
        <v>3</v>
      </c>
      <c r="BF29" t="s">
        <v>3</v>
      </c>
      <c r="BG29" t="s">
        <v>3</v>
      </c>
      <c r="BH29">
        <v>3</v>
      </c>
      <c r="BI29">
        <v>1</v>
      </c>
      <c r="BJ29" t="s">
        <v>52</v>
      </c>
      <c r="BM29">
        <v>15001</v>
      </c>
      <c r="BN29">
        <v>0</v>
      </c>
      <c r="BO29" t="s">
        <v>49</v>
      </c>
      <c r="BP29">
        <v>1</v>
      </c>
      <c r="BQ29">
        <v>2</v>
      </c>
      <c r="BR29">
        <v>1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105</v>
      </c>
      <c r="CA29">
        <v>55</v>
      </c>
      <c r="CB29" t="s">
        <v>3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28"/>
        <v>-52.12</v>
      </c>
      <c r="CQ29">
        <f t="shared" si="29"/>
        <v>99281.8</v>
      </c>
      <c r="CR29">
        <f t="shared" si="30"/>
        <v>0</v>
      </c>
      <c r="CS29">
        <f t="shared" si="31"/>
        <v>0</v>
      </c>
      <c r="CT29">
        <f t="shared" si="32"/>
        <v>0</v>
      </c>
      <c r="CU29">
        <f t="shared" si="33"/>
        <v>0</v>
      </c>
      <c r="CV29">
        <f t="shared" si="33"/>
        <v>0</v>
      </c>
      <c r="CW29">
        <f t="shared" si="33"/>
        <v>0</v>
      </c>
      <c r="CX29">
        <f t="shared" si="33"/>
        <v>0</v>
      </c>
      <c r="CY29">
        <f t="shared" si="34"/>
        <v>0</v>
      </c>
      <c r="CZ29">
        <f t="shared" si="35"/>
        <v>0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1009</v>
      </c>
      <c r="DV29" t="s">
        <v>51</v>
      </c>
      <c r="DW29" t="s">
        <v>51</v>
      </c>
      <c r="DX29">
        <v>1000</v>
      </c>
      <c r="DZ29" t="s">
        <v>3</v>
      </c>
      <c r="EA29" t="s">
        <v>3</v>
      </c>
      <c r="EB29" t="s">
        <v>3</v>
      </c>
      <c r="EC29" t="s">
        <v>3</v>
      </c>
      <c r="EE29">
        <v>36260452</v>
      </c>
      <c r="EF29">
        <v>2</v>
      </c>
      <c r="EG29" t="s">
        <v>20</v>
      </c>
      <c r="EH29">
        <v>0</v>
      </c>
      <c r="EI29" t="s">
        <v>3</v>
      </c>
      <c r="EJ29">
        <v>1</v>
      </c>
      <c r="EK29">
        <v>15001</v>
      </c>
      <c r="EL29" t="s">
        <v>31</v>
      </c>
      <c r="EM29" t="s">
        <v>32</v>
      </c>
      <c r="EO29" t="s">
        <v>3</v>
      </c>
      <c r="EQ29">
        <v>0</v>
      </c>
      <c r="ER29">
        <v>25990</v>
      </c>
      <c r="ES29">
        <v>25990</v>
      </c>
      <c r="ET29">
        <v>0</v>
      </c>
      <c r="EU29">
        <v>0</v>
      </c>
      <c r="EV29">
        <v>0</v>
      </c>
      <c r="EW29">
        <v>0</v>
      </c>
      <c r="EX29">
        <v>0</v>
      </c>
      <c r="FQ29">
        <v>0</v>
      </c>
      <c r="FR29">
        <f t="shared" si="36"/>
        <v>0</v>
      </c>
      <c r="FS29">
        <v>0</v>
      </c>
      <c r="FT29" t="s">
        <v>24</v>
      </c>
      <c r="FU29" t="s">
        <v>25</v>
      </c>
      <c r="FX29">
        <v>94.5</v>
      </c>
      <c r="FY29">
        <v>46.75</v>
      </c>
      <c r="GA29" t="s">
        <v>3</v>
      </c>
      <c r="GD29">
        <v>1</v>
      </c>
      <c r="GF29">
        <v>1761846597</v>
      </c>
      <c r="GG29">
        <v>2</v>
      </c>
      <c r="GH29">
        <v>1</v>
      </c>
      <c r="GI29">
        <v>2</v>
      </c>
      <c r="GJ29">
        <v>0</v>
      </c>
      <c r="GK29">
        <v>0</v>
      </c>
      <c r="GL29">
        <f t="shared" si="37"/>
        <v>0</v>
      </c>
      <c r="GM29">
        <f t="shared" si="38"/>
        <v>-52.12</v>
      </c>
      <c r="GN29">
        <f t="shared" si="39"/>
        <v>-52.12</v>
      </c>
      <c r="GO29">
        <f t="shared" si="40"/>
        <v>0</v>
      </c>
      <c r="GP29">
        <f t="shared" si="41"/>
        <v>0</v>
      </c>
      <c r="GR29">
        <v>0</v>
      </c>
      <c r="GS29">
        <v>3</v>
      </c>
      <c r="GT29">
        <v>0</v>
      </c>
      <c r="GU29" t="s">
        <v>3</v>
      </c>
      <c r="GV29">
        <f t="shared" si="42"/>
        <v>0</v>
      </c>
      <c r="GW29">
        <v>1</v>
      </c>
      <c r="GX29">
        <f t="shared" si="43"/>
        <v>0</v>
      </c>
      <c r="HA29">
        <v>0</v>
      </c>
      <c r="HB29">
        <v>0</v>
      </c>
      <c r="HC29">
        <f t="shared" si="44"/>
        <v>0</v>
      </c>
      <c r="HE29" t="s">
        <v>3</v>
      </c>
      <c r="HF29" t="s">
        <v>3</v>
      </c>
      <c r="HM29" t="s">
        <v>3</v>
      </c>
      <c r="IK29">
        <v>0</v>
      </c>
    </row>
    <row r="30" spans="1:245">
      <c r="A30">
        <v>17</v>
      </c>
      <c r="B30">
        <v>1</v>
      </c>
      <c r="C30">
        <f>ROW(SmtRes!A32)</f>
        <v>32</v>
      </c>
      <c r="D30">
        <f>ROW(EtalonRes!A30)</f>
        <v>30</v>
      </c>
      <c r="E30" t="s">
        <v>53</v>
      </c>
      <c r="F30" t="s">
        <v>54</v>
      </c>
      <c r="G30" t="s">
        <v>55</v>
      </c>
      <c r="H30" t="s">
        <v>56</v>
      </c>
      <c r="I30">
        <f>ROUND(35/100,9)</f>
        <v>0.35</v>
      </c>
      <c r="J30">
        <v>0</v>
      </c>
      <c r="K30">
        <f>ROUND(35/100,9)</f>
        <v>0.35</v>
      </c>
      <c r="O30">
        <f t="shared" si="14"/>
        <v>932.57</v>
      </c>
      <c r="P30">
        <f t="shared" si="15"/>
        <v>0</v>
      </c>
      <c r="Q30">
        <f t="shared" si="16"/>
        <v>0</v>
      </c>
      <c r="R30">
        <f t="shared" si="17"/>
        <v>0</v>
      </c>
      <c r="S30">
        <f t="shared" si="18"/>
        <v>932.57</v>
      </c>
      <c r="T30">
        <f t="shared" si="19"/>
        <v>0</v>
      </c>
      <c r="U30">
        <f t="shared" si="20"/>
        <v>2.9330000000000003</v>
      </c>
      <c r="V30">
        <f t="shared" si="21"/>
        <v>0</v>
      </c>
      <c r="W30">
        <f t="shared" si="22"/>
        <v>0</v>
      </c>
      <c r="X30">
        <f t="shared" si="23"/>
        <v>885.94</v>
      </c>
      <c r="Y30">
        <f t="shared" si="23"/>
        <v>438.31</v>
      </c>
      <c r="AA30">
        <v>35798216</v>
      </c>
      <c r="AB30">
        <f t="shared" si="24"/>
        <v>80.62</v>
      </c>
      <c r="AC30">
        <f t="shared" si="25"/>
        <v>0</v>
      </c>
      <c r="AD30">
        <f t="shared" si="45"/>
        <v>0</v>
      </c>
      <c r="AE30">
        <f t="shared" si="46"/>
        <v>0</v>
      </c>
      <c r="AF30">
        <f t="shared" si="46"/>
        <v>80.62</v>
      </c>
      <c r="AG30">
        <f t="shared" si="26"/>
        <v>0</v>
      </c>
      <c r="AH30">
        <f t="shared" si="47"/>
        <v>8.3800000000000008</v>
      </c>
      <c r="AI30">
        <f t="shared" si="47"/>
        <v>0</v>
      </c>
      <c r="AJ30">
        <f t="shared" si="27"/>
        <v>0</v>
      </c>
      <c r="AK30">
        <v>80.62</v>
      </c>
      <c r="AL30">
        <v>0</v>
      </c>
      <c r="AM30">
        <v>0</v>
      </c>
      <c r="AN30">
        <v>0</v>
      </c>
      <c r="AO30">
        <v>80.62</v>
      </c>
      <c r="AP30">
        <v>0</v>
      </c>
      <c r="AQ30">
        <v>8.3800000000000008</v>
      </c>
      <c r="AR30">
        <v>0</v>
      </c>
      <c r="AS30">
        <v>0</v>
      </c>
      <c r="AT30">
        <v>95</v>
      </c>
      <c r="AU30">
        <v>47</v>
      </c>
      <c r="AV30">
        <v>1</v>
      </c>
      <c r="AW30">
        <v>1</v>
      </c>
      <c r="AZ30">
        <v>1</v>
      </c>
      <c r="BA30">
        <v>33.049999999999997</v>
      </c>
      <c r="BB30">
        <v>1</v>
      </c>
      <c r="BC30">
        <v>1</v>
      </c>
      <c r="BD30" t="s">
        <v>3</v>
      </c>
      <c r="BE30" t="s">
        <v>3</v>
      </c>
      <c r="BF30" t="s">
        <v>3</v>
      </c>
      <c r="BG30" t="s">
        <v>3</v>
      </c>
      <c r="BH30">
        <v>0</v>
      </c>
      <c r="BI30">
        <v>1</v>
      </c>
      <c r="BJ30" t="s">
        <v>57</v>
      </c>
      <c r="BM30">
        <v>15001</v>
      </c>
      <c r="BN30">
        <v>0</v>
      </c>
      <c r="BO30" t="s">
        <v>54</v>
      </c>
      <c r="BP30">
        <v>1</v>
      </c>
      <c r="BQ30">
        <v>2</v>
      </c>
      <c r="BR30">
        <v>0</v>
      </c>
      <c r="BS30">
        <v>33.049999999999997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105</v>
      </c>
      <c r="CA30">
        <v>55</v>
      </c>
      <c r="CB30" t="s">
        <v>3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28"/>
        <v>932.57</v>
      </c>
      <c r="CQ30">
        <f t="shared" si="29"/>
        <v>0</v>
      </c>
      <c r="CR30">
        <f t="shared" si="30"/>
        <v>0</v>
      </c>
      <c r="CS30">
        <f t="shared" si="31"/>
        <v>0</v>
      </c>
      <c r="CT30">
        <f t="shared" si="32"/>
        <v>2664.491</v>
      </c>
      <c r="CU30">
        <f t="shared" si="33"/>
        <v>0</v>
      </c>
      <c r="CV30">
        <f t="shared" si="33"/>
        <v>8.3800000000000008</v>
      </c>
      <c r="CW30">
        <f t="shared" si="33"/>
        <v>0</v>
      </c>
      <c r="CX30">
        <f t="shared" si="33"/>
        <v>0</v>
      </c>
      <c r="CY30">
        <f t="shared" si="34"/>
        <v>885.94150000000013</v>
      </c>
      <c r="CZ30">
        <f t="shared" si="35"/>
        <v>438.30790000000002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1013</v>
      </c>
      <c r="DV30" t="s">
        <v>56</v>
      </c>
      <c r="DW30" t="s">
        <v>56</v>
      </c>
      <c r="DX30">
        <v>1</v>
      </c>
      <c r="DZ30" t="s">
        <v>3</v>
      </c>
      <c r="EA30" t="s">
        <v>3</v>
      </c>
      <c r="EB30" t="s">
        <v>3</v>
      </c>
      <c r="EC30" t="s">
        <v>3</v>
      </c>
      <c r="EE30">
        <v>36260452</v>
      </c>
      <c r="EF30">
        <v>2</v>
      </c>
      <c r="EG30" t="s">
        <v>20</v>
      </c>
      <c r="EH30">
        <v>0</v>
      </c>
      <c r="EI30" t="s">
        <v>3</v>
      </c>
      <c r="EJ30">
        <v>1</v>
      </c>
      <c r="EK30">
        <v>15001</v>
      </c>
      <c r="EL30" t="s">
        <v>31</v>
      </c>
      <c r="EM30" t="s">
        <v>32</v>
      </c>
      <c r="EO30" t="s">
        <v>3</v>
      </c>
      <c r="EQ30">
        <v>0</v>
      </c>
      <c r="ER30">
        <v>80.62</v>
      </c>
      <c r="ES30">
        <v>0</v>
      </c>
      <c r="ET30">
        <v>0</v>
      </c>
      <c r="EU30">
        <v>0</v>
      </c>
      <c r="EV30">
        <v>80.62</v>
      </c>
      <c r="EW30">
        <v>8.3800000000000008</v>
      </c>
      <c r="EX30">
        <v>0</v>
      </c>
      <c r="EY30">
        <v>0</v>
      </c>
      <c r="FQ30">
        <v>0</v>
      </c>
      <c r="FR30">
        <f t="shared" si="36"/>
        <v>0</v>
      </c>
      <c r="FS30">
        <v>0</v>
      </c>
      <c r="FT30" t="s">
        <v>24</v>
      </c>
      <c r="FU30" t="s">
        <v>25</v>
      </c>
      <c r="FX30">
        <v>94.5</v>
      </c>
      <c r="FY30">
        <v>46.75</v>
      </c>
      <c r="GA30" t="s">
        <v>3</v>
      </c>
      <c r="GD30">
        <v>1</v>
      </c>
      <c r="GF30">
        <v>-928757603</v>
      </c>
      <c r="GG30">
        <v>2</v>
      </c>
      <c r="GH30">
        <v>1</v>
      </c>
      <c r="GI30">
        <v>2</v>
      </c>
      <c r="GJ30">
        <v>0</v>
      </c>
      <c r="GK30">
        <v>0</v>
      </c>
      <c r="GL30">
        <f t="shared" si="37"/>
        <v>0</v>
      </c>
      <c r="GM30">
        <f t="shared" si="38"/>
        <v>2256.8200000000002</v>
      </c>
      <c r="GN30">
        <f t="shared" si="39"/>
        <v>2256.8200000000002</v>
      </c>
      <c r="GO30">
        <f t="shared" si="40"/>
        <v>0</v>
      </c>
      <c r="GP30">
        <f t="shared" si="41"/>
        <v>0</v>
      </c>
      <c r="GR30">
        <v>0</v>
      </c>
      <c r="GS30">
        <v>3</v>
      </c>
      <c r="GT30">
        <v>0</v>
      </c>
      <c r="GU30" t="s">
        <v>3</v>
      </c>
      <c r="GV30">
        <f t="shared" si="42"/>
        <v>0</v>
      </c>
      <c r="GW30">
        <v>1</v>
      </c>
      <c r="GX30">
        <f t="shared" si="43"/>
        <v>0</v>
      </c>
      <c r="HA30">
        <v>0</v>
      </c>
      <c r="HB30">
        <v>0</v>
      </c>
      <c r="HC30">
        <f t="shared" si="44"/>
        <v>0</v>
      </c>
      <c r="HE30" t="s">
        <v>3</v>
      </c>
      <c r="HF30" t="s">
        <v>3</v>
      </c>
      <c r="HM30" t="s">
        <v>3</v>
      </c>
      <c r="IK30">
        <v>0</v>
      </c>
    </row>
    <row r="31" spans="1:245">
      <c r="A31">
        <v>18</v>
      </c>
      <c r="B31">
        <v>1</v>
      </c>
      <c r="C31">
        <v>32</v>
      </c>
      <c r="E31" t="s">
        <v>58</v>
      </c>
      <c r="F31" t="s">
        <v>59</v>
      </c>
      <c r="G31" t="s">
        <v>60</v>
      </c>
      <c r="H31" t="s">
        <v>51</v>
      </c>
      <c r="I31">
        <f>I30*J31</f>
        <v>5.5999999999999999E-3</v>
      </c>
      <c r="J31">
        <v>1.6E-2</v>
      </c>
      <c r="K31">
        <v>1.6E-2</v>
      </c>
      <c r="O31">
        <f t="shared" si="14"/>
        <v>360.76</v>
      </c>
      <c r="P31">
        <f t="shared" si="15"/>
        <v>360.76</v>
      </c>
      <c r="Q31">
        <f t="shared" si="16"/>
        <v>0</v>
      </c>
      <c r="R31">
        <f t="shared" si="17"/>
        <v>0</v>
      </c>
      <c r="S31">
        <f t="shared" si="18"/>
        <v>0</v>
      </c>
      <c r="T31">
        <f t="shared" si="19"/>
        <v>0</v>
      </c>
      <c r="U31">
        <f t="shared" si="20"/>
        <v>0</v>
      </c>
      <c r="V31">
        <f t="shared" si="21"/>
        <v>0</v>
      </c>
      <c r="W31">
        <f t="shared" si="22"/>
        <v>1.83</v>
      </c>
      <c r="X31">
        <f t="shared" si="23"/>
        <v>0</v>
      </c>
      <c r="Y31">
        <f t="shared" si="23"/>
        <v>0</v>
      </c>
      <c r="AA31">
        <v>35798216</v>
      </c>
      <c r="AB31">
        <f t="shared" si="24"/>
        <v>7118.45</v>
      </c>
      <c r="AC31">
        <f t="shared" si="25"/>
        <v>7118.45</v>
      </c>
      <c r="AD31">
        <f t="shared" si="45"/>
        <v>0</v>
      </c>
      <c r="AE31">
        <f t="shared" si="46"/>
        <v>0</v>
      </c>
      <c r="AF31">
        <f t="shared" si="46"/>
        <v>0</v>
      </c>
      <c r="AG31">
        <f t="shared" si="26"/>
        <v>0</v>
      </c>
      <c r="AH31">
        <f t="shared" si="47"/>
        <v>0</v>
      </c>
      <c r="AI31">
        <f t="shared" si="47"/>
        <v>0</v>
      </c>
      <c r="AJ31">
        <f t="shared" si="27"/>
        <v>325.99</v>
      </c>
      <c r="AK31">
        <v>7118.45</v>
      </c>
      <c r="AL31">
        <v>7118.45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325.99</v>
      </c>
      <c r="AT31">
        <v>95</v>
      </c>
      <c r="AU31">
        <v>47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9.0500000000000007</v>
      </c>
      <c r="BD31" t="s">
        <v>3</v>
      </c>
      <c r="BE31" t="s">
        <v>3</v>
      </c>
      <c r="BF31" t="s">
        <v>3</v>
      </c>
      <c r="BG31" t="s">
        <v>3</v>
      </c>
      <c r="BH31">
        <v>3</v>
      </c>
      <c r="BI31">
        <v>1</v>
      </c>
      <c r="BJ31" t="s">
        <v>61</v>
      </c>
      <c r="BM31">
        <v>15001</v>
      </c>
      <c r="BN31">
        <v>0</v>
      </c>
      <c r="BO31" t="s">
        <v>59</v>
      </c>
      <c r="BP31">
        <v>1</v>
      </c>
      <c r="BQ31">
        <v>2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105</v>
      </c>
      <c r="CA31">
        <v>55</v>
      </c>
      <c r="CB31" t="s">
        <v>3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28"/>
        <v>360.76</v>
      </c>
      <c r="CQ31">
        <f t="shared" si="29"/>
        <v>64421.972500000003</v>
      </c>
      <c r="CR31">
        <f t="shared" si="30"/>
        <v>0</v>
      </c>
      <c r="CS31">
        <f t="shared" si="31"/>
        <v>0</v>
      </c>
      <c r="CT31">
        <f t="shared" si="32"/>
        <v>0</v>
      </c>
      <c r="CU31">
        <f t="shared" si="33"/>
        <v>0</v>
      </c>
      <c r="CV31">
        <f t="shared" si="33"/>
        <v>0</v>
      </c>
      <c r="CW31">
        <f t="shared" si="33"/>
        <v>0</v>
      </c>
      <c r="CX31">
        <f t="shared" si="33"/>
        <v>325.99</v>
      </c>
      <c r="CY31">
        <f t="shared" si="34"/>
        <v>0</v>
      </c>
      <c r="CZ31">
        <f t="shared" si="35"/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1009</v>
      </c>
      <c r="DV31" t="s">
        <v>51</v>
      </c>
      <c r="DW31" t="s">
        <v>51</v>
      </c>
      <c r="DX31">
        <v>1000</v>
      </c>
      <c r="DZ31" t="s">
        <v>3</v>
      </c>
      <c r="EA31" t="s">
        <v>3</v>
      </c>
      <c r="EB31" t="s">
        <v>3</v>
      </c>
      <c r="EC31" t="s">
        <v>3</v>
      </c>
      <c r="EE31">
        <v>36260452</v>
      </c>
      <c r="EF31">
        <v>2</v>
      </c>
      <c r="EG31" t="s">
        <v>20</v>
      </c>
      <c r="EH31">
        <v>0</v>
      </c>
      <c r="EI31" t="s">
        <v>3</v>
      </c>
      <c r="EJ31">
        <v>1</v>
      </c>
      <c r="EK31">
        <v>15001</v>
      </c>
      <c r="EL31" t="s">
        <v>31</v>
      </c>
      <c r="EM31" t="s">
        <v>32</v>
      </c>
      <c r="EO31" t="s">
        <v>3</v>
      </c>
      <c r="EQ31">
        <v>0</v>
      </c>
      <c r="ER31">
        <v>7118.45</v>
      </c>
      <c r="ES31">
        <v>7118.45</v>
      </c>
      <c r="ET31">
        <v>0</v>
      </c>
      <c r="EU31">
        <v>0</v>
      </c>
      <c r="EV31">
        <v>0</v>
      </c>
      <c r="EW31">
        <v>0</v>
      </c>
      <c r="EX31">
        <v>0</v>
      </c>
      <c r="FQ31">
        <v>0</v>
      </c>
      <c r="FR31">
        <f t="shared" si="36"/>
        <v>0</v>
      </c>
      <c r="FS31">
        <v>0</v>
      </c>
      <c r="FT31" t="s">
        <v>24</v>
      </c>
      <c r="FU31" t="s">
        <v>25</v>
      </c>
      <c r="FX31">
        <v>94.5</v>
      </c>
      <c r="FY31">
        <v>46.75</v>
      </c>
      <c r="GA31" t="s">
        <v>3</v>
      </c>
      <c r="GD31">
        <v>1</v>
      </c>
      <c r="GF31">
        <v>789319650</v>
      </c>
      <c r="GG31">
        <v>2</v>
      </c>
      <c r="GH31">
        <v>1</v>
      </c>
      <c r="GI31">
        <v>2</v>
      </c>
      <c r="GJ31">
        <v>0</v>
      </c>
      <c r="GK31">
        <v>0</v>
      </c>
      <c r="GL31">
        <f t="shared" si="37"/>
        <v>0</v>
      </c>
      <c r="GM31">
        <f t="shared" si="38"/>
        <v>360.76</v>
      </c>
      <c r="GN31">
        <f t="shared" si="39"/>
        <v>360.76</v>
      </c>
      <c r="GO31">
        <f t="shared" si="40"/>
        <v>0</v>
      </c>
      <c r="GP31">
        <f t="shared" si="41"/>
        <v>0</v>
      </c>
      <c r="GR31">
        <v>0</v>
      </c>
      <c r="GS31">
        <v>3</v>
      </c>
      <c r="GT31">
        <v>0</v>
      </c>
      <c r="GU31" t="s">
        <v>3</v>
      </c>
      <c r="GV31">
        <f t="shared" si="42"/>
        <v>0</v>
      </c>
      <c r="GW31">
        <v>1</v>
      </c>
      <c r="GX31">
        <f t="shared" si="43"/>
        <v>0</v>
      </c>
      <c r="HA31">
        <v>0</v>
      </c>
      <c r="HB31">
        <v>0</v>
      </c>
      <c r="HC31">
        <f t="shared" si="44"/>
        <v>0</v>
      </c>
      <c r="HE31" t="s">
        <v>3</v>
      </c>
      <c r="HF31" t="s">
        <v>3</v>
      </c>
      <c r="HM31" t="s">
        <v>3</v>
      </c>
      <c r="IK31">
        <v>0</v>
      </c>
    </row>
    <row r="33" spans="1:245">
      <c r="A33" s="1">
        <v>4</v>
      </c>
      <c r="B33" s="1">
        <v>1</v>
      </c>
      <c r="C33" s="1"/>
      <c r="D33" s="1">
        <f>ROW(A43)</f>
        <v>43</v>
      </c>
      <c r="E33" s="1"/>
      <c r="F33" s="1" t="s">
        <v>62</v>
      </c>
      <c r="G33" s="1" t="s">
        <v>63</v>
      </c>
      <c r="H33" s="1" t="s">
        <v>3</v>
      </c>
      <c r="I33" s="1">
        <v>0</v>
      </c>
      <c r="J33" s="1"/>
      <c r="K33" s="1">
        <v>0</v>
      </c>
      <c r="L33" s="1"/>
      <c r="M33" s="1" t="s">
        <v>3</v>
      </c>
      <c r="N33" s="1"/>
      <c r="O33" s="1"/>
      <c r="P33" s="1"/>
      <c r="Q33" s="1"/>
      <c r="R33" s="1"/>
      <c r="S33" s="1">
        <v>0</v>
      </c>
      <c r="T33" s="1"/>
      <c r="U33" s="1" t="s">
        <v>3</v>
      </c>
      <c r="V33" s="1">
        <v>0</v>
      </c>
      <c r="W33" s="1"/>
      <c r="X33" s="1"/>
      <c r="Y33" s="1"/>
      <c r="Z33" s="1"/>
      <c r="AA33" s="1"/>
      <c r="AB33" s="1" t="s">
        <v>3</v>
      </c>
      <c r="AC33" s="1" t="s">
        <v>3</v>
      </c>
      <c r="AD33" s="1" t="s">
        <v>3</v>
      </c>
      <c r="AE33" s="1" t="s">
        <v>3</v>
      </c>
      <c r="AF33" s="1" t="s">
        <v>3</v>
      </c>
      <c r="AG33" s="1" t="s">
        <v>3</v>
      </c>
      <c r="AH33" s="1"/>
      <c r="AI33" s="1"/>
      <c r="AJ33" s="1"/>
      <c r="AK33" s="1"/>
      <c r="AL33" s="1"/>
      <c r="AM33" s="1"/>
      <c r="AN33" s="1"/>
      <c r="AO33" s="1"/>
      <c r="AP33" s="1" t="s">
        <v>3</v>
      </c>
      <c r="AQ33" s="1" t="s">
        <v>3</v>
      </c>
      <c r="AR33" s="1" t="s">
        <v>3</v>
      </c>
      <c r="AS33" s="1"/>
      <c r="AT33" s="1"/>
      <c r="AU33" s="1"/>
      <c r="AV33" s="1"/>
      <c r="AW33" s="1"/>
      <c r="AX33" s="1"/>
      <c r="AY33" s="1"/>
      <c r="AZ33" s="1" t="s">
        <v>3</v>
      </c>
      <c r="BA33" s="1"/>
      <c r="BB33" s="1" t="s">
        <v>3</v>
      </c>
      <c r="BC33" s="1" t="s">
        <v>3</v>
      </c>
      <c r="BD33" s="1" t="s">
        <v>3</v>
      </c>
      <c r="BE33" s="1" t="s">
        <v>3</v>
      </c>
      <c r="BF33" s="1" t="s">
        <v>3</v>
      </c>
      <c r="BG33" s="1" t="s">
        <v>3</v>
      </c>
      <c r="BH33" s="1" t="s">
        <v>3</v>
      </c>
      <c r="BI33" s="1" t="s">
        <v>3</v>
      </c>
      <c r="BJ33" s="1" t="s">
        <v>3</v>
      </c>
      <c r="BK33" s="1" t="s">
        <v>3</v>
      </c>
      <c r="BL33" s="1" t="s">
        <v>3</v>
      </c>
      <c r="BM33" s="1" t="s">
        <v>3</v>
      </c>
      <c r="BN33" s="1" t="s">
        <v>3</v>
      </c>
      <c r="BO33" s="1" t="s">
        <v>3</v>
      </c>
      <c r="BP33" s="1" t="s">
        <v>3</v>
      </c>
      <c r="BQ33" s="1"/>
      <c r="BR33" s="1"/>
      <c r="BS33" s="1"/>
      <c r="BT33" s="1"/>
      <c r="BU33" s="1"/>
      <c r="BV33" s="1"/>
      <c r="BW33" s="1"/>
      <c r="BX33" s="1">
        <v>0</v>
      </c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>
        <v>0</v>
      </c>
    </row>
    <row r="35" spans="1:245">
      <c r="A35" s="2">
        <v>52</v>
      </c>
      <c r="B35" s="2">
        <f t="shared" ref="B35:G35" si="48">B43</f>
        <v>1</v>
      </c>
      <c r="C35" s="2">
        <f t="shared" si="48"/>
        <v>4</v>
      </c>
      <c r="D35" s="2">
        <f t="shared" si="48"/>
        <v>33</v>
      </c>
      <c r="E35" s="2">
        <f t="shared" si="48"/>
        <v>0</v>
      </c>
      <c r="F35" s="2" t="str">
        <f t="shared" si="48"/>
        <v>Новый раздел</v>
      </c>
      <c r="G35" s="2" t="str">
        <f t="shared" si="48"/>
        <v>потолок</v>
      </c>
      <c r="H35" s="2"/>
      <c r="I35" s="2"/>
      <c r="J35" s="2"/>
      <c r="K35" s="2"/>
      <c r="L35" s="2"/>
      <c r="M35" s="2"/>
      <c r="N35" s="2"/>
      <c r="O35" s="2">
        <f t="shared" ref="O35:AT35" si="49">O43</f>
        <v>30052.18</v>
      </c>
      <c r="P35" s="2">
        <f t="shared" si="49"/>
        <v>12047.34</v>
      </c>
      <c r="Q35" s="2">
        <f t="shared" si="49"/>
        <v>2310.87</v>
      </c>
      <c r="R35" s="2">
        <f t="shared" si="49"/>
        <v>165.57</v>
      </c>
      <c r="S35" s="2">
        <f t="shared" si="49"/>
        <v>15693.97</v>
      </c>
      <c r="T35" s="2">
        <f t="shared" si="49"/>
        <v>0</v>
      </c>
      <c r="U35" s="2">
        <f t="shared" si="49"/>
        <v>50.203361999999991</v>
      </c>
      <c r="V35" s="2">
        <f t="shared" si="49"/>
        <v>0.37109999999999999</v>
      </c>
      <c r="W35" s="2">
        <f t="shared" si="49"/>
        <v>18.72</v>
      </c>
      <c r="X35" s="2">
        <f t="shared" si="49"/>
        <v>15066.56</v>
      </c>
      <c r="Y35" s="2">
        <f t="shared" si="49"/>
        <v>7789.2</v>
      </c>
      <c r="Z35" s="2">
        <f t="shared" si="49"/>
        <v>0</v>
      </c>
      <c r="AA35" s="2">
        <f t="shared" si="49"/>
        <v>0</v>
      </c>
      <c r="AB35" s="2">
        <f t="shared" si="49"/>
        <v>30052.18</v>
      </c>
      <c r="AC35" s="2">
        <f t="shared" si="49"/>
        <v>12047.34</v>
      </c>
      <c r="AD35" s="2">
        <f t="shared" si="49"/>
        <v>2310.87</v>
      </c>
      <c r="AE35" s="2">
        <f t="shared" si="49"/>
        <v>165.57</v>
      </c>
      <c r="AF35" s="2">
        <f t="shared" si="49"/>
        <v>15693.97</v>
      </c>
      <c r="AG35" s="2">
        <f t="shared" si="49"/>
        <v>0</v>
      </c>
      <c r="AH35" s="2">
        <f t="shared" si="49"/>
        <v>50.203361999999991</v>
      </c>
      <c r="AI35" s="2">
        <f t="shared" si="49"/>
        <v>0.37109999999999999</v>
      </c>
      <c r="AJ35" s="2">
        <f t="shared" si="49"/>
        <v>18.72</v>
      </c>
      <c r="AK35" s="2">
        <f t="shared" si="49"/>
        <v>15066.56</v>
      </c>
      <c r="AL35" s="2">
        <f t="shared" si="49"/>
        <v>7789.2</v>
      </c>
      <c r="AM35" s="2">
        <f t="shared" si="49"/>
        <v>0</v>
      </c>
      <c r="AN35" s="2">
        <f t="shared" si="49"/>
        <v>0</v>
      </c>
      <c r="AO35" s="2">
        <f t="shared" si="49"/>
        <v>0</v>
      </c>
      <c r="AP35" s="2">
        <f t="shared" si="49"/>
        <v>0</v>
      </c>
      <c r="AQ35" s="2">
        <f t="shared" si="49"/>
        <v>0</v>
      </c>
      <c r="AR35" s="2">
        <f t="shared" si="49"/>
        <v>52907.94</v>
      </c>
      <c r="AS35" s="2">
        <f t="shared" si="49"/>
        <v>45606.78</v>
      </c>
      <c r="AT35" s="2">
        <f t="shared" si="49"/>
        <v>7301.16</v>
      </c>
      <c r="AU35" s="2">
        <f t="shared" ref="AU35:BZ35" si="50">AU43</f>
        <v>0</v>
      </c>
      <c r="AV35" s="2">
        <f t="shared" si="50"/>
        <v>12047.34</v>
      </c>
      <c r="AW35" s="2">
        <f t="shared" si="50"/>
        <v>12047.34</v>
      </c>
      <c r="AX35" s="2">
        <f t="shared" si="50"/>
        <v>0</v>
      </c>
      <c r="AY35" s="2">
        <f t="shared" si="50"/>
        <v>12047.34</v>
      </c>
      <c r="AZ35" s="2">
        <f t="shared" si="50"/>
        <v>0</v>
      </c>
      <c r="BA35" s="2">
        <f t="shared" si="50"/>
        <v>0</v>
      </c>
      <c r="BB35" s="2">
        <f t="shared" si="50"/>
        <v>0</v>
      </c>
      <c r="BC35" s="2">
        <f t="shared" si="50"/>
        <v>0</v>
      </c>
      <c r="BD35" s="2">
        <f t="shared" si="50"/>
        <v>82.7</v>
      </c>
      <c r="BE35" s="2">
        <f t="shared" si="50"/>
        <v>0</v>
      </c>
      <c r="BF35" s="2">
        <f t="shared" si="50"/>
        <v>0</v>
      </c>
      <c r="BG35" s="2">
        <f t="shared" si="50"/>
        <v>0</v>
      </c>
      <c r="BH35" s="2">
        <f t="shared" si="50"/>
        <v>0</v>
      </c>
      <c r="BI35" s="2">
        <f t="shared" si="50"/>
        <v>0</v>
      </c>
      <c r="BJ35" s="2">
        <f t="shared" si="50"/>
        <v>0</v>
      </c>
      <c r="BK35" s="2">
        <f t="shared" si="50"/>
        <v>0</v>
      </c>
      <c r="BL35" s="2">
        <f t="shared" si="50"/>
        <v>0</v>
      </c>
      <c r="BM35" s="2">
        <f t="shared" si="50"/>
        <v>0</v>
      </c>
      <c r="BN35" s="2">
        <f t="shared" si="50"/>
        <v>0</v>
      </c>
      <c r="BO35" s="2">
        <f t="shared" si="50"/>
        <v>0</v>
      </c>
      <c r="BP35" s="2">
        <f t="shared" si="50"/>
        <v>0</v>
      </c>
      <c r="BQ35" s="2">
        <f t="shared" si="50"/>
        <v>0</v>
      </c>
      <c r="BR35" s="2">
        <f t="shared" si="50"/>
        <v>0</v>
      </c>
      <c r="BS35" s="2">
        <f t="shared" si="50"/>
        <v>0</v>
      </c>
      <c r="BT35" s="2">
        <f t="shared" si="50"/>
        <v>0</v>
      </c>
      <c r="BU35" s="2">
        <f t="shared" si="50"/>
        <v>0</v>
      </c>
      <c r="BV35" s="2">
        <f t="shared" si="50"/>
        <v>0</v>
      </c>
      <c r="BW35" s="2">
        <f t="shared" si="50"/>
        <v>0</v>
      </c>
      <c r="BX35" s="2">
        <f t="shared" si="50"/>
        <v>0</v>
      </c>
      <c r="BY35" s="2">
        <f t="shared" si="50"/>
        <v>0</v>
      </c>
      <c r="BZ35" s="2">
        <f t="shared" si="50"/>
        <v>0</v>
      </c>
      <c r="CA35" s="2">
        <f t="shared" ref="CA35:DF35" si="51">CA43</f>
        <v>52907.94</v>
      </c>
      <c r="CB35" s="2">
        <f t="shared" si="51"/>
        <v>45606.78</v>
      </c>
      <c r="CC35" s="2">
        <f t="shared" si="51"/>
        <v>7301.16</v>
      </c>
      <c r="CD35" s="2">
        <f t="shared" si="51"/>
        <v>0</v>
      </c>
      <c r="CE35" s="2">
        <f t="shared" si="51"/>
        <v>12047.34</v>
      </c>
      <c r="CF35" s="2">
        <f t="shared" si="51"/>
        <v>12047.34</v>
      </c>
      <c r="CG35" s="2">
        <f t="shared" si="51"/>
        <v>0</v>
      </c>
      <c r="CH35" s="2">
        <f t="shared" si="51"/>
        <v>12047.34</v>
      </c>
      <c r="CI35" s="2">
        <f t="shared" si="51"/>
        <v>0</v>
      </c>
      <c r="CJ35" s="2">
        <f t="shared" si="51"/>
        <v>0</v>
      </c>
      <c r="CK35" s="2">
        <f t="shared" si="51"/>
        <v>0</v>
      </c>
      <c r="CL35" s="2">
        <f t="shared" si="51"/>
        <v>0</v>
      </c>
      <c r="CM35" s="2">
        <f t="shared" si="51"/>
        <v>82.7</v>
      </c>
      <c r="CN35" s="2">
        <f t="shared" si="51"/>
        <v>0</v>
      </c>
      <c r="CO35" s="2">
        <f t="shared" si="51"/>
        <v>0</v>
      </c>
      <c r="CP35" s="2">
        <f t="shared" si="51"/>
        <v>0</v>
      </c>
      <c r="CQ35" s="2">
        <f t="shared" si="51"/>
        <v>0</v>
      </c>
      <c r="CR35" s="2">
        <f t="shared" si="51"/>
        <v>0</v>
      </c>
      <c r="CS35" s="2">
        <f t="shared" si="51"/>
        <v>0</v>
      </c>
      <c r="CT35" s="2">
        <f t="shared" si="51"/>
        <v>0</v>
      </c>
      <c r="CU35" s="2">
        <f t="shared" si="51"/>
        <v>0</v>
      </c>
      <c r="CV35" s="2">
        <f t="shared" si="51"/>
        <v>0</v>
      </c>
      <c r="CW35" s="2">
        <f t="shared" si="51"/>
        <v>0</v>
      </c>
      <c r="CX35" s="2">
        <f t="shared" si="51"/>
        <v>0</v>
      </c>
      <c r="CY35" s="2">
        <f t="shared" si="51"/>
        <v>0</v>
      </c>
      <c r="CZ35" s="2">
        <f t="shared" si="51"/>
        <v>0</v>
      </c>
      <c r="DA35" s="2">
        <f t="shared" si="51"/>
        <v>0</v>
      </c>
      <c r="DB35" s="2">
        <f t="shared" si="51"/>
        <v>0</v>
      </c>
      <c r="DC35" s="2">
        <f t="shared" si="51"/>
        <v>0</v>
      </c>
      <c r="DD35" s="2">
        <f t="shared" si="51"/>
        <v>0</v>
      </c>
      <c r="DE35" s="2">
        <f t="shared" si="51"/>
        <v>0</v>
      </c>
      <c r="DF35" s="2">
        <f t="shared" si="51"/>
        <v>0</v>
      </c>
      <c r="DG35" s="3">
        <f t="shared" ref="DG35:EL35" si="52">DG43</f>
        <v>0</v>
      </c>
      <c r="DH35" s="3">
        <f t="shared" si="52"/>
        <v>0</v>
      </c>
      <c r="DI35" s="3">
        <f t="shared" si="52"/>
        <v>0</v>
      </c>
      <c r="DJ35" s="3">
        <f t="shared" si="52"/>
        <v>0</v>
      </c>
      <c r="DK35" s="3">
        <f t="shared" si="52"/>
        <v>0</v>
      </c>
      <c r="DL35" s="3">
        <f t="shared" si="52"/>
        <v>0</v>
      </c>
      <c r="DM35" s="3">
        <f t="shared" si="52"/>
        <v>0</v>
      </c>
      <c r="DN35" s="3">
        <f t="shared" si="52"/>
        <v>0</v>
      </c>
      <c r="DO35" s="3">
        <f t="shared" si="52"/>
        <v>0</v>
      </c>
      <c r="DP35" s="3">
        <f t="shared" si="52"/>
        <v>0</v>
      </c>
      <c r="DQ35" s="3">
        <f t="shared" si="52"/>
        <v>0</v>
      </c>
      <c r="DR35" s="3">
        <f t="shared" si="52"/>
        <v>0</v>
      </c>
      <c r="DS35" s="3">
        <f t="shared" si="52"/>
        <v>0</v>
      </c>
      <c r="DT35" s="3">
        <f t="shared" si="52"/>
        <v>0</v>
      </c>
      <c r="DU35" s="3">
        <f t="shared" si="52"/>
        <v>0</v>
      </c>
      <c r="DV35" s="3">
        <f t="shared" si="52"/>
        <v>0</v>
      </c>
      <c r="DW35" s="3">
        <f t="shared" si="52"/>
        <v>0</v>
      </c>
      <c r="DX35" s="3">
        <f t="shared" si="52"/>
        <v>0</v>
      </c>
      <c r="DY35" s="3">
        <f t="shared" si="52"/>
        <v>0</v>
      </c>
      <c r="DZ35" s="3">
        <f t="shared" si="52"/>
        <v>0</v>
      </c>
      <c r="EA35" s="3">
        <f t="shared" si="52"/>
        <v>0</v>
      </c>
      <c r="EB35" s="3">
        <f t="shared" si="52"/>
        <v>0</v>
      </c>
      <c r="EC35" s="3">
        <f t="shared" si="52"/>
        <v>0</v>
      </c>
      <c r="ED35" s="3">
        <f t="shared" si="52"/>
        <v>0</v>
      </c>
      <c r="EE35" s="3">
        <f t="shared" si="52"/>
        <v>0</v>
      </c>
      <c r="EF35" s="3">
        <f t="shared" si="52"/>
        <v>0</v>
      </c>
      <c r="EG35" s="3">
        <f t="shared" si="52"/>
        <v>0</v>
      </c>
      <c r="EH35" s="3">
        <f t="shared" si="52"/>
        <v>0</v>
      </c>
      <c r="EI35" s="3">
        <f t="shared" si="52"/>
        <v>0</v>
      </c>
      <c r="EJ35" s="3">
        <f t="shared" si="52"/>
        <v>0</v>
      </c>
      <c r="EK35" s="3">
        <f t="shared" si="52"/>
        <v>0</v>
      </c>
      <c r="EL35" s="3">
        <f t="shared" si="52"/>
        <v>0</v>
      </c>
      <c r="EM35" s="3">
        <f t="shared" ref="EM35:FR35" si="53">EM43</f>
        <v>0</v>
      </c>
      <c r="EN35" s="3">
        <f t="shared" si="53"/>
        <v>0</v>
      </c>
      <c r="EO35" s="3">
        <f t="shared" si="53"/>
        <v>0</v>
      </c>
      <c r="EP35" s="3">
        <f t="shared" si="53"/>
        <v>0</v>
      </c>
      <c r="EQ35" s="3">
        <f t="shared" si="53"/>
        <v>0</v>
      </c>
      <c r="ER35" s="3">
        <f t="shared" si="53"/>
        <v>0</v>
      </c>
      <c r="ES35" s="3">
        <f t="shared" si="53"/>
        <v>0</v>
      </c>
      <c r="ET35" s="3">
        <f t="shared" si="53"/>
        <v>0</v>
      </c>
      <c r="EU35" s="3">
        <f t="shared" si="53"/>
        <v>0</v>
      </c>
      <c r="EV35" s="3">
        <f t="shared" si="53"/>
        <v>0</v>
      </c>
      <c r="EW35" s="3">
        <f t="shared" si="53"/>
        <v>0</v>
      </c>
      <c r="EX35" s="3">
        <f t="shared" si="53"/>
        <v>0</v>
      </c>
      <c r="EY35" s="3">
        <f t="shared" si="53"/>
        <v>0</v>
      </c>
      <c r="EZ35" s="3">
        <f t="shared" si="53"/>
        <v>0</v>
      </c>
      <c r="FA35" s="3">
        <f t="shared" si="53"/>
        <v>0</v>
      </c>
      <c r="FB35" s="3">
        <f t="shared" si="53"/>
        <v>0</v>
      </c>
      <c r="FC35" s="3">
        <f t="shared" si="53"/>
        <v>0</v>
      </c>
      <c r="FD35" s="3">
        <f t="shared" si="53"/>
        <v>0</v>
      </c>
      <c r="FE35" s="3">
        <f t="shared" si="53"/>
        <v>0</v>
      </c>
      <c r="FF35" s="3">
        <f t="shared" si="53"/>
        <v>0</v>
      </c>
      <c r="FG35" s="3">
        <f t="shared" si="53"/>
        <v>0</v>
      </c>
      <c r="FH35" s="3">
        <f t="shared" si="53"/>
        <v>0</v>
      </c>
      <c r="FI35" s="3">
        <f t="shared" si="53"/>
        <v>0</v>
      </c>
      <c r="FJ35" s="3">
        <f t="shared" si="53"/>
        <v>0</v>
      </c>
      <c r="FK35" s="3">
        <f t="shared" si="53"/>
        <v>0</v>
      </c>
      <c r="FL35" s="3">
        <f t="shared" si="53"/>
        <v>0</v>
      </c>
      <c r="FM35" s="3">
        <f t="shared" si="53"/>
        <v>0</v>
      </c>
      <c r="FN35" s="3">
        <f t="shared" si="53"/>
        <v>0</v>
      </c>
      <c r="FO35" s="3">
        <f t="shared" si="53"/>
        <v>0</v>
      </c>
      <c r="FP35" s="3">
        <f t="shared" si="53"/>
        <v>0</v>
      </c>
      <c r="FQ35" s="3">
        <f t="shared" si="53"/>
        <v>0</v>
      </c>
      <c r="FR35" s="3">
        <f t="shared" si="53"/>
        <v>0</v>
      </c>
      <c r="FS35" s="3">
        <f t="shared" ref="FS35:GX35" si="54">FS43</f>
        <v>0</v>
      </c>
      <c r="FT35" s="3">
        <f t="shared" si="54"/>
        <v>0</v>
      </c>
      <c r="FU35" s="3">
        <f t="shared" si="54"/>
        <v>0</v>
      </c>
      <c r="FV35" s="3">
        <f t="shared" si="54"/>
        <v>0</v>
      </c>
      <c r="FW35" s="3">
        <f t="shared" si="54"/>
        <v>0</v>
      </c>
      <c r="FX35" s="3">
        <f t="shared" si="54"/>
        <v>0</v>
      </c>
      <c r="FY35" s="3">
        <f t="shared" si="54"/>
        <v>0</v>
      </c>
      <c r="FZ35" s="3">
        <f t="shared" si="54"/>
        <v>0</v>
      </c>
      <c r="GA35" s="3">
        <f t="shared" si="54"/>
        <v>0</v>
      </c>
      <c r="GB35" s="3">
        <f t="shared" si="54"/>
        <v>0</v>
      </c>
      <c r="GC35" s="3">
        <f t="shared" si="54"/>
        <v>0</v>
      </c>
      <c r="GD35" s="3">
        <f t="shared" si="54"/>
        <v>0</v>
      </c>
      <c r="GE35" s="3">
        <f t="shared" si="54"/>
        <v>0</v>
      </c>
      <c r="GF35" s="3">
        <f t="shared" si="54"/>
        <v>0</v>
      </c>
      <c r="GG35" s="3">
        <f t="shared" si="54"/>
        <v>0</v>
      </c>
      <c r="GH35" s="3">
        <f t="shared" si="54"/>
        <v>0</v>
      </c>
      <c r="GI35" s="3">
        <f t="shared" si="54"/>
        <v>0</v>
      </c>
      <c r="GJ35" s="3">
        <f t="shared" si="54"/>
        <v>0</v>
      </c>
      <c r="GK35" s="3">
        <f t="shared" si="54"/>
        <v>0</v>
      </c>
      <c r="GL35" s="3">
        <f t="shared" si="54"/>
        <v>0</v>
      </c>
      <c r="GM35" s="3">
        <f t="shared" si="54"/>
        <v>0</v>
      </c>
      <c r="GN35" s="3">
        <f t="shared" si="54"/>
        <v>0</v>
      </c>
      <c r="GO35" s="3">
        <f t="shared" si="54"/>
        <v>0</v>
      </c>
      <c r="GP35" s="3">
        <f t="shared" si="54"/>
        <v>0</v>
      </c>
      <c r="GQ35" s="3">
        <f t="shared" si="54"/>
        <v>0</v>
      </c>
      <c r="GR35" s="3">
        <f t="shared" si="54"/>
        <v>0</v>
      </c>
      <c r="GS35" s="3">
        <f t="shared" si="54"/>
        <v>0</v>
      </c>
      <c r="GT35" s="3">
        <f t="shared" si="54"/>
        <v>0</v>
      </c>
      <c r="GU35" s="3">
        <f t="shared" si="54"/>
        <v>0</v>
      </c>
      <c r="GV35" s="3">
        <f t="shared" si="54"/>
        <v>0</v>
      </c>
      <c r="GW35" s="3">
        <f t="shared" si="54"/>
        <v>0</v>
      </c>
      <c r="GX35" s="3">
        <f t="shared" si="54"/>
        <v>0</v>
      </c>
    </row>
    <row r="37" spans="1:245">
      <c r="A37">
        <v>17</v>
      </c>
      <c r="B37">
        <v>1</v>
      </c>
      <c r="C37">
        <f>ROW(SmtRes!A38)</f>
        <v>38</v>
      </c>
      <c r="D37">
        <f>ROW(EtalonRes!A36)</f>
        <v>36</v>
      </c>
      <c r="E37" t="s">
        <v>64</v>
      </c>
      <c r="F37" t="s">
        <v>65</v>
      </c>
      <c r="G37" t="s">
        <v>66</v>
      </c>
      <c r="H37" t="s">
        <v>67</v>
      </c>
      <c r="I37">
        <f>ROUND(37.8/100,9)</f>
        <v>0.378</v>
      </c>
      <c r="J37">
        <v>0</v>
      </c>
      <c r="K37">
        <f>ROUND(37.8/100,9)</f>
        <v>0.378</v>
      </c>
      <c r="O37">
        <f>ROUND(CP37,2)</f>
        <v>25648.04</v>
      </c>
      <c r="P37">
        <f>ROUND(CQ37*I37,2)</f>
        <v>9607.4500000000007</v>
      </c>
      <c r="Q37">
        <f>ROUND(CR37*I37,2)</f>
        <v>2203.6</v>
      </c>
      <c r="R37">
        <f>ROUND(CS37*I37,2)</f>
        <v>160.22</v>
      </c>
      <c r="S37">
        <f>ROUND(CT37*I37,2)</f>
        <v>13836.99</v>
      </c>
      <c r="T37">
        <f>ROUND(CU37*I37,2)</f>
        <v>0</v>
      </c>
      <c r="U37">
        <f>CV37*I37</f>
        <v>44.53936199999999</v>
      </c>
      <c r="V37">
        <f>CW37*I37</f>
        <v>0.35909999999999997</v>
      </c>
      <c r="W37">
        <f>ROUND(CX37*I37,2)</f>
        <v>0</v>
      </c>
      <c r="X37">
        <f t="shared" ref="X37:Y41" si="55">ROUND(CY37,2)</f>
        <v>13297.35</v>
      </c>
      <c r="Y37">
        <f t="shared" si="55"/>
        <v>6578.69</v>
      </c>
      <c r="AA37">
        <v>35798216</v>
      </c>
      <c r="AB37">
        <f>ROUND((AC37+AD37+AF37),6)</f>
        <v>7000.2254999999996</v>
      </c>
      <c r="AC37">
        <f>ROUND((ES37),6)</f>
        <v>5350.85</v>
      </c>
      <c r="AD37">
        <f>ROUND(((((ET37*1.25))-((EU37*1.25)))+AE37),6)</f>
        <v>541.78750000000002</v>
      </c>
      <c r="AE37">
        <f>ROUND(((EU37*1.25)),6)</f>
        <v>12.824999999999999</v>
      </c>
      <c r="AF37">
        <f>ROUND(((EV37*1.15)),6)</f>
        <v>1107.588</v>
      </c>
      <c r="AG37">
        <f>ROUND((AP37),6)</f>
        <v>0</v>
      </c>
      <c r="AH37">
        <f>((EW37*1.15))</f>
        <v>117.82899999999998</v>
      </c>
      <c r="AI37">
        <f>((EX37*1.25))</f>
        <v>0.95</v>
      </c>
      <c r="AJ37">
        <f>(AS37)</f>
        <v>0</v>
      </c>
      <c r="AK37">
        <v>6747.4</v>
      </c>
      <c r="AL37">
        <v>5350.85</v>
      </c>
      <c r="AM37">
        <v>433.43</v>
      </c>
      <c r="AN37">
        <v>10.26</v>
      </c>
      <c r="AO37">
        <v>963.12</v>
      </c>
      <c r="AP37">
        <v>0</v>
      </c>
      <c r="AQ37">
        <v>102.46</v>
      </c>
      <c r="AR37">
        <v>0.76</v>
      </c>
      <c r="AS37">
        <v>0</v>
      </c>
      <c r="AT37">
        <v>95</v>
      </c>
      <c r="AU37">
        <v>47</v>
      </c>
      <c r="AV37">
        <v>1</v>
      </c>
      <c r="AW37">
        <v>1</v>
      </c>
      <c r="AZ37">
        <v>1</v>
      </c>
      <c r="BA37">
        <v>33.049999999999997</v>
      </c>
      <c r="BB37">
        <v>10.76</v>
      </c>
      <c r="BC37">
        <v>4.75</v>
      </c>
      <c r="BD37" t="s">
        <v>3</v>
      </c>
      <c r="BE37" t="s">
        <v>3</v>
      </c>
      <c r="BF37" t="s">
        <v>3</v>
      </c>
      <c r="BG37" t="s">
        <v>3</v>
      </c>
      <c r="BH37">
        <v>0</v>
      </c>
      <c r="BI37">
        <v>1</v>
      </c>
      <c r="BJ37" t="s">
        <v>68</v>
      </c>
      <c r="BM37">
        <v>15001</v>
      </c>
      <c r="BN37">
        <v>0</v>
      </c>
      <c r="BO37" t="s">
        <v>65</v>
      </c>
      <c r="BP37">
        <v>1</v>
      </c>
      <c r="BQ37">
        <v>2</v>
      </c>
      <c r="BR37">
        <v>0</v>
      </c>
      <c r="BS37">
        <v>33.049999999999997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105</v>
      </c>
      <c r="CA37">
        <v>55</v>
      </c>
      <c r="CB37" t="s">
        <v>3</v>
      </c>
      <c r="CE37">
        <v>0</v>
      </c>
      <c r="CF37">
        <v>0</v>
      </c>
      <c r="CG37">
        <v>0</v>
      </c>
      <c r="CM37">
        <v>0</v>
      </c>
      <c r="CN37" t="s">
        <v>335</v>
      </c>
      <c r="CO37">
        <v>0</v>
      </c>
      <c r="CP37">
        <f>(P37+Q37+S37)</f>
        <v>25648.04</v>
      </c>
      <c r="CQ37">
        <f>AC37*BC37</f>
        <v>25416.537500000002</v>
      </c>
      <c r="CR37">
        <f>AD37*BB37</f>
        <v>5829.6334999999999</v>
      </c>
      <c r="CS37">
        <f>AE37*BS37</f>
        <v>423.86624999999992</v>
      </c>
      <c r="CT37">
        <f>AF37*BA37</f>
        <v>36605.783399999993</v>
      </c>
      <c r="CU37">
        <f t="shared" ref="CU37:CX41" si="56">AG37</f>
        <v>0</v>
      </c>
      <c r="CV37">
        <f t="shared" si="56"/>
        <v>117.82899999999998</v>
      </c>
      <c r="CW37">
        <f t="shared" si="56"/>
        <v>0.95</v>
      </c>
      <c r="CX37">
        <f t="shared" si="56"/>
        <v>0</v>
      </c>
      <c r="CY37">
        <f>(((S37+R37)*AT37)/100)</f>
        <v>13297.3495</v>
      </c>
      <c r="CZ37">
        <f>(((S37+R37)*AU37)/100)</f>
        <v>6578.6886999999997</v>
      </c>
      <c r="DC37" t="s">
        <v>3</v>
      </c>
      <c r="DD37" t="s">
        <v>3</v>
      </c>
      <c r="DE37" t="s">
        <v>18</v>
      </c>
      <c r="DF37" t="s">
        <v>18</v>
      </c>
      <c r="DG37" t="s">
        <v>19</v>
      </c>
      <c r="DH37" t="s">
        <v>3</v>
      </c>
      <c r="DI37" t="s">
        <v>19</v>
      </c>
      <c r="DJ37" t="s">
        <v>18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1013</v>
      </c>
      <c r="DV37" t="s">
        <v>67</v>
      </c>
      <c r="DW37" t="s">
        <v>67</v>
      </c>
      <c r="DX37">
        <v>1</v>
      </c>
      <c r="DZ37" t="s">
        <v>3</v>
      </c>
      <c r="EA37" t="s">
        <v>3</v>
      </c>
      <c r="EB37" t="s">
        <v>3</v>
      </c>
      <c r="EC37" t="s">
        <v>3</v>
      </c>
      <c r="EE37">
        <v>36260452</v>
      </c>
      <c r="EF37">
        <v>2</v>
      </c>
      <c r="EG37" t="s">
        <v>20</v>
      </c>
      <c r="EH37">
        <v>0</v>
      </c>
      <c r="EI37" t="s">
        <v>3</v>
      </c>
      <c r="EJ37">
        <v>1</v>
      </c>
      <c r="EK37">
        <v>15001</v>
      </c>
      <c r="EL37" t="s">
        <v>31</v>
      </c>
      <c r="EM37" t="s">
        <v>32</v>
      </c>
      <c r="EO37" t="s">
        <v>23</v>
      </c>
      <c r="EQ37">
        <v>0</v>
      </c>
      <c r="ER37">
        <v>6747.4</v>
      </c>
      <c r="ES37">
        <v>5350.85</v>
      </c>
      <c r="ET37">
        <v>433.43</v>
      </c>
      <c r="EU37">
        <v>10.26</v>
      </c>
      <c r="EV37">
        <v>963.12</v>
      </c>
      <c r="EW37">
        <v>102.46</v>
      </c>
      <c r="EX37">
        <v>0.76</v>
      </c>
      <c r="EY37">
        <v>0</v>
      </c>
      <c r="FQ37">
        <v>0</v>
      </c>
      <c r="FR37">
        <f>ROUND(IF(AND(BH37=3,BI37=3),P37,0),2)</f>
        <v>0</v>
      </c>
      <c r="FS37">
        <v>0</v>
      </c>
      <c r="FT37" t="s">
        <v>24</v>
      </c>
      <c r="FU37" t="s">
        <v>25</v>
      </c>
      <c r="FX37">
        <v>94.5</v>
      </c>
      <c r="FY37">
        <v>46.75</v>
      </c>
      <c r="GA37" t="s">
        <v>3</v>
      </c>
      <c r="GD37">
        <v>1</v>
      </c>
      <c r="GF37">
        <v>-1218928354</v>
      </c>
      <c r="GG37">
        <v>2</v>
      </c>
      <c r="GH37">
        <v>1</v>
      </c>
      <c r="GI37">
        <v>2</v>
      </c>
      <c r="GJ37">
        <v>0</v>
      </c>
      <c r="GK37">
        <v>0</v>
      </c>
      <c r="GL37">
        <f>ROUND(IF(AND(BH37=3,BI37=3,FS37&lt;&gt;0),P37,0),2)</f>
        <v>0</v>
      </c>
      <c r="GM37">
        <f>ROUND(O37+X37+Y37,2)+GX37</f>
        <v>45524.08</v>
      </c>
      <c r="GN37">
        <f>IF(OR(BI37=0,BI37=1),ROUND(O37+X37+Y37,2),0)</f>
        <v>45524.08</v>
      </c>
      <c r="GO37">
        <f>IF(BI37=2,ROUND(O37+X37+Y37,2),0)</f>
        <v>0</v>
      </c>
      <c r="GP37">
        <f>IF(BI37=4,ROUND(O37+X37+Y37,2)+GX37,0)</f>
        <v>0</v>
      </c>
      <c r="GR37">
        <v>0</v>
      </c>
      <c r="GS37">
        <v>3</v>
      </c>
      <c r="GT37">
        <v>0</v>
      </c>
      <c r="GU37" t="s">
        <v>3</v>
      </c>
      <c r="GV37">
        <f>ROUND((GT37),6)</f>
        <v>0</v>
      </c>
      <c r="GW37">
        <v>1</v>
      </c>
      <c r="GX37">
        <f>ROUND(HC37*I37,2)</f>
        <v>0</v>
      </c>
      <c r="HA37">
        <v>0</v>
      </c>
      <c r="HB37">
        <v>0</v>
      </c>
      <c r="HC37">
        <f>GV37*GW37</f>
        <v>0</v>
      </c>
      <c r="HE37" t="s">
        <v>3</v>
      </c>
      <c r="HF37" t="s">
        <v>3</v>
      </c>
      <c r="HM37" t="s">
        <v>3</v>
      </c>
      <c r="IK37">
        <v>0</v>
      </c>
    </row>
    <row r="38" spans="1:245">
      <c r="A38">
        <v>17</v>
      </c>
      <c r="B38">
        <v>1</v>
      </c>
      <c r="C38">
        <f>ROW(SmtRes!A45)</f>
        <v>45</v>
      </c>
      <c r="D38">
        <f>ROW(EtalonRes!A42)</f>
        <v>42</v>
      </c>
      <c r="E38" t="s">
        <v>69</v>
      </c>
      <c r="F38" t="s">
        <v>70</v>
      </c>
      <c r="G38" t="s">
        <v>71</v>
      </c>
      <c r="H38" t="s">
        <v>72</v>
      </c>
      <c r="I38">
        <f>ROUND(6/100,9)</f>
        <v>0.06</v>
      </c>
      <c r="J38">
        <v>0</v>
      </c>
      <c r="K38">
        <f>ROUND(6/100,9)</f>
        <v>0.06</v>
      </c>
      <c r="O38">
        <f>ROUND(CP38,2)</f>
        <v>1966.59</v>
      </c>
      <c r="P38">
        <f>ROUND(CQ38*I38,2)</f>
        <v>85.04</v>
      </c>
      <c r="Q38">
        <f>ROUND(CR38*I38,2)</f>
        <v>24.57</v>
      </c>
      <c r="R38">
        <f>ROUND(CS38*I38,2)</f>
        <v>5.35</v>
      </c>
      <c r="S38">
        <f>ROUND(CT38*I38,2)</f>
        <v>1856.98</v>
      </c>
      <c r="T38">
        <f>ROUND(CU38*I38,2)</f>
        <v>0</v>
      </c>
      <c r="U38">
        <f>CV38*I38</f>
        <v>5.6639999999999997</v>
      </c>
      <c r="V38">
        <f>CW38*I38</f>
        <v>1.2E-2</v>
      </c>
      <c r="W38">
        <f>ROUND(CX38*I38,2)</f>
        <v>0</v>
      </c>
      <c r="X38">
        <f t="shared" si="55"/>
        <v>1769.21</v>
      </c>
      <c r="Y38">
        <f t="shared" si="55"/>
        <v>1210.51</v>
      </c>
      <c r="AA38">
        <v>35798216</v>
      </c>
      <c r="AB38">
        <f>ROUND((AC38+AD38+AF38),6)</f>
        <v>1101.54</v>
      </c>
      <c r="AC38">
        <f>ROUND((ES38),6)</f>
        <v>120.73</v>
      </c>
      <c r="AD38">
        <f>ROUND((((ET38)-(EU38))+AE38),6)</f>
        <v>44.36</v>
      </c>
      <c r="AE38">
        <f>ROUND((EU38),6)</f>
        <v>2.7</v>
      </c>
      <c r="AF38">
        <f>ROUND((EV38),6)</f>
        <v>936.45</v>
      </c>
      <c r="AG38">
        <f>ROUND((AP38),6)</f>
        <v>0</v>
      </c>
      <c r="AH38">
        <f t="shared" ref="AH38:AI41" si="57">(EW38)</f>
        <v>94.4</v>
      </c>
      <c r="AI38">
        <f t="shared" si="57"/>
        <v>0.2</v>
      </c>
      <c r="AJ38">
        <f>(AS38)</f>
        <v>0</v>
      </c>
      <c r="AK38">
        <v>1101.54</v>
      </c>
      <c r="AL38">
        <v>120.73</v>
      </c>
      <c r="AM38">
        <v>44.36</v>
      </c>
      <c r="AN38">
        <v>2.7</v>
      </c>
      <c r="AO38">
        <v>936.45</v>
      </c>
      <c r="AP38">
        <v>0</v>
      </c>
      <c r="AQ38">
        <v>94.4</v>
      </c>
      <c r="AR38">
        <v>0.2</v>
      </c>
      <c r="AS38">
        <v>0</v>
      </c>
      <c r="AT38">
        <v>95</v>
      </c>
      <c r="AU38">
        <v>65</v>
      </c>
      <c r="AV38">
        <v>1</v>
      </c>
      <c r="AW38">
        <v>1</v>
      </c>
      <c r="AZ38">
        <v>1</v>
      </c>
      <c r="BA38">
        <v>33.049999999999997</v>
      </c>
      <c r="BB38">
        <v>9.23</v>
      </c>
      <c r="BC38">
        <v>11.74</v>
      </c>
      <c r="BD38" t="s">
        <v>3</v>
      </c>
      <c r="BE38" t="s">
        <v>3</v>
      </c>
      <c r="BF38" t="s">
        <v>3</v>
      </c>
      <c r="BG38" t="s">
        <v>3</v>
      </c>
      <c r="BH38">
        <v>0</v>
      </c>
      <c r="BI38">
        <v>2</v>
      </c>
      <c r="BJ38" t="s">
        <v>73</v>
      </c>
      <c r="BM38">
        <v>108001</v>
      </c>
      <c r="BN38">
        <v>0</v>
      </c>
      <c r="BO38" t="s">
        <v>70</v>
      </c>
      <c r="BP38">
        <v>1</v>
      </c>
      <c r="BQ38">
        <v>3</v>
      </c>
      <c r="BR38">
        <v>0</v>
      </c>
      <c r="BS38">
        <v>33.049999999999997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95</v>
      </c>
      <c r="CA38">
        <v>65</v>
      </c>
      <c r="CB38" t="s">
        <v>3</v>
      </c>
      <c r="CE38">
        <v>0</v>
      </c>
      <c r="CF38">
        <v>0</v>
      </c>
      <c r="CG38">
        <v>0</v>
      </c>
      <c r="CM38">
        <v>0</v>
      </c>
      <c r="CN38" t="s">
        <v>3</v>
      </c>
      <c r="CO38">
        <v>0</v>
      </c>
      <c r="CP38">
        <f>(P38+Q38+S38)</f>
        <v>1966.5900000000001</v>
      </c>
      <c r="CQ38">
        <f>AC38*BC38</f>
        <v>1417.3702000000001</v>
      </c>
      <c r="CR38">
        <f>AD38*BB38</f>
        <v>409.44280000000003</v>
      </c>
      <c r="CS38">
        <f>AE38*BS38</f>
        <v>89.234999999999999</v>
      </c>
      <c r="CT38">
        <f>AF38*BA38</f>
        <v>30949.672500000001</v>
      </c>
      <c r="CU38">
        <f t="shared" si="56"/>
        <v>0</v>
      </c>
      <c r="CV38">
        <f t="shared" si="56"/>
        <v>94.4</v>
      </c>
      <c r="CW38">
        <f t="shared" si="56"/>
        <v>0.2</v>
      </c>
      <c r="CX38">
        <f t="shared" si="56"/>
        <v>0</v>
      </c>
      <c r="CY38">
        <f>(((S38+R38)*AT38)/100)</f>
        <v>1769.2135000000001</v>
      </c>
      <c r="CZ38">
        <f>(((S38+R38)*AU38)/100)</f>
        <v>1210.5145</v>
      </c>
      <c r="DC38" t="s">
        <v>3</v>
      </c>
      <c r="DD38" t="s">
        <v>3</v>
      </c>
      <c r="DE38" t="s">
        <v>3</v>
      </c>
      <c r="DF38" t="s">
        <v>3</v>
      </c>
      <c r="DG38" t="s">
        <v>3</v>
      </c>
      <c r="DH38" t="s">
        <v>3</v>
      </c>
      <c r="DI38" t="s">
        <v>3</v>
      </c>
      <c r="DJ38" t="s">
        <v>3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U38">
        <v>1010</v>
      </c>
      <c r="DV38" t="s">
        <v>72</v>
      </c>
      <c r="DW38" t="s">
        <v>72</v>
      </c>
      <c r="DX38">
        <v>100</v>
      </c>
      <c r="DZ38" t="s">
        <v>3</v>
      </c>
      <c r="EA38" t="s">
        <v>3</v>
      </c>
      <c r="EB38" t="s">
        <v>3</v>
      </c>
      <c r="EC38" t="s">
        <v>3</v>
      </c>
      <c r="EE38">
        <v>36260309</v>
      </c>
      <c r="EF38">
        <v>3</v>
      </c>
      <c r="EG38" t="s">
        <v>74</v>
      </c>
      <c r="EH38">
        <v>0</v>
      </c>
      <c r="EI38" t="s">
        <v>3</v>
      </c>
      <c r="EJ38">
        <v>2</v>
      </c>
      <c r="EK38">
        <v>108001</v>
      </c>
      <c r="EL38" t="s">
        <v>75</v>
      </c>
      <c r="EM38" t="s">
        <v>76</v>
      </c>
      <c r="EO38" t="s">
        <v>3</v>
      </c>
      <c r="EQ38">
        <v>0</v>
      </c>
      <c r="ER38">
        <v>1101.54</v>
      </c>
      <c r="ES38">
        <v>120.73</v>
      </c>
      <c r="ET38">
        <v>44.36</v>
      </c>
      <c r="EU38">
        <v>2.7</v>
      </c>
      <c r="EV38">
        <v>936.45</v>
      </c>
      <c r="EW38">
        <v>94.4</v>
      </c>
      <c r="EX38">
        <v>0.2</v>
      </c>
      <c r="EY38">
        <v>0</v>
      </c>
      <c r="FQ38">
        <v>0</v>
      </c>
      <c r="FR38">
        <f>ROUND(IF(AND(BH38=3,BI38=3),P38,0),2)</f>
        <v>0</v>
      </c>
      <c r="FS38">
        <v>0</v>
      </c>
      <c r="FX38">
        <v>95</v>
      </c>
      <c r="FY38">
        <v>65</v>
      </c>
      <c r="GA38" t="s">
        <v>3</v>
      </c>
      <c r="GD38">
        <v>1</v>
      </c>
      <c r="GF38">
        <v>1562201403</v>
      </c>
      <c r="GG38">
        <v>2</v>
      </c>
      <c r="GH38">
        <v>1</v>
      </c>
      <c r="GI38">
        <v>2</v>
      </c>
      <c r="GJ38">
        <v>0</v>
      </c>
      <c r="GK38">
        <v>0</v>
      </c>
      <c r="GL38">
        <f>ROUND(IF(AND(BH38=3,BI38=3,FS38&lt;&gt;0),P38,0),2)</f>
        <v>0</v>
      </c>
      <c r="GM38">
        <f>ROUND(O38+X38+Y38,2)+GX38</f>
        <v>4946.3100000000004</v>
      </c>
      <c r="GN38">
        <f>IF(OR(BI38=0,BI38=1),ROUND(O38+X38+Y38,2),0)</f>
        <v>0</v>
      </c>
      <c r="GO38">
        <f>IF(BI38=2,ROUND(O38+X38+Y38,2),0)</f>
        <v>4946.3100000000004</v>
      </c>
      <c r="GP38">
        <f>IF(BI38=4,ROUND(O38+X38+Y38,2)+GX38,0)</f>
        <v>0</v>
      </c>
      <c r="GR38">
        <v>0</v>
      </c>
      <c r="GS38">
        <v>3</v>
      </c>
      <c r="GT38">
        <v>0</v>
      </c>
      <c r="GU38" t="s">
        <v>3</v>
      </c>
      <c r="GV38">
        <f>ROUND((GT38),6)</f>
        <v>0</v>
      </c>
      <c r="GW38">
        <v>1</v>
      </c>
      <c r="GX38">
        <f>ROUND(HC38*I38,2)</f>
        <v>0</v>
      </c>
      <c r="HA38">
        <v>0</v>
      </c>
      <c r="HB38">
        <v>0</v>
      </c>
      <c r="HC38">
        <f>GV38*GW38</f>
        <v>0</v>
      </c>
      <c r="HE38" t="s">
        <v>3</v>
      </c>
      <c r="HF38" t="s">
        <v>3</v>
      </c>
      <c r="HM38" t="s">
        <v>3</v>
      </c>
      <c r="IK38">
        <v>0</v>
      </c>
    </row>
    <row r="39" spans="1:245">
      <c r="A39">
        <v>18</v>
      </c>
      <c r="B39">
        <v>1</v>
      </c>
      <c r="C39">
        <v>44</v>
      </c>
      <c r="E39" t="s">
        <v>77</v>
      </c>
      <c r="F39" t="s">
        <v>78</v>
      </c>
      <c r="G39" t="s">
        <v>79</v>
      </c>
      <c r="H39" t="s">
        <v>80</v>
      </c>
      <c r="I39">
        <f>I38*J39</f>
        <v>6</v>
      </c>
      <c r="J39">
        <v>100</v>
      </c>
      <c r="K39">
        <v>100</v>
      </c>
      <c r="O39">
        <f>ROUND(CP39,2)</f>
        <v>2354.85</v>
      </c>
      <c r="P39">
        <f>ROUND(CQ39*I39,2)</f>
        <v>2354.85</v>
      </c>
      <c r="Q39">
        <f>ROUND(CR39*I39,2)</f>
        <v>0</v>
      </c>
      <c r="R39">
        <f>ROUND(CS39*I39,2)</f>
        <v>0</v>
      </c>
      <c r="S39">
        <f>ROUND(CT39*I39,2)</f>
        <v>0</v>
      </c>
      <c r="T39">
        <f>ROUND(CU39*I39,2)</f>
        <v>0</v>
      </c>
      <c r="U39">
        <f>CV39*I39</f>
        <v>0</v>
      </c>
      <c r="V39">
        <f>CW39*I39</f>
        <v>0</v>
      </c>
      <c r="W39">
        <f>ROUND(CX39*I39,2)</f>
        <v>18.72</v>
      </c>
      <c r="X39">
        <f t="shared" si="55"/>
        <v>0</v>
      </c>
      <c r="Y39">
        <f t="shared" si="55"/>
        <v>0</v>
      </c>
      <c r="AA39">
        <v>35798216</v>
      </c>
      <c r="AB39">
        <f>ROUND((AC39+AD39+AF39),6)</f>
        <v>162.18</v>
      </c>
      <c r="AC39">
        <f>ROUND((ES39),6)</f>
        <v>162.18</v>
      </c>
      <c r="AD39">
        <f>ROUND((((ET39)-(EU39))+AE39),6)</f>
        <v>0</v>
      </c>
      <c r="AE39">
        <f>ROUND((EU39),6)</f>
        <v>0</v>
      </c>
      <c r="AF39">
        <f>ROUND((EV39),6)</f>
        <v>0</v>
      </c>
      <c r="AG39">
        <f>ROUND((AP39),6)</f>
        <v>0</v>
      </c>
      <c r="AH39">
        <f t="shared" si="57"/>
        <v>0</v>
      </c>
      <c r="AI39">
        <f t="shared" si="57"/>
        <v>0</v>
      </c>
      <c r="AJ39">
        <f>(AS39)</f>
        <v>3.12</v>
      </c>
      <c r="AK39">
        <v>162.18</v>
      </c>
      <c r="AL39">
        <v>162.18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3.12</v>
      </c>
      <c r="AT39">
        <v>95</v>
      </c>
      <c r="AU39">
        <v>65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2.42</v>
      </c>
      <c r="BD39" t="s">
        <v>3</v>
      </c>
      <c r="BE39" t="s">
        <v>3</v>
      </c>
      <c r="BF39" t="s">
        <v>3</v>
      </c>
      <c r="BG39" t="s">
        <v>3</v>
      </c>
      <c r="BH39">
        <v>3</v>
      </c>
      <c r="BI39">
        <v>2</v>
      </c>
      <c r="BJ39" t="s">
        <v>81</v>
      </c>
      <c r="BM39">
        <v>108001</v>
      </c>
      <c r="BN39">
        <v>0</v>
      </c>
      <c r="BO39" t="s">
        <v>78</v>
      </c>
      <c r="BP39">
        <v>1</v>
      </c>
      <c r="BQ39">
        <v>3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95</v>
      </c>
      <c r="CA39">
        <v>65</v>
      </c>
      <c r="CB39" t="s">
        <v>3</v>
      </c>
      <c r="CE39">
        <v>0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>(P39+Q39+S39)</f>
        <v>2354.85</v>
      </c>
      <c r="CQ39">
        <f>AC39*BC39</f>
        <v>392.47559999999999</v>
      </c>
      <c r="CR39">
        <f>AD39*BB39</f>
        <v>0</v>
      </c>
      <c r="CS39">
        <f>AE39*BS39</f>
        <v>0</v>
      </c>
      <c r="CT39">
        <f>AF39*BA39</f>
        <v>0</v>
      </c>
      <c r="CU39">
        <f t="shared" si="56"/>
        <v>0</v>
      </c>
      <c r="CV39">
        <f t="shared" si="56"/>
        <v>0</v>
      </c>
      <c r="CW39">
        <f t="shared" si="56"/>
        <v>0</v>
      </c>
      <c r="CX39">
        <f t="shared" si="56"/>
        <v>3.12</v>
      </c>
      <c r="CY39">
        <f>(((S39+R39)*AT39)/100)</f>
        <v>0</v>
      </c>
      <c r="CZ39">
        <f>(((S39+R39)*AU39)/100)</f>
        <v>0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1010</v>
      </c>
      <c r="DV39" t="s">
        <v>80</v>
      </c>
      <c r="DW39" t="s">
        <v>80</v>
      </c>
      <c r="DX39">
        <v>1</v>
      </c>
      <c r="DZ39" t="s">
        <v>3</v>
      </c>
      <c r="EA39" t="s">
        <v>3</v>
      </c>
      <c r="EB39" t="s">
        <v>3</v>
      </c>
      <c r="EC39" t="s">
        <v>3</v>
      </c>
      <c r="EE39">
        <v>36260309</v>
      </c>
      <c r="EF39">
        <v>3</v>
      </c>
      <c r="EG39" t="s">
        <v>74</v>
      </c>
      <c r="EH39">
        <v>0</v>
      </c>
      <c r="EI39" t="s">
        <v>3</v>
      </c>
      <c r="EJ39">
        <v>2</v>
      </c>
      <c r="EK39">
        <v>108001</v>
      </c>
      <c r="EL39" t="s">
        <v>75</v>
      </c>
      <c r="EM39" t="s">
        <v>76</v>
      </c>
      <c r="EO39" t="s">
        <v>3</v>
      </c>
      <c r="EQ39">
        <v>0</v>
      </c>
      <c r="ER39">
        <v>162.18</v>
      </c>
      <c r="ES39">
        <v>162.18</v>
      </c>
      <c r="ET39">
        <v>0</v>
      </c>
      <c r="EU39">
        <v>0</v>
      </c>
      <c r="EV39">
        <v>0</v>
      </c>
      <c r="EW39">
        <v>0</v>
      </c>
      <c r="EX39">
        <v>0</v>
      </c>
      <c r="FQ39">
        <v>0</v>
      </c>
      <c r="FR39">
        <f>ROUND(IF(AND(BH39=3,BI39=3),P39,0),2)</f>
        <v>0</v>
      </c>
      <c r="FS39">
        <v>0</v>
      </c>
      <c r="FX39">
        <v>95</v>
      </c>
      <c r="FY39">
        <v>65</v>
      </c>
      <c r="GA39" t="s">
        <v>3</v>
      </c>
      <c r="GD39">
        <v>1</v>
      </c>
      <c r="GF39">
        <v>1401979595</v>
      </c>
      <c r="GG39">
        <v>2</v>
      </c>
      <c r="GH39">
        <v>1</v>
      </c>
      <c r="GI39">
        <v>2</v>
      </c>
      <c r="GJ39">
        <v>0</v>
      </c>
      <c r="GK39">
        <v>0</v>
      </c>
      <c r="GL39">
        <f>ROUND(IF(AND(BH39=3,BI39=3,FS39&lt;&gt;0),P39,0),2)</f>
        <v>0</v>
      </c>
      <c r="GM39">
        <f>ROUND(O39+X39+Y39,2)+GX39</f>
        <v>2354.85</v>
      </c>
      <c r="GN39">
        <f>IF(OR(BI39=0,BI39=1),ROUND(O39+X39+Y39,2),0)</f>
        <v>0</v>
      </c>
      <c r="GO39">
        <f>IF(BI39=2,ROUND(O39+X39+Y39,2),0)</f>
        <v>2354.85</v>
      </c>
      <c r="GP39">
        <f>IF(BI39=4,ROUND(O39+X39+Y39,2)+GX39,0)</f>
        <v>0</v>
      </c>
      <c r="GR39">
        <v>0</v>
      </c>
      <c r="GS39">
        <v>3</v>
      </c>
      <c r="GT39">
        <v>0</v>
      </c>
      <c r="GU39" t="s">
        <v>3</v>
      </c>
      <c r="GV39">
        <f>ROUND((GT39),6)</f>
        <v>0</v>
      </c>
      <c r="GW39">
        <v>1</v>
      </c>
      <c r="GX39">
        <f>ROUND(HC39*I39,2)</f>
        <v>0</v>
      </c>
      <c r="HA39">
        <v>0</v>
      </c>
      <c r="HB39">
        <v>0</v>
      </c>
      <c r="HC39">
        <f>GV39*GW39</f>
        <v>0</v>
      </c>
      <c r="HE39" t="s">
        <v>3</v>
      </c>
      <c r="HF39" t="s">
        <v>3</v>
      </c>
      <c r="HM39" t="s">
        <v>3</v>
      </c>
      <c r="IK39">
        <v>0</v>
      </c>
    </row>
    <row r="40" spans="1:245">
      <c r="A40">
        <v>17</v>
      </c>
      <c r="B40">
        <v>1</v>
      </c>
      <c r="E40" t="s">
        <v>13</v>
      </c>
      <c r="F40" t="s">
        <v>82</v>
      </c>
      <c r="G40" t="s">
        <v>83</v>
      </c>
      <c r="H40" t="s">
        <v>84</v>
      </c>
      <c r="I40">
        <v>0.1</v>
      </c>
      <c r="J40">
        <v>0</v>
      </c>
      <c r="K40">
        <v>0.1</v>
      </c>
      <c r="O40">
        <f>ROUND(CP40,2)</f>
        <v>62.02</v>
      </c>
      <c r="P40">
        <f>ROUND(CQ40*I40,2)</f>
        <v>0</v>
      </c>
      <c r="Q40">
        <f>ROUND(CR40*I40,2)</f>
        <v>62.02</v>
      </c>
      <c r="R40">
        <f>ROUND(CS40*I40,2)</f>
        <v>0</v>
      </c>
      <c r="S40">
        <f>ROUND(CT40*I40,2)</f>
        <v>0</v>
      </c>
      <c r="T40">
        <f>ROUND(CU40*I40,2)</f>
        <v>0</v>
      </c>
      <c r="U40">
        <f>CV40*I40</f>
        <v>0</v>
      </c>
      <c r="V40">
        <f>CW40*I40</f>
        <v>0</v>
      </c>
      <c r="W40">
        <f>ROUND(CX40*I40,2)</f>
        <v>0</v>
      </c>
      <c r="X40">
        <f t="shared" si="55"/>
        <v>0</v>
      </c>
      <c r="Y40">
        <f t="shared" si="55"/>
        <v>0</v>
      </c>
      <c r="AA40">
        <v>35798216</v>
      </c>
      <c r="AB40">
        <f>ROUND((AC40+AD40+AF40),6)</f>
        <v>42.98</v>
      </c>
      <c r="AC40">
        <f>ROUND((ES40),6)</f>
        <v>0</v>
      </c>
      <c r="AD40">
        <f>ROUND(((ET40)+ROUND(((EU40)*1.6),2)),6)</f>
        <v>42.98</v>
      </c>
      <c r="AE40">
        <f>ROUND(((EU40)+ROUND(((EU40)*1.6),2)),6)</f>
        <v>0</v>
      </c>
      <c r="AF40">
        <f>ROUND(((EV40)+ROUND(((EV40)*1.6),2)),6)</f>
        <v>0</v>
      </c>
      <c r="AG40">
        <f>ROUND((AP40),6)</f>
        <v>0</v>
      </c>
      <c r="AH40">
        <f t="shared" si="57"/>
        <v>0</v>
      </c>
      <c r="AI40">
        <f t="shared" si="57"/>
        <v>0</v>
      </c>
      <c r="AJ40">
        <f>(AS40)</f>
        <v>0</v>
      </c>
      <c r="AK40">
        <v>42.98</v>
      </c>
      <c r="AL40">
        <v>0</v>
      </c>
      <c r="AM40">
        <v>42.98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1</v>
      </c>
      <c r="AW40">
        <v>1</v>
      </c>
      <c r="AZ40">
        <v>1</v>
      </c>
      <c r="BA40">
        <v>14.43</v>
      </c>
      <c r="BB40">
        <v>14.43</v>
      </c>
      <c r="BC40">
        <v>1</v>
      </c>
      <c r="BD40" t="s">
        <v>3</v>
      </c>
      <c r="BE40" t="s">
        <v>3</v>
      </c>
      <c r="BF40" t="s">
        <v>3</v>
      </c>
      <c r="BG40" t="s">
        <v>3</v>
      </c>
      <c r="BH40">
        <v>0</v>
      </c>
      <c r="BI40">
        <v>1</v>
      </c>
      <c r="BJ40" t="s">
        <v>85</v>
      </c>
      <c r="BM40">
        <v>700004</v>
      </c>
      <c r="BN40">
        <v>0</v>
      </c>
      <c r="BO40" t="s">
        <v>3</v>
      </c>
      <c r="BP40">
        <v>0</v>
      </c>
      <c r="BQ40">
        <v>19</v>
      </c>
      <c r="BR40">
        <v>0</v>
      </c>
      <c r="BS40">
        <v>14.43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</v>
      </c>
      <c r="BZ40">
        <v>0</v>
      </c>
      <c r="CA40">
        <v>0</v>
      </c>
      <c r="CB40" t="s">
        <v>3</v>
      </c>
      <c r="CE40">
        <v>0</v>
      </c>
      <c r="CF40">
        <v>0</v>
      </c>
      <c r="CG40">
        <v>0</v>
      </c>
      <c r="CM40">
        <v>0</v>
      </c>
      <c r="CN40" t="s">
        <v>3</v>
      </c>
      <c r="CO40">
        <v>0</v>
      </c>
      <c r="CP40">
        <f>(P40+Q40+S40)</f>
        <v>62.02</v>
      </c>
      <c r="CQ40">
        <f>AC40*BC40</f>
        <v>0</v>
      </c>
      <c r="CR40">
        <f>AD40*BB40</f>
        <v>620.20139999999992</v>
      </c>
      <c r="CS40">
        <f>AE40*BS40</f>
        <v>0</v>
      </c>
      <c r="CT40">
        <f>AF40*BA40</f>
        <v>0</v>
      </c>
      <c r="CU40">
        <f t="shared" si="56"/>
        <v>0</v>
      </c>
      <c r="CV40">
        <f t="shared" si="56"/>
        <v>0</v>
      </c>
      <c r="CW40">
        <f t="shared" si="56"/>
        <v>0</v>
      </c>
      <c r="CX40">
        <f t="shared" si="56"/>
        <v>0</v>
      </c>
      <c r="CY40">
        <f>(((S40+R40)*AT40)/100)</f>
        <v>0</v>
      </c>
      <c r="CZ40">
        <f>(((S40+R40)*AU40)/100)</f>
        <v>0</v>
      </c>
      <c r="DC40" t="s">
        <v>3</v>
      </c>
      <c r="DD40" t="s">
        <v>3</v>
      </c>
      <c r="DE40" t="s">
        <v>3</v>
      </c>
      <c r="DF40" t="s">
        <v>3</v>
      </c>
      <c r="DG40" t="s">
        <v>3</v>
      </c>
      <c r="DH40" t="s">
        <v>3</v>
      </c>
      <c r="DI40" t="s">
        <v>3</v>
      </c>
      <c r="DJ40" t="s">
        <v>3</v>
      </c>
      <c r="DK40" t="s">
        <v>3</v>
      </c>
      <c r="DL40" t="s">
        <v>3</v>
      </c>
      <c r="DM40" t="s">
        <v>3</v>
      </c>
      <c r="DN40">
        <v>0</v>
      </c>
      <c r="DO40">
        <v>0</v>
      </c>
      <c r="DP40">
        <v>1</v>
      </c>
      <c r="DQ40">
        <v>1</v>
      </c>
      <c r="DU40">
        <v>1013</v>
      </c>
      <c r="DV40" t="s">
        <v>84</v>
      </c>
      <c r="DW40" t="s">
        <v>84</v>
      </c>
      <c r="DX40">
        <v>1</v>
      </c>
      <c r="DZ40" t="s">
        <v>3</v>
      </c>
      <c r="EA40" t="s">
        <v>3</v>
      </c>
      <c r="EB40" t="s">
        <v>3</v>
      </c>
      <c r="EC40" t="s">
        <v>3</v>
      </c>
      <c r="EE40">
        <v>36260614</v>
      </c>
      <c r="EF40">
        <v>19</v>
      </c>
      <c r="EG40" t="s">
        <v>86</v>
      </c>
      <c r="EH40">
        <v>0</v>
      </c>
      <c r="EI40" t="s">
        <v>3</v>
      </c>
      <c r="EJ40">
        <v>1</v>
      </c>
      <c r="EK40">
        <v>700004</v>
      </c>
      <c r="EL40" t="s">
        <v>87</v>
      </c>
      <c r="EM40" t="s">
        <v>88</v>
      </c>
      <c r="EO40" t="s">
        <v>3</v>
      </c>
      <c r="EQ40">
        <v>0</v>
      </c>
      <c r="ER40">
        <v>42.98</v>
      </c>
      <c r="ES40">
        <v>0</v>
      </c>
      <c r="ET40">
        <v>42.98</v>
      </c>
      <c r="EU40">
        <v>0</v>
      </c>
      <c r="EV40">
        <v>0</v>
      </c>
      <c r="EW40">
        <v>0</v>
      </c>
      <c r="EX40">
        <v>0</v>
      </c>
      <c r="EY40">
        <v>0</v>
      </c>
      <c r="FQ40">
        <v>0</v>
      </c>
      <c r="FR40">
        <f>ROUND(IF(AND(BH40=3,BI40=3),P40,0),2)</f>
        <v>0</v>
      </c>
      <c r="FS40">
        <v>0</v>
      </c>
      <c r="FX40">
        <v>0</v>
      </c>
      <c r="FY40">
        <v>0</v>
      </c>
      <c r="GA40" t="s">
        <v>3</v>
      </c>
      <c r="GD40">
        <v>1</v>
      </c>
      <c r="GF40">
        <v>-888683356</v>
      </c>
      <c r="GG40">
        <v>2</v>
      </c>
      <c r="GH40">
        <v>1</v>
      </c>
      <c r="GI40">
        <v>2</v>
      </c>
      <c r="GJ40">
        <v>0</v>
      </c>
      <c r="GK40">
        <v>0</v>
      </c>
      <c r="GL40">
        <f>ROUND(IF(AND(BH40=3,BI40=3,FS40&lt;&gt;0),P40,0),2)</f>
        <v>0</v>
      </c>
      <c r="GM40">
        <f>ROUND(O40+X40+Y40,2)+GX40</f>
        <v>62.02</v>
      </c>
      <c r="GN40">
        <f>IF(OR(BI40=0,BI40=1),ROUND(O40+X40+Y40,2),0)</f>
        <v>62.02</v>
      </c>
      <c r="GO40">
        <f>IF(BI40=2,ROUND(O40+X40+Y40,2),0)</f>
        <v>0</v>
      </c>
      <c r="GP40">
        <f>IF(BI40=4,ROUND(O40+X40+Y40,2)+GX40,0)</f>
        <v>0</v>
      </c>
      <c r="GR40">
        <v>0</v>
      </c>
      <c r="GS40">
        <v>3</v>
      </c>
      <c r="GT40">
        <v>0</v>
      </c>
      <c r="GU40" t="s">
        <v>3</v>
      </c>
      <c r="GV40">
        <f>ROUND((GT40),6)</f>
        <v>0</v>
      </c>
      <c r="GW40">
        <v>1</v>
      </c>
      <c r="GX40">
        <f>ROUND(HC40*I40,2)</f>
        <v>0</v>
      </c>
      <c r="HA40">
        <v>0</v>
      </c>
      <c r="HB40">
        <v>0</v>
      </c>
      <c r="HC40">
        <f>GV40*GW40</f>
        <v>0</v>
      </c>
      <c r="HD40">
        <f>GM40</f>
        <v>62.02</v>
      </c>
      <c r="HE40" t="s">
        <v>3</v>
      </c>
      <c r="HF40" t="s">
        <v>3</v>
      </c>
      <c r="HM40" t="s">
        <v>3</v>
      </c>
      <c r="IK40">
        <v>0</v>
      </c>
    </row>
    <row r="41" spans="1:245">
      <c r="A41">
        <v>17</v>
      </c>
      <c r="B41">
        <v>1</v>
      </c>
      <c r="E41" t="s">
        <v>26</v>
      </c>
      <c r="F41" t="s">
        <v>89</v>
      </c>
      <c r="G41" t="s">
        <v>90</v>
      </c>
      <c r="H41" t="s">
        <v>84</v>
      </c>
      <c r="I41">
        <v>0.1</v>
      </c>
      <c r="J41">
        <v>0</v>
      </c>
      <c r="K41">
        <v>0.1</v>
      </c>
      <c r="O41">
        <f>ROUND(CP41,2)</f>
        <v>20.68</v>
      </c>
      <c r="P41">
        <f>ROUND(CQ41*I41,2)</f>
        <v>0</v>
      </c>
      <c r="Q41">
        <f>ROUND(CR41*I41,2)</f>
        <v>20.68</v>
      </c>
      <c r="R41">
        <f>ROUND(CS41*I41,2)</f>
        <v>0</v>
      </c>
      <c r="S41">
        <f>ROUND(CT41*I41,2)</f>
        <v>0</v>
      </c>
      <c r="T41">
        <f>ROUND(CU41*I41,2)</f>
        <v>0</v>
      </c>
      <c r="U41">
        <f>CV41*I41</f>
        <v>0</v>
      </c>
      <c r="V41">
        <f>CW41*I41</f>
        <v>0</v>
      </c>
      <c r="W41">
        <f>ROUND(CX41*I41,2)</f>
        <v>0</v>
      </c>
      <c r="X41">
        <f t="shared" si="55"/>
        <v>0</v>
      </c>
      <c r="Y41">
        <f t="shared" si="55"/>
        <v>0</v>
      </c>
      <c r="AA41">
        <v>35798216</v>
      </c>
      <c r="AB41">
        <f>ROUND((AC41+AD41+AF41),6)</f>
        <v>20.91</v>
      </c>
      <c r="AC41">
        <f>ROUND((ES41),6)</f>
        <v>0</v>
      </c>
      <c r="AD41">
        <f>ROUND(((ET41)+ROUND(((EU41)*1.85),2)),6)</f>
        <v>20.91</v>
      </c>
      <c r="AE41">
        <f>ROUND(((EU41)+ROUND(((EU41)*1.85),2)),6)</f>
        <v>0</v>
      </c>
      <c r="AF41">
        <f>ROUND(((EV41)+ROUND(((EV41)*1.85),2)),6)</f>
        <v>0</v>
      </c>
      <c r="AG41">
        <f>ROUND((AP41),6)</f>
        <v>0</v>
      </c>
      <c r="AH41">
        <f t="shared" si="57"/>
        <v>0</v>
      </c>
      <c r="AI41">
        <f t="shared" si="57"/>
        <v>0</v>
      </c>
      <c r="AJ41">
        <f>(AS41)</f>
        <v>0</v>
      </c>
      <c r="AK41">
        <v>20.91</v>
      </c>
      <c r="AL41">
        <v>0</v>
      </c>
      <c r="AM41">
        <v>20.91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1</v>
      </c>
      <c r="AW41">
        <v>1</v>
      </c>
      <c r="AZ41">
        <v>1</v>
      </c>
      <c r="BA41">
        <v>9.89</v>
      </c>
      <c r="BB41">
        <v>9.89</v>
      </c>
      <c r="BC41">
        <v>1</v>
      </c>
      <c r="BD41" t="s">
        <v>3</v>
      </c>
      <c r="BE41" t="s">
        <v>3</v>
      </c>
      <c r="BF41" t="s">
        <v>3</v>
      </c>
      <c r="BG41" t="s">
        <v>3</v>
      </c>
      <c r="BH41">
        <v>0</v>
      </c>
      <c r="BI41">
        <v>1</v>
      </c>
      <c r="BJ41" t="s">
        <v>91</v>
      </c>
      <c r="BM41">
        <v>700001</v>
      </c>
      <c r="BN41">
        <v>0</v>
      </c>
      <c r="BO41" t="s">
        <v>3</v>
      </c>
      <c r="BP41">
        <v>0</v>
      </c>
      <c r="BQ41">
        <v>10</v>
      </c>
      <c r="BR41">
        <v>0</v>
      </c>
      <c r="BS41">
        <v>9.89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0</v>
      </c>
      <c r="CA41">
        <v>0</v>
      </c>
      <c r="CB41" t="s">
        <v>3</v>
      </c>
      <c r="CE41">
        <v>0</v>
      </c>
      <c r="CF41">
        <v>0</v>
      </c>
      <c r="CG41">
        <v>0</v>
      </c>
      <c r="CM41">
        <v>0</v>
      </c>
      <c r="CN41" t="s">
        <v>3</v>
      </c>
      <c r="CO41">
        <v>0</v>
      </c>
      <c r="CP41">
        <f>(P41+Q41+S41)</f>
        <v>20.68</v>
      </c>
      <c r="CQ41">
        <f>AC41*BC41</f>
        <v>0</v>
      </c>
      <c r="CR41">
        <f>AD41*BB41</f>
        <v>206.79990000000001</v>
      </c>
      <c r="CS41">
        <f>AE41*BS41</f>
        <v>0</v>
      </c>
      <c r="CT41">
        <f>AF41*BA41</f>
        <v>0</v>
      </c>
      <c r="CU41">
        <f t="shared" si="56"/>
        <v>0</v>
      </c>
      <c r="CV41">
        <f t="shared" si="56"/>
        <v>0</v>
      </c>
      <c r="CW41">
        <f t="shared" si="56"/>
        <v>0</v>
      </c>
      <c r="CX41">
        <f t="shared" si="56"/>
        <v>0</v>
      </c>
      <c r="CY41">
        <f>(((S41+R41)*AT41)/100)</f>
        <v>0</v>
      </c>
      <c r="CZ41">
        <f>(((S41+R41)*AU41)/100)</f>
        <v>0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1013</v>
      </c>
      <c r="DV41" t="s">
        <v>84</v>
      </c>
      <c r="DW41" t="s">
        <v>84</v>
      </c>
      <c r="DX41">
        <v>1</v>
      </c>
      <c r="DZ41" t="s">
        <v>3</v>
      </c>
      <c r="EA41" t="s">
        <v>3</v>
      </c>
      <c r="EB41" t="s">
        <v>3</v>
      </c>
      <c r="EC41" t="s">
        <v>3</v>
      </c>
      <c r="EE41">
        <v>36260364</v>
      </c>
      <c r="EF41">
        <v>10</v>
      </c>
      <c r="EG41" t="s">
        <v>92</v>
      </c>
      <c r="EH41">
        <v>0</v>
      </c>
      <c r="EI41" t="s">
        <v>3</v>
      </c>
      <c r="EJ41">
        <v>1</v>
      </c>
      <c r="EK41">
        <v>700001</v>
      </c>
      <c r="EL41" t="s">
        <v>93</v>
      </c>
      <c r="EM41" t="s">
        <v>94</v>
      </c>
      <c r="EO41" t="s">
        <v>3</v>
      </c>
      <c r="EQ41">
        <v>0</v>
      </c>
      <c r="ER41">
        <v>20.91</v>
      </c>
      <c r="ES41">
        <v>0</v>
      </c>
      <c r="ET41">
        <v>20.91</v>
      </c>
      <c r="EU41">
        <v>0</v>
      </c>
      <c r="EV41">
        <v>0</v>
      </c>
      <c r="EW41">
        <v>0</v>
      </c>
      <c r="EX41">
        <v>0</v>
      </c>
      <c r="EY41">
        <v>0</v>
      </c>
      <c r="FQ41">
        <v>0</v>
      </c>
      <c r="FR41">
        <f>ROUND(IF(AND(BH41=3,BI41=3),P41,0),2)</f>
        <v>0</v>
      </c>
      <c r="FS41">
        <v>0</v>
      </c>
      <c r="FX41">
        <v>0</v>
      </c>
      <c r="FY41">
        <v>0</v>
      </c>
      <c r="GA41" t="s">
        <v>3</v>
      </c>
      <c r="GD41">
        <v>1</v>
      </c>
      <c r="GF41">
        <v>1293652068</v>
      </c>
      <c r="GG41">
        <v>2</v>
      </c>
      <c r="GH41">
        <v>1</v>
      </c>
      <c r="GI41">
        <v>2</v>
      </c>
      <c r="GJ41">
        <v>0</v>
      </c>
      <c r="GK41">
        <v>0</v>
      </c>
      <c r="GL41">
        <f>ROUND(IF(AND(BH41=3,BI41=3,FS41&lt;&gt;0),P41,0),2)</f>
        <v>0</v>
      </c>
      <c r="GM41">
        <f>ROUND(O41+X41+Y41,2)+GX41</f>
        <v>20.68</v>
      </c>
      <c r="GN41">
        <f>IF(OR(BI41=0,BI41=1),ROUND(O41+X41+Y41,2),0)</f>
        <v>20.68</v>
      </c>
      <c r="GO41">
        <f>IF(BI41=2,ROUND(O41+X41+Y41,2),0)</f>
        <v>0</v>
      </c>
      <c r="GP41">
        <f>IF(BI41=4,ROUND(O41+X41+Y41,2)+GX41,0)</f>
        <v>0</v>
      </c>
      <c r="GR41">
        <v>0</v>
      </c>
      <c r="GS41">
        <v>3</v>
      </c>
      <c r="GT41">
        <v>0</v>
      </c>
      <c r="GU41" t="s">
        <v>3</v>
      </c>
      <c r="GV41">
        <f>ROUND((GT41),6)</f>
        <v>0</v>
      </c>
      <c r="GW41">
        <v>1</v>
      </c>
      <c r="GX41">
        <f>ROUND(HC41*I41,2)</f>
        <v>0</v>
      </c>
      <c r="HA41">
        <v>0</v>
      </c>
      <c r="HB41">
        <v>0</v>
      </c>
      <c r="HC41">
        <f>GV41*GW41</f>
        <v>0</v>
      </c>
      <c r="HD41">
        <f>GM41</f>
        <v>20.68</v>
      </c>
      <c r="HE41" t="s">
        <v>3</v>
      </c>
      <c r="HF41" t="s">
        <v>3</v>
      </c>
      <c r="HM41" t="s">
        <v>3</v>
      </c>
      <c r="IK41">
        <v>0</v>
      </c>
    </row>
    <row r="43" spans="1:245">
      <c r="A43" s="2">
        <v>51</v>
      </c>
      <c r="B43" s="2">
        <f>B33</f>
        <v>1</v>
      </c>
      <c r="C43" s="2">
        <f>A33</f>
        <v>4</v>
      </c>
      <c r="D43" s="2">
        <f>ROW(A33)</f>
        <v>33</v>
      </c>
      <c r="E43" s="2"/>
      <c r="F43" s="2" t="str">
        <f>IF(F33&lt;&gt;"",F33,"")</f>
        <v>Новый раздел</v>
      </c>
      <c r="G43" s="2" t="str">
        <f>IF(G33&lt;&gt;"",G33,"")</f>
        <v>потолок</v>
      </c>
      <c r="H43" s="2">
        <v>0</v>
      </c>
      <c r="I43" s="2"/>
      <c r="J43" s="2"/>
      <c r="K43" s="2"/>
      <c r="L43" s="2"/>
      <c r="M43" s="2"/>
      <c r="N43" s="2"/>
      <c r="O43" s="2">
        <f t="shared" ref="O43:T43" si="58">ROUND(AB43,2)</f>
        <v>30052.18</v>
      </c>
      <c r="P43" s="2">
        <f t="shared" si="58"/>
        <v>12047.34</v>
      </c>
      <c r="Q43" s="2">
        <f t="shared" si="58"/>
        <v>2310.87</v>
      </c>
      <c r="R43" s="2">
        <f t="shared" si="58"/>
        <v>165.57</v>
      </c>
      <c r="S43" s="2">
        <f t="shared" si="58"/>
        <v>15693.97</v>
      </c>
      <c r="T43" s="2">
        <f t="shared" si="58"/>
        <v>0</v>
      </c>
      <c r="U43" s="2">
        <f>AH43</f>
        <v>50.203361999999991</v>
      </c>
      <c r="V43" s="2">
        <f>AI43</f>
        <v>0.37109999999999999</v>
      </c>
      <c r="W43" s="2">
        <f>ROUND(AJ43,2)</f>
        <v>18.72</v>
      </c>
      <c r="X43" s="2">
        <f>ROUND(AK43,2)</f>
        <v>15066.56</v>
      </c>
      <c r="Y43" s="2">
        <f>ROUND(AL43,2)</f>
        <v>7789.2</v>
      </c>
      <c r="Z43" s="2"/>
      <c r="AA43" s="2"/>
      <c r="AB43" s="2">
        <f>ROUND(SUMIF(AA37:AA41,"=35798216",O37:O41),2)</f>
        <v>30052.18</v>
      </c>
      <c r="AC43" s="2">
        <f>ROUND(SUMIF(AA37:AA41,"=35798216",P37:P41),2)</f>
        <v>12047.34</v>
      </c>
      <c r="AD43" s="2">
        <f>ROUND(SUMIF(AA37:AA41,"=35798216",Q37:Q41),2)</f>
        <v>2310.87</v>
      </c>
      <c r="AE43" s="2">
        <f>ROUND(SUMIF(AA37:AA41,"=35798216",R37:R41),2)</f>
        <v>165.57</v>
      </c>
      <c r="AF43" s="2">
        <f>ROUND(SUMIF(AA37:AA41,"=35798216",S37:S41),2)</f>
        <v>15693.97</v>
      </c>
      <c r="AG43" s="2">
        <f>ROUND(SUMIF(AA37:AA41,"=35798216",T37:T41),2)</f>
        <v>0</v>
      </c>
      <c r="AH43" s="2">
        <f>SUMIF(AA37:AA41,"=35798216",U37:U41)</f>
        <v>50.203361999999991</v>
      </c>
      <c r="AI43" s="2">
        <f>SUMIF(AA37:AA41,"=35798216",V37:V41)</f>
        <v>0.37109999999999999</v>
      </c>
      <c r="AJ43" s="2">
        <f>ROUND(SUMIF(AA37:AA41,"=35798216",W37:W41),2)</f>
        <v>18.72</v>
      </c>
      <c r="AK43" s="2">
        <f>ROUND(SUMIF(AA37:AA41,"=35798216",X37:X41),2)</f>
        <v>15066.56</v>
      </c>
      <c r="AL43" s="2">
        <f>ROUND(SUMIF(AA37:AA41,"=35798216",Y37:Y41),2)</f>
        <v>7789.2</v>
      </c>
      <c r="AM43" s="2"/>
      <c r="AN43" s="2"/>
      <c r="AO43" s="2">
        <f t="shared" ref="AO43:BD43" si="59">ROUND(BX43,2)</f>
        <v>0</v>
      </c>
      <c r="AP43" s="2">
        <f t="shared" si="59"/>
        <v>0</v>
      </c>
      <c r="AQ43" s="2">
        <f t="shared" si="59"/>
        <v>0</v>
      </c>
      <c r="AR43" s="2">
        <f t="shared" si="59"/>
        <v>52907.94</v>
      </c>
      <c r="AS43" s="2">
        <f t="shared" si="59"/>
        <v>45606.78</v>
      </c>
      <c r="AT43" s="2">
        <f t="shared" si="59"/>
        <v>7301.16</v>
      </c>
      <c r="AU43" s="2">
        <f t="shared" si="59"/>
        <v>0</v>
      </c>
      <c r="AV43" s="2">
        <f t="shared" si="59"/>
        <v>12047.34</v>
      </c>
      <c r="AW43" s="2">
        <f t="shared" si="59"/>
        <v>12047.34</v>
      </c>
      <c r="AX43" s="2">
        <f t="shared" si="59"/>
        <v>0</v>
      </c>
      <c r="AY43" s="2">
        <f t="shared" si="59"/>
        <v>12047.34</v>
      </c>
      <c r="AZ43" s="2">
        <f t="shared" si="59"/>
        <v>0</v>
      </c>
      <c r="BA43" s="2">
        <f t="shared" si="59"/>
        <v>0</v>
      </c>
      <c r="BB43" s="2">
        <f t="shared" si="59"/>
        <v>0</v>
      </c>
      <c r="BC43" s="2">
        <f t="shared" si="59"/>
        <v>0</v>
      </c>
      <c r="BD43" s="2">
        <f t="shared" si="59"/>
        <v>82.7</v>
      </c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>
        <f>ROUND(SUMIF(AA37:AA41,"=35798216",FQ37:FQ41),2)</f>
        <v>0</v>
      </c>
      <c r="BY43" s="2">
        <f>ROUND(SUMIF(AA37:AA41,"=35798216",FR37:FR41),2)</f>
        <v>0</v>
      </c>
      <c r="BZ43" s="2">
        <f>ROUND(SUMIF(AA37:AA41,"=35798216",GL37:GL41),2)</f>
        <v>0</v>
      </c>
      <c r="CA43" s="2">
        <f>ROUND(SUMIF(AA37:AA41,"=35798216",GM37:GM41),2)</f>
        <v>52907.94</v>
      </c>
      <c r="CB43" s="2">
        <f>ROUND(SUMIF(AA37:AA41,"=35798216",GN37:GN41),2)</f>
        <v>45606.78</v>
      </c>
      <c r="CC43" s="2">
        <f>ROUND(SUMIF(AA37:AA41,"=35798216",GO37:GO41),2)</f>
        <v>7301.16</v>
      </c>
      <c r="CD43" s="2">
        <f>ROUND(SUMIF(AA37:AA41,"=35798216",GP37:GP41),2)</f>
        <v>0</v>
      </c>
      <c r="CE43" s="2">
        <f>AC43-BX43</f>
        <v>12047.34</v>
      </c>
      <c r="CF43" s="2">
        <f>AC43-BY43</f>
        <v>12047.34</v>
      </c>
      <c r="CG43" s="2">
        <f>BX43-BZ43</f>
        <v>0</v>
      </c>
      <c r="CH43" s="2">
        <f>AC43-BX43-BY43+BZ43</f>
        <v>12047.34</v>
      </c>
      <c r="CI43" s="2">
        <f>BY43-BZ43</f>
        <v>0</v>
      </c>
      <c r="CJ43" s="2">
        <f>ROUND(SUMIF(AA37:AA41,"=35798216",GX37:GX41),2)</f>
        <v>0</v>
      </c>
      <c r="CK43" s="2">
        <f>ROUND(SUMIF(AA37:AA41,"=35798216",GY37:GY41),2)</f>
        <v>0</v>
      </c>
      <c r="CL43" s="2">
        <f>ROUND(SUMIF(AA37:AA41,"=35798216",GZ37:GZ41),2)</f>
        <v>0</v>
      </c>
      <c r="CM43" s="2">
        <f>ROUND(SUMIF(AA37:AA41,"=35798216",HD37:HD41),2)</f>
        <v>82.7</v>
      </c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>
        <v>0</v>
      </c>
    </row>
    <row r="45" spans="1:245">
      <c r="A45" s="4">
        <v>50</v>
      </c>
      <c r="B45" s="4">
        <v>0</v>
      </c>
      <c r="C45" s="4">
        <v>0</v>
      </c>
      <c r="D45" s="4">
        <v>1</v>
      </c>
      <c r="E45" s="4">
        <v>201</v>
      </c>
      <c r="F45" s="4">
        <f>ROUND(Source!O43,O45)</f>
        <v>30052.18</v>
      </c>
      <c r="G45" s="4" t="s">
        <v>95</v>
      </c>
      <c r="H45" s="4" t="s">
        <v>96</v>
      </c>
      <c r="I45" s="4"/>
      <c r="J45" s="4"/>
      <c r="K45" s="4">
        <v>201</v>
      </c>
      <c r="L45" s="4">
        <v>1</v>
      </c>
      <c r="M45" s="4">
        <v>3</v>
      </c>
      <c r="N45" s="4" t="s">
        <v>3</v>
      </c>
      <c r="O45" s="4">
        <v>2</v>
      </c>
      <c r="P45" s="4"/>
      <c r="Q45" s="4"/>
      <c r="R45" s="4"/>
      <c r="S45" s="4"/>
      <c r="T45" s="4"/>
      <c r="U45" s="4"/>
      <c r="V45" s="4"/>
      <c r="W45" s="4"/>
    </row>
    <row r="46" spans="1:245">
      <c r="A46" s="4">
        <v>50</v>
      </c>
      <c r="B46" s="4">
        <v>0</v>
      </c>
      <c r="C46" s="4">
        <v>0</v>
      </c>
      <c r="D46" s="4">
        <v>1</v>
      </c>
      <c r="E46" s="4">
        <v>202</v>
      </c>
      <c r="F46" s="4">
        <f>ROUND(Source!P43,O46)</f>
        <v>12047.34</v>
      </c>
      <c r="G46" s="4" t="s">
        <v>97</v>
      </c>
      <c r="H46" s="4" t="s">
        <v>98</v>
      </c>
      <c r="I46" s="4"/>
      <c r="J46" s="4"/>
      <c r="K46" s="4">
        <v>202</v>
      </c>
      <c r="L46" s="4">
        <v>2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/>
    </row>
    <row r="47" spans="1:245">
      <c r="A47" s="4">
        <v>50</v>
      </c>
      <c r="B47" s="4">
        <v>0</v>
      </c>
      <c r="C47" s="4">
        <v>0</v>
      </c>
      <c r="D47" s="4">
        <v>1</v>
      </c>
      <c r="E47" s="4">
        <v>222</v>
      </c>
      <c r="F47" s="4">
        <f>ROUND(Source!AO43,O47)</f>
        <v>0</v>
      </c>
      <c r="G47" s="4" t="s">
        <v>99</v>
      </c>
      <c r="H47" s="4" t="s">
        <v>100</v>
      </c>
      <c r="I47" s="4"/>
      <c r="J47" s="4"/>
      <c r="K47" s="4">
        <v>222</v>
      </c>
      <c r="L47" s="4">
        <v>3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/>
    </row>
    <row r="48" spans="1:245">
      <c r="A48" s="4">
        <v>50</v>
      </c>
      <c r="B48" s="4">
        <v>0</v>
      </c>
      <c r="C48" s="4">
        <v>0</v>
      </c>
      <c r="D48" s="4">
        <v>1</v>
      </c>
      <c r="E48" s="4">
        <v>225</v>
      </c>
      <c r="F48" s="4">
        <f>ROUND(Source!AV43,O48)</f>
        <v>12047.34</v>
      </c>
      <c r="G48" s="4" t="s">
        <v>101</v>
      </c>
      <c r="H48" s="4" t="s">
        <v>102</v>
      </c>
      <c r="I48" s="4"/>
      <c r="J48" s="4"/>
      <c r="K48" s="4">
        <v>225</v>
      </c>
      <c r="L48" s="4">
        <v>4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/>
    </row>
    <row r="49" spans="1:23">
      <c r="A49" s="4">
        <v>50</v>
      </c>
      <c r="B49" s="4">
        <v>0</v>
      </c>
      <c r="C49" s="4">
        <v>0</v>
      </c>
      <c r="D49" s="4">
        <v>1</v>
      </c>
      <c r="E49" s="4">
        <v>226</v>
      </c>
      <c r="F49" s="4">
        <f>ROUND(Source!AW43,O49)</f>
        <v>12047.34</v>
      </c>
      <c r="G49" s="4" t="s">
        <v>103</v>
      </c>
      <c r="H49" s="4" t="s">
        <v>104</v>
      </c>
      <c r="I49" s="4"/>
      <c r="J49" s="4"/>
      <c r="K49" s="4">
        <v>226</v>
      </c>
      <c r="L49" s="4">
        <v>5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/>
    </row>
    <row r="50" spans="1:23">
      <c r="A50" s="4">
        <v>50</v>
      </c>
      <c r="B50" s="4">
        <v>0</v>
      </c>
      <c r="C50" s="4">
        <v>0</v>
      </c>
      <c r="D50" s="4">
        <v>1</v>
      </c>
      <c r="E50" s="4">
        <v>227</v>
      </c>
      <c r="F50" s="4">
        <f>ROUND(Source!AX43,O50)</f>
        <v>0</v>
      </c>
      <c r="G50" s="4" t="s">
        <v>105</v>
      </c>
      <c r="H50" s="4" t="s">
        <v>106</v>
      </c>
      <c r="I50" s="4"/>
      <c r="J50" s="4"/>
      <c r="K50" s="4">
        <v>227</v>
      </c>
      <c r="L50" s="4">
        <v>6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/>
    </row>
    <row r="51" spans="1:23">
      <c r="A51" s="4">
        <v>50</v>
      </c>
      <c r="B51" s="4">
        <v>0</v>
      </c>
      <c r="C51" s="4">
        <v>0</v>
      </c>
      <c r="D51" s="4">
        <v>1</v>
      </c>
      <c r="E51" s="4">
        <v>228</v>
      </c>
      <c r="F51" s="4">
        <f>ROUND(Source!AY43,O51)</f>
        <v>12047.34</v>
      </c>
      <c r="G51" s="4" t="s">
        <v>107</v>
      </c>
      <c r="H51" s="4" t="s">
        <v>108</v>
      </c>
      <c r="I51" s="4"/>
      <c r="J51" s="4"/>
      <c r="K51" s="4">
        <v>228</v>
      </c>
      <c r="L51" s="4">
        <v>7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/>
    </row>
    <row r="52" spans="1:23">
      <c r="A52" s="4">
        <v>50</v>
      </c>
      <c r="B52" s="4">
        <v>0</v>
      </c>
      <c r="C52" s="4">
        <v>0</v>
      </c>
      <c r="D52" s="4">
        <v>1</v>
      </c>
      <c r="E52" s="4">
        <v>216</v>
      </c>
      <c r="F52" s="4">
        <f>ROUND(Source!AP43,O52)</f>
        <v>0</v>
      </c>
      <c r="G52" s="4" t="s">
        <v>109</v>
      </c>
      <c r="H52" s="4" t="s">
        <v>110</v>
      </c>
      <c r="I52" s="4"/>
      <c r="J52" s="4"/>
      <c r="K52" s="4">
        <v>216</v>
      </c>
      <c r="L52" s="4">
        <v>8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/>
    </row>
    <row r="53" spans="1:23">
      <c r="A53" s="4">
        <v>50</v>
      </c>
      <c r="B53" s="4">
        <v>0</v>
      </c>
      <c r="C53" s="4">
        <v>0</v>
      </c>
      <c r="D53" s="4">
        <v>1</v>
      </c>
      <c r="E53" s="4">
        <v>223</v>
      </c>
      <c r="F53" s="4">
        <f>ROUND(Source!AQ43,O53)</f>
        <v>0</v>
      </c>
      <c r="G53" s="4" t="s">
        <v>111</v>
      </c>
      <c r="H53" s="4" t="s">
        <v>112</v>
      </c>
      <c r="I53" s="4"/>
      <c r="J53" s="4"/>
      <c r="K53" s="4">
        <v>223</v>
      </c>
      <c r="L53" s="4">
        <v>9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/>
    </row>
    <row r="54" spans="1:23">
      <c r="A54" s="4">
        <v>50</v>
      </c>
      <c r="B54" s="4">
        <v>0</v>
      </c>
      <c r="C54" s="4">
        <v>0</v>
      </c>
      <c r="D54" s="4">
        <v>1</v>
      </c>
      <c r="E54" s="4">
        <v>229</v>
      </c>
      <c r="F54" s="4">
        <f>ROUND(Source!AZ43,O54)</f>
        <v>0</v>
      </c>
      <c r="G54" s="4" t="s">
        <v>113</v>
      </c>
      <c r="H54" s="4" t="s">
        <v>114</v>
      </c>
      <c r="I54" s="4"/>
      <c r="J54" s="4"/>
      <c r="K54" s="4">
        <v>229</v>
      </c>
      <c r="L54" s="4">
        <v>10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/>
    </row>
    <row r="55" spans="1:23">
      <c r="A55" s="4">
        <v>50</v>
      </c>
      <c r="B55" s="4">
        <v>0</v>
      </c>
      <c r="C55" s="4">
        <v>0</v>
      </c>
      <c r="D55" s="4">
        <v>1</v>
      </c>
      <c r="E55" s="4">
        <v>203</v>
      </c>
      <c r="F55" s="4">
        <f>ROUND(Source!Q43,O55)</f>
        <v>2310.87</v>
      </c>
      <c r="G55" s="4" t="s">
        <v>115</v>
      </c>
      <c r="H55" s="4" t="s">
        <v>116</v>
      </c>
      <c r="I55" s="4"/>
      <c r="J55" s="4"/>
      <c r="K55" s="4">
        <v>203</v>
      </c>
      <c r="L55" s="4">
        <v>11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/>
    </row>
    <row r="56" spans="1:23">
      <c r="A56" s="4">
        <v>50</v>
      </c>
      <c r="B56" s="4">
        <v>0</v>
      </c>
      <c r="C56" s="4">
        <v>0</v>
      </c>
      <c r="D56" s="4">
        <v>1</v>
      </c>
      <c r="E56" s="4">
        <v>231</v>
      </c>
      <c r="F56" s="4">
        <f>ROUND(Source!BB43,O56)</f>
        <v>0</v>
      </c>
      <c r="G56" s="4" t="s">
        <v>117</v>
      </c>
      <c r="H56" s="4" t="s">
        <v>118</v>
      </c>
      <c r="I56" s="4"/>
      <c r="J56" s="4"/>
      <c r="K56" s="4">
        <v>231</v>
      </c>
      <c r="L56" s="4">
        <v>12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/>
    </row>
    <row r="57" spans="1:23">
      <c r="A57" s="4">
        <v>50</v>
      </c>
      <c r="B57" s="4">
        <v>0</v>
      </c>
      <c r="C57" s="4">
        <v>0</v>
      </c>
      <c r="D57" s="4">
        <v>1</v>
      </c>
      <c r="E57" s="4">
        <v>204</v>
      </c>
      <c r="F57" s="4">
        <f>ROUND(Source!R43,O57)</f>
        <v>165.57</v>
      </c>
      <c r="G57" s="4" t="s">
        <v>119</v>
      </c>
      <c r="H57" s="4" t="s">
        <v>120</v>
      </c>
      <c r="I57" s="4"/>
      <c r="J57" s="4"/>
      <c r="K57" s="4">
        <v>204</v>
      </c>
      <c r="L57" s="4">
        <v>13</v>
      </c>
      <c r="M57" s="4">
        <v>3</v>
      </c>
      <c r="N57" s="4" t="s">
        <v>3</v>
      </c>
      <c r="O57" s="4">
        <v>2</v>
      </c>
      <c r="P57" s="4"/>
      <c r="Q57" s="4"/>
      <c r="R57" s="4"/>
      <c r="S57" s="4"/>
      <c r="T57" s="4"/>
      <c r="U57" s="4"/>
      <c r="V57" s="4"/>
      <c r="W57" s="4"/>
    </row>
    <row r="58" spans="1:23">
      <c r="A58" s="4">
        <v>50</v>
      </c>
      <c r="B58" s="4">
        <v>0</v>
      </c>
      <c r="C58" s="4">
        <v>0</v>
      </c>
      <c r="D58" s="4">
        <v>1</v>
      </c>
      <c r="E58" s="4">
        <v>205</v>
      </c>
      <c r="F58" s="4">
        <f>ROUND(Source!S43,O58)</f>
        <v>15693.97</v>
      </c>
      <c r="G58" s="4" t="s">
        <v>121</v>
      </c>
      <c r="H58" s="4" t="s">
        <v>122</v>
      </c>
      <c r="I58" s="4"/>
      <c r="J58" s="4"/>
      <c r="K58" s="4">
        <v>205</v>
      </c>
      <c r="L58" s="4">
        <v>14</v>
      </c>
      <c r="M58" s="4">
        <v>3</v>
      </c>
      <c r="N58" s="4" t="s">
        <v>3</v>
      </c>
      <c r="O58" s="4">
        <v>2</v>
      </c>
      <c r="P58" s="4"/>
      <c r="Q58" s="4"/>
      <c r="R58" s="4"/>
      <c r="S58" s="4"/>
      <c r="T58" s="4"/>
      <c r="U58" s="4"/>
      <c r="V58" s="4"/>
      <c r="W58" s="4"/>
    </row>
    <row r="59" spans="1:23">
      <c r="A59" s="4">
        <v>50</v>
      </c>
      <c r="B59" s="4">
        <v>0</v>
      </c>
      <c r="C59" s="4">
        <v>0</v>
      </c>
      <c r="D59" s="4">
        <v>1</v>
      </c>
      <c r="E59" s="4">
        <v>232</v>
      </c>
      <c r="F59" s="4">
        <f>ROUND(Source!BC43,O59)</f>
        <v>0</v>
      </c>
      <c r="G59" s="4" t="s">
        <v>123</v>
      </c>
      <c r="H59" s="4" t="s">
        <v>124</v>
      </c>
      <c r="I59" s="4"/>
      <c r="J59" s="4"/>
      <c r="K59" s="4">
        <v>232</v>
      </c>
      <c r="L59" s="4">
        <v>15</v>
      </c>
      <c r="M59" s="4">
        <v>3</v>
      </c>
      <c r="N59" s="4" t="s">
        <v>3</v>
      </c>
      <c r="O59" s="4">
        <v>2</v>
      </c>
      <c r="P59" s="4"/>
      <c r="Q59" s="4"/>
      <c r="R59" s="4"/>
      <c r="S59" s="4"/>
      <c r="T59" s="4"/>
      <c r="U59" s="4"/>
      <c r="V59" s="4"/>
      <c r="W59" s="4"/>
    </row>
    <row r="60" spans="1:23">
      <c r="A60" s="4">
        <v>50</v>
      </c>
      <c r="B60" s="4">
        <v>0</v>
      </c>
      <c r="C60" s="4">
        <v>0</v>
      </c>
      <c r="D60" s="4">
        <v>1</v>
      </c>
      <c r="E60" s="4">
        <v>214</v>
      </c>
      <c r="F60" s="4">
        <f>ROUND(Source!AS43,O60)</f>
        <v>45606.78</v>
      </c>
      <c r="G60" s="4" t="s">
        <v>125</v>
      </c>
      <c r="H60" s="4" t="s">
        <v>126</v>
      </c>
      <c r="I60" s="4"/>
      <c r="J60" s="4"/>
      <c r="K60" s="4">
        <v>214</v>
      </c>
      <c r="L60" s="4">
        <v>16</v>
      </c>
      <c r="M60" s="4">
        <v>3</v>
      </c>
      <c r="N60" s="4" t="s">
        <v>3</v>
      </c>
      <c r="O60" s="4">
        <v>2</v>
      </c>
      <c r="P60" s="4"/>
      <c r="Q60" s="4"/>
      <c r="R60" s="4"/>
      <c r="S60" s="4"/>
      <c r="T60" s="4"/>
      <c r="U60" s="4"/>
      <c r="V60" s="4"/>
      <c r="W60" s="4"/>
    </row>
    <row r="61" spans="1:23">
      <c r="A61" s="4">
        <v>50</v>
      </c>
      <c r="B61" s="4">
        <v>0</v>
      </c>
      <c r="C61" s="4">
        <v>0</v>
      </c>
      <c r="D61" s="4">
        <v>1</v>
      </c>
      <c r="E61" s="4">
        <v>215</v>
      </c>
      <c r="F61" s="4">
        <f>ROUND(Source!AT43,O61)</f>
        <v>7301.16</v>
      </c>
      <c r="G61" s="4" t="s">
        <v>127</v>
      </c>
      <c r="H61" s="4" t="s">
        <v>128</v>
      </c>
      <c r="I61" s="4"/>
      <c r="J61" s="4"/>
      <c r="K61" s="4">
        <v>215</v>
      </c>
      <c r="L61" s="4">
        <v>17</v>
      </c>
      <c r="M61" s="4">
        <v>3</v>
      </c>
      <c r="N61" s="4" t="s">
        <v>3</v>
      </c>
      <c r="O61" s="4">
        <v>2</v>
      </c>
      <c r="P61" s="4"/>
      <c r="Q61" s="4"/>
      <c r="R61" s="4"/>
      <c r="S61" s="4"/>
      <c r="T61" s="4"/>
      <c r="U61" s="4"/>
      <c r="V61" s="4"/>
      <c r="W61" s="4"/>
    </row>
    <row r="62" spans="1:23">
      <c r="A62" s="4">
        <v>50</v>
      </c>
      <c r="B62" s="4">
        <v>0</v>
      </c>
      <c r="C62" s="4">
        <v>0</v>
      </c>
      <c r="D62" s="4">
        <v>1</v>
      </c>
      <c r="E62" s="4">
        <v>217</v>
      </c>
      <c r="F62" s="4">
        <f>ROUND(Source!AU43,O62)</f>
        <v>0</v>
      </c>
      <c r="G62" s="4" t="s">
        <v>129</v>
      </c>
      <c r="H62" s="4" t="s">
        <v>130</v>
      </c>
      <c r="I62" s="4"/>
      <c r="J62" s="4"/>
      <c r="K62" s="4">
        <v>217</v>
      </c>
      <c r="L62" s="4">
        <v>18</v>
      </c>
      <c r="M62" s="4">
        <v>3</v>
      </c>
      <c r="N62" s="4" t="s">
        <v>3</v>
      </c>
      <c r="O62" s="4">
        <v>2</v>
      </c>
      <c r="P62" s="4"/>
      <c r="Q62" s="4"/>
      <c r="R62" s="4"/>
      <c r="S62" s="4"/>
      <c r="T62" s="4"/>
      <c r="U62" s="4"/>
      <c r="V62" s="4"/>
      <c r="W62" s="4"/>
    </row>
    <row r="63" spans="1:23">
      <c r="A63" s="4">
        <v>50</v>
      </c>
      <c r="B63" s="4">
        <v>0</v>
      </c>
      <c r="C63" s="4">
        <v>0</v>
      </c>
      <c r="D63" s="4">
        <v>1</v>
      </c>
      <c r="E63" s="4">
        <v>230</v>
      </c>
      <c r="F63" s="4">
        <f>ROUND(Source!BA43,O63)</f>
        <v>0</v>
      </c>
      <c r="G63" s="4" t="s">
        <v>131</v>
      </c>
      <c r="H63" s="4" t="s">
        <v>132</v>
      </c>
      <c r="I63" s="4"/>
      <c r="J63" s="4"/>
      <c r="K63" s="4">
        <v>230</v>
      </c>
      <c r="L63" s="4">
        <v>19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/>
    </row>
    <row r="64" spans="1:23">
      <c r="A64" s="4">
        <v>50</v>
      </c>
      <c r="B64" s="4">
        <v>0</v>
      </c>
      <c r="C64" s="4">
        <v>0</v>
      </c>
      <c r="D64" s="4">
        <v>1</v>
      </c>
      <c r="E64" s="4">
        <v>206</v>
      </c>
      <c r="F64" s="4">
        <f>ROUND(Source!T43,O64)</f>
        <v>0</v>
      </c>
      <c r="G64" s="4" t="s">
        <v>133</v>
      </c>
      <c r="H64" s="4" t="s">
        <v>134</v>
      </c>
      <c r="I64" s="4"/>
      <c r="J64" s="4"/>
      <c r="K64" s="4">
        <v>206</v>
      </c>
      <c r="L64" s="4">
        <v>20</v>
      </c>
      <c r="M64" s="4">
        <v>3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/>
    </row>
    <row r="65" spans="1:206">
      <c r="A65" s="4">
        <v>50</v>
      </c>
      <c r="B65" s="4">
        <v>0</v>
      </c>
      <c r="C65" s="4">
        <v>0</v>
      </c>
      <c r="D65" s="4">
        <v>1</v>
      </c>
      <c r="E65" s="4">
        <v>207</v>
      </c>
      <c r="F65" s="4">
        <f>Source!U43</f>
        <v>50.203361999999991</v>
      </c>
      <c r="G65" s="4" t="s">
        <v>135</v>
      </c>
      <c r="H65" s="4" t="s">
        <v>136</v>
      </c>
      <c r="I65" s="4"/>
      <c r="J65" s="4"/>
      <c r="K65" s="4">
        <v>207</v>
      </c>
      <c r="L65" s="4">
        <v>21</v>
      </c>
      <c r="M65" s="4">
        <v>3</v>
      </c>
      <c r="N65" s="4" t="s">
        <v>3</v>
      </c>
      <c r="O65" s="4">
        <v>-1</v>
      </c>
      <c r="P65" s="4"/>
      <c r="Q65" s="4"/>
      <c r="R65" s="4"/>
      <c r="S65" s="4"/>
      <c r="T65" s="4"/>
      <c r="U65" s="4"/>
      <c r="V65" s="4"/>
      <c r="W65" s="4"/>
    </row>
    <row r="66" spans="1:206">
      <c r="A66" s="4">
        <v>50</v>
      </c>
      <c r="B66" s="4">
        <v>0</v>
      </c>
      <c r="C66" s="4">
        <v>0</v>
      </c>
      <c r="D66" s="4">
        <v>1</v>
      </c>
      <c r="E66" s="4">
        <v>208</v>
      </c>
      <c r="F66" s="4">
        <f>Source!V43</f>
        <v>0.37109999999999999</v>
      </c>
      <c r="G66" s="4" t="s">
        <v>137</v>
      </c>
      <c r="H66" s="4" t="s">
        <v>138</v>
      </c>
      <c r="I66" s="4"/>
      <c r="J66" s="4"/>
      <c r="K66" s="4">
        <v>208</v>
      </c>
      <c r="L66" s="4">
        <v>22</v>
      </c>
      <c r="M66" s="4">
        <v>3</v>
      </c>
      <c r="N66" s="4" t="s">
        <v>3</v>
      </c>
      <c r="O66" s="4">
        <v>-1</v>
      </c>
      <c r="P66" s="4"/>
      <c r="Q66" s="4"/>
      <c r="R66" s="4"/>
      <c r="S66" s="4"/>
      <c r="T66" s="4"/>
      <c r="U66" s="4"/>
      <c r="V66" s="4"/>
      <c r="W66" s="4"/>
    </row>
    <row r="67" spans="1:206">
      <c r="A67" s="4">
        <v>50</v>
      </c>
      <c r="B67" s="4">
        <v>0</v>
      </c>
      <c r="C67" s="4">
        <v>0</v>
      </c>
      <c r="D67" s="4">
        <v>1</v>
      </c>
      <c r="E67" s="4">
        <v>209</v>
      </c>
      <c r="F67" s="4">
        <f>ROUND(Source!W43,O67)</f>
        <v>18.72</v>
      </c>
      <c r="G67" s="4" t="s">
        <v>139</v>
      </c>
      <c r="H67" s="4" t="s">
        <v>140</v>
      </c>
      <c r="I67" s="4"/>
      <c r="J67" s="4"/>
      <c r="K67" s="4">
        <v>209</v>
      </c>
      <c r="L67" s="4">
        <v>23</v>
      </c>
      <c r="M67" s="4">
        <v>3</v>
      </c>
      <c r="N67" s="4" t="s">
        <v>3</v>
      </c>
      <c r="O67" s="4">
        <v>2</v>
      </c>
      <c r="P67" s="4"/>
      <c r="Q67" s="4"/>
      <c r="R67" s="4"/>
      <c r="S67" s="4"/>
      <c r="T67" s="4"/>
      <c r="U67" s="4"/>
      <c r="V67" s="4"/>
      <c r="W67" s="4"/>
    </row>
    <row r="68" spans="1:206">
      <c r="A68" s="4">
        <v>50</v>
      </c>
      <c r="B68" s="4">
        <v>0</v>
      </c>
      <c r="C68" s="4">
        <v>0</v>
      </c>
      <c r="D68" s="4">
        <v>1</v>
      </c>
      <c r="E68" s="4">
        <v>233</v>
      </c>
      <c r="F68" s="4">
        <f>ROUND(Source!BD43,O68)</f>
        <v>82.7</v>
      </c>
      <c r="G68" s="4" t="s">
        <v>141</v>
      </c>
      <c r="H68" s="4" t="s">
        <v>142</v>
      </c>
      <c r="I68" s="4"/>
      <c r="J68" s="4"/>
      <c r="K68" s="4">
        <v>233</v>
      </c>
      <c r="L68" s="4">
        <v>24</v>
      </c>
      <c r="M68" s="4">
        <v>3</v>
      </c>
      <c r="N68" s="4" t="s">
        <v>3</v>
      </c>
      <c r="O68" s="4">
        <v>2</v>
      </c>
      <c r="P68" s="4"/>
      <c r="Q68" s="4"/>
      <c r="R68" s="4"/>
      <c r="S68" s="4"/>
      <c r="T68" s="4"/>
      <c r="U68" s="4"/>
      <c r="V68" s="4"/>
      <c r="W68" s="4"/>
    </row>
    <row r="69" spans="1:206">
      <c r="A69" s="4">
        <v>50</v>
      </c>
      <c r="B69" s="4">
        <v>0</v>
      </c>
      <c r="C69" s="4">
        <v>0</v>
      </c>
      <c r="D69" s="4">
        <v>1</v>
      </c>
      <c r="E69" s="4">
        <v>210</v>
      </c>
      <c r="F69" s="4">
        <f>ROUND(Source!X43,O69)</f>
        <v>15066.56</v>
      </c>
      <c r="G69" s="4" t="s">
        <v>143</v>
      </c>
      <c r="H69" s="4" t="s">
        <v>144</v>
      </c>
      <c r="I69" s="4"/>
      <c r="J69" s="4"/>
      <c r="K69" s="4">
        <v>210</v>
      </c>
      <c r="L69" s="4">
        <v>25</v>
      </c>
      <c r="M69" s="4">
        <v>3</v>
      </c>
      <c r="N69" s="4" t="s">
        <v>3</v>
      </c>
      <c r="O69" s="4">
        <v>2</v>
      </c>
      <c r="P69" s="4"/>
      <c r="Q69" s="4"/>
      <c r="R69" s="4"/>
      <c r="S69" s="4"/>
      <c r="T69" s="4"/>
      <c r="U69" s="4"/>
      <c r="V69" s="4"/>
      <c r="W69" s="4"/>
    </row>
    <row r="70" spans="1:206">
      <c r="A70" s="4">
        <v>50</v>
      </c>
      <c r="B70" s="4">
        <v>0</v>
      </c>
      <c r="C70" s="4">
        <v>0</v>
      </c>
      <c r="D70" s="4">
        <v>1</v>
      </c>
      <c r="E70" s="4">
        <v>211</v>
      </c>
      <c r="F70" s="4">
        <f>ROUND(Source!Y43,O70)</f>
        <v>7789.2</v>
      </c>
      <c r="G70" s="4" t="s">
        <v>145</v>
      </c>
      <c r="H70" s="4" t="s">
        <v>146</v>
      </c>
      <c r="I70" s="4"/>
      <c r="J70" s="4"/>
      <c r="K70" s="4">
        <v>211</v>
      </c>
      <c r="L70" s="4">
        <v>26</v>
      </c>
      <c r="M70" s="4">
        <v>3</v>
      </c>
      <c r="N70" s="4" t="s">
        <v>3</v>
      </c>
      <c r="O70" s="4">
        <v>2</v>
      </c>
      <c r="P70" s="4"/>
      <c r="Q70" s="4"/>
      <c r="R70" s="4"/>
      <c r="S70" s="4"/>
      <c r="T70" s="4"/>
      <c r="U70" s="4"/>
      <c r="V70" s="4"/>
      <c r="W70" s="4"/>
    </row>
    <row r="71" spans="1:206">
      <c r="A71" s="4">
        <v>50</v>
      </c>
      <c r="B71" s="4">
        <v>0</v>
      </c>
      <c r="C71" s="4">
        <v>0</v>
      </c>
      <c r="D71" s="4">
        <v>1</v>
      </c>
      <c r="E71" s="4">
        <v>224</v>
      </c>
      <c r="F71" s="4">
        <f>ROUND(Source!AR43,O71)</f>
        <v>52907.94</v>
      </c>
      <c r="G71" s="4" t="s">
        <v>147</v>
      </c>
      <c r="H71" s="4" t="s">
        <v>148</v>
      </c>
      <c r="I71" s="4"/>
      <c r="J71" s="4"/>
      <c r="K71" s="4">
        <v>224</v>
      </c>
      <c r="L71" s="4">
        <v>27</v>
      </c>
      <c r="M71" s="4">
        <v>3</v>
      </c>
      <c r="N71" s="4" t="s">
        <v>3</v>
      </c>
      <c r="O71" s="4">
        <v>2</v>
      </c>
      <c r="P71" s="4"/>
      <c r="Q71" s="4"/>
      <c r="R71" s="4"/>
      <c r="S71" s="4"/>
      <c r="T71" s="4"/>
      <c r="U71" s="4"/>
      <c r="V71" s="4"/>
      <c r="W71" s="4"/>
    </row>
    <row r="73" spans="1:206">
      <c r="A73" s="2">
        <v>51</v>
      </c>
      <c r="B73" s="2">
        <f>B20</f>
        <v>1</v>
      </c>
      <c r="C73" s="2">
        <f>A20</f>
        <v>3</v>
      </c>
      <c r="D73" s="2">
        <f>ROW(A20)</f>
        <v>20</v>
      </c>
      <c r="E73" s="2"/>
      <c r="F73" s="2" t="str">
        <f>IF(F20&lt;&gt;"",F20,"")</f>
        <v>Новая локальная смета</v>
      </c>
      <c r="G73" s="2" t="str">
        <f>IF(G20&lt;&gt;"",G20,"")</f>
        <v>Новая локальная смета</v>
      </c>
      <c r="H73" s="2">
        <v>0</v>
      </c>
      <c r="I73" s="2"/>
      <c r="J73" s="2"/>
      <c r="K73" s="2"/>
      <c r="L73" s="2"/>
      <c r="M73" s="2"/>
      <c r="N73" s="2"/>
      <c r="O73" s="2">
        <f t="shared" ref="O73:T73" si="60">ROUND(O43+AB73,2)</f>
        <v>57335.88</v>
      </c>
      <c r="P73" s="2">
        <f t="shared" si="60"/>
        <v>26521.37</v>
      </c>
      <c r="Q73" s="2">
        <f t="shared" si="60"/>
        <v>2363.8000000000002</v>
      </c>
      <c r="R73" s="2">
        <f t="shared" si="60"/>
        <v>167.59</v>
      </c>
      <c r="S73" s="2">
        <f t="shared" si="60"/>
        <v>28450.71</v>
      </c>
      <c r="T73" s="2">
        <f t="shared" si="60"/>
        <v>0</v>
      </c>
      <c r="U73" s="2">
        <f>U43+AH73</f>
        <v>92.838961999999981</v>
      </c>
      <c r="V73" s="2">
        <f>V43+AI73</f>
        <v>0.375475</v>
      </c>
      <c r="W73" s="2">
        <f>ROUND(W43+AJ73,2)</f>
        <v>92.74</v>
      </c>
      <c r="X73" s="2">
        <f>ROUND(X43+AK73,2)</f>
        <v>28129.7</v>
      </c>
      <c r="Y73" s="2">
        <f>ROUND(Y43+AL73,2)</f>
        <v>14385.47</v>
      </c>
      <c r="Z73" s="2"/>
      <c r="AA73" s="2"/>
      <c r="AB73" s="2">
        <f>ROUND(SUMIF(AA24:AA31,"=35798216",O24:O31),2)</f>
        <v>27283.7</v>
      </c>
      <c r="AC73" s="2">
        <f>ROUND(SUMIF(AA24:AA31,"=35798216",P24:P31),2)</f>
        <v>14474.03</v>
      </c>
      <c r="AD73" s="2">
        <f>ROUND(SUMIF(AA24:AA31,"=35798216",Q24:Q31),2)</f>
        <v>52.93</v>
      </c>
      <c r="AE73" s="2">
        <f>ROUND(SUMIF(AA24:AA31,"=35798216",R24:R31),2)</f>
        <v>2.02</v>
      </c>
      <c r="AF73" s="2">
        <f>ROUND(SUMIF(AA24:AA31,"=35798216",S24:S31),2)</f>
        <v>12756.74</v>
      </c>
      <c r="AG73" s="2">
        <f>ROUND(SUMIF(AA24:AA31,"=35798216",T24:T31),2)</f>
        <v>0</v>
      </c>
      <c r="AH73" s="2">
        <f>SUMIF(AA24:AA31,"=35798216",U24:U31)</f>
        <v>42.63559999999999</v>
      </c>
      <c r="AI73" s="2">
        <f>SUMIF(AA24:AA31,"=35798216",V24:V31)</f>
        <v>4.3749999999999995E-3</v>
      </c>
      <c r="AJ73" s="2">
        <f>ROUND(SUMIF(AA24:AA31,"=35798216",W24:W31),2)</f>
        <v>74.02</v>
      </c>
      <c r="AK73" s="2">
        <f>ROUND(SUMIF(AA24:AA31,"=35798216",X24:X31),2)</f>
        <v>13063.14</v>
      </c>
      <c r="AL73" s="2">
        <f>ROUND(SUMIF(AA24:AA31,"=35798216",Y24:Y31),2)</f>
        <v>6596.27</v>
      </c>
      <c r="AM73" s="2"/>
      <c r="AN73" s="2"/>
      <c r="AO73" s="2">
        <f t="shared" ref="AO73:BD73" si="61">ROUND(AO43+BX73,2)</f>
        <v>0</v>
      </c>
      <c r="AP73" s="2">
        <f t="shared" si="61"/>
        <v>0</v>
      </c>
      <c r="AQ73" s="2">
        <f t="shared" si="61"/>
        <v>0</v>
      </c>
      <c r="AR73" s="2">
        <f t="shared" si="61"/>
        <v>99851.05</v>
      </c>
      <c r="AS73" s="2">
        <f t="shared" si="61"/>
        <v>92549.89</v>
      </c>
      <c r="AT73" s="2">
        <f t="shared" si="61"/>
        <v>7301.16</v>
      </c>
      <c r="AU73" s="2">
        <f t="shared" si="61"/>
        <v>0</v>
      </c>
      <c r="AV73" s="2">
        <f t="shared" si="61"/>
        <v>26521.37</v>
      </c>
      <c r="AW73" s="2">
        <f t="shared" si="61"/>
        <v>26521.37</v>
      </c>
      <c r="AX73" s="2">
        <f t="shared" si="61"/>
        <v>0</v>
      </c>
      <c r="AY73" s="2">
        <f t="shared" si="61"/>
        <v>26521.37</v>
      </c>
      <c r="AZ73" s="2">
        <f t="shared" si="61"/>
        <v>0</v>
      </c>
      <c r="BA73" s="2">
        <f t="shared" si="61"/>
        <v>0</v>
      </c>
      <c r="BB73" s="2">
        <f t="shared" si="61"/>
        <v>0</v>
      </c>
      <c r="BC73" s="2">
        <f t="shared" si="61"/>
        <v>0</v>
      </c>
      <c r="BD73" s="2">
        <f t="shared" si="61"/>
        <v>82.7</v>
      </c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>
        <f>ROUND(SUMIF(AA24:AA31,"=35798216",FQ24:FQ31),2)</f>
        <v>0</v>
      </c>
      <c r="BY73" s="2">
        <f>ROUND(SUMIF(AA24:AA31,"=35798216",FR24:FR31),2)</f>
        <v>0</v>
      </c>
      <c r="BZ73" s="2">
        <f>ROUND(SUMIF(AA24:AA31,"=35798216",GL24:GL31),2)</f>
        <v>0</v>
      </c>
      <c r="CA73" s="2">
        <f>ROUND(SUMIF(AA24:AA31,"=35798216",GM24:GM31),2)</f>
        <v>46943.11</v>
      </c>
      <c r="CB73" s="2">
        <f>ROUND(SUMIF(AA24:AA31,"=35798216",GN24:GN31),2)</f>
        <v>46943.11</v>
      </c>
      <c r="CC73" s="2">
        <f>ROUND(SUMIF(AA24:AA31,"=35798216",GO24:GO31),2)</f>
        <v>0</v>
      </c>
      <c r="CD73" s="2">
        <f>ROUND(SUMIF(AA24:AA31,"=35798216",GP24:GP31),2)</f>
        <v>0</v>
      </c>
      <c r="CE73" s="2">
        <f>AC73-BX73</f>
        <v>14474.03</v>
      </c>
      <c r="CF73" s="2">
        <f>AC73-BY73</f>
        <v>14474.03</v>
      </c>
      <c r="CG73" s="2">
        <f>BX73-BZ73</f>
        <v>0</v>
      </c>
      <c r="CH73" s="2">
        <f>AC73-BX73-BY73+BZ73</f>
        <v>14474.03</v>
      </c>
      <c r="CI73" s="2">
        <f>BY73-BZ73</f>
        <v>0</v>
      </c>
      <c r="CJ73" s="2">
        <f>ROUND(SUMIF(AA24:AA31,"=35798216",GX24:GX31),2)</f>
        <v>0</v>
      </c>
      <c r="CK73" s="2">
        <f>ROUND(SUMIF(AA24:AA31,"=35798216",GY24:GY31),2)</f>
        <v>0</v>
      </c>
      <c r="CL73" s="2">
        <f>ROUND(SUMIF(AA24:AA31,"=35798216",GZ24:GZ31),2)</f>
        <v>0</v>
      </c>
      <c r="CM73" s="2">
        <f>ROUND(SUMIF(AA24:AA31,"=35798216",HD24:HD31),2)</f>
        <v>0</v>
      </c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>
        <v>0</v>
      </c>
    </row>
    <row r="75" spans="1:206">
      <c r="A75" s="4">
        <v>50</v>
      </c>
      <c r="B75" s="4">
        <v>0</v>
      </c>
      <c r="C75" s="4">
        <v>0</v>
      </c>
      <c r="D75" s="4">
        <v>1</v>
      </c>
      <c r="E75" s="4">
        <v>201</v>
      </c>
      <c r="F75" s="4">
        <f>ROUND(Source!O73,O75)</f>
        <v>57335.88</v>
      </c>
      <c r="G75" s="4" t="s">
        <v>95</v>
      </c>
      <c r="H75" s="4" t="s">
        <v>96</v>
      </c>
      <c r="I75" s="4"/>
      <c r="J75" s="4"/>
      <c r="K75" s="4">
        <v>201</v>
      </c>
      <c r="L75" s="4">
        <v>1</v>
      </c>
      <c r="M75" s="4">
        <v>3</v>
      </c>
      <c r="N75" s="4" t="s">
        <v>3</v>
      </c>
      <c r="O75" s="4">
        <v>2</v>
      </c>
      <c r="P75" s="4"/>
      <c r="Q75" s="4"/>
      <c r="R75" s="4"/>
      <c r="S75" s="4"/>
      <c r="T75" s="4"/>
      <c r="U75" s="4"/>
      <c r="V75" s="4"/>
      <c r="W75" s="4"/>
    </row>
    <row r="76" spans="1:206">
      <c r="A76" s="4">
        <v>50</v>
      </c>
      <c r="B76" s="4">
        <v>0</v>
      </c>
      <c r="C76" s="4">
        <v>0</v>
      </c>
      <c r="D76" s="4">
        <v>1</v>
      </c>
      <c r="E76" s="4">
        <v>202</v>
      </c>
      <c r="F76" s="4">
        <f>ROUND(Source!P73,O76)</f>
        <v>26521.37</v>
      </c>
      <c r="G76" s="4" t="s">
        <v>97</v>
      </c>
      <c r="H76" s="4" t="s">
        <v>98</v>
      </c>
      <c r="I76" s="4"/>
      <c r="J76" s="4"/>
      <c r="K76" s="4">
        <v>202</v>
      </c>
      <c r="L76" s="4">
        <v>2</v>
      </c>
      <c r="M76" s="4">
        <v>3</v>
      </c>
      <c r="N76" s="4" t="s">
        <v>3</v>
      </c>
      <c r="O76" s="4">
        <v>2</v>
      </c>
      <c r="P76" s="4"/>
      <c r="Q76" s="4"/>
      <c r="R76" s="4"/>
      <c r="S76" s="4"/>
      <c r="T76" s="4"/>
      <c r="U76" s="4"/>
      <c r="V76" s="4"/>
      <c r="W76" s="4"/>
    </row>
    <row r="77" spans="1:206">
      <c r="A77" s="4">
        <v>50</v>
      </c>
      <c r="B77" s="4">
        <v>0</v>
      </c>
      <c r="C77" s="4">
        <v>0</v>
      </c>
      <c r="D77" s="4">
        <v>1</v>
      </c>
      <c r="E77" s="4">
        <v>222</v>
      </c>
      <c r="F77" s="4">
        <f>ROUND(Source!AO73,O77)</f>
        <v>0</v>
      </c>
      <c r="G77" s="4" t="s">
        <v>99</v>
      </c>
      <c r="H77" s="4" t="s">
        <v>100</v>
      </c>
      <c r="I77" s="4"/>
      <c r="J77" s="4"/>
      <c r="K77" s="4">
        <v>222</v>
      </c>
      <c r="L77" s="4">
        <v>3</v>
      </c>
      <c r="M77" s="4">
        <v>3</v>
      </c>
      <c r="N77" s="4" t="s">
        <v>3</v>
      </c>
      <c r="O77" s="4">
        <v>2</v>
      </c>
      <c r="P77" s="4"/>
      <c r="Q77" s="4"/>
      <c r="R77" s="4"/>
      <c r="S77" s="4"/>
      <c r="T77" s="4"/>
      <c r="U77" s="4"/>
      <c r="V77" s="4"/>
      <c r="W77" s="4"/>
    </row>
    <row r="78" spans="1:206">
      <c r="A78" s="4">
        <v>50</v>
      </c>
      <c r="B78" s="4">
        <v>0</v>
      </c>
      <c r="C78" s="4">
        <v>0</v>
      </c>
      <c r="D78" s="4">
        <v>1</v>
      </c>
      <c r="E78" s="4">
        <v>225</v>
      </c>
      <c r="F78" s="4">
        <f>ROUND(Source!AV73,O78)</f>
        <v>26521.37</v>
      </c>
      <c r="G78" s="4" t="s">
        <v>101</v>
      </c>
      <c r="H78" s="4" t="s">
        <v>102</v>
      </c>
      <c r="I78" s="4"/>
      <c r="J78" s="4"/>
      <c r="K78" s="4">
        <v>225</v>
      </c>
      <c r="L78" s="4">
        <v>4</v>
      </c>
      <c r="M78" s="4">
        <v>3</v>
      </c>
      <c r="N78" s="4" t="s">
        <v>3</v>
      </c>
      <c r="O78" s="4">
        <v>2</v>
      </c>
      <c r="P78" s="4"/>
      <c r="Q78" s="4"/>
      <c r="R78" s="4"/>
      <c r="S78" s="4"/>
      <c r="T78" s="4"/>
      <c r="U78" s="4"/>
      <c r="V78" s="4"/>
      <c r="W78" s="4"/>
    </row>
    <row r="79" spans="1:206">
      <c r="A79" s="4">
        <v>50</v>
      </c>
      <c r="B79" s="4">
        <v>0</v>
      </c>
      <c r="C79" s="4">
        <v>0</v>
      </c>
      <c r="D79" s="4">
        <v>1</v>
      </c>
      <c r="E79" s="4">
        <v>226</v>
      </c>
      <c r="F79" s="4">
        <f>ROUND(Source!AW73,O79)</f>
        <v>26521.37</v>
      </c>
      <c r="G79" s="4" t="s">
        <v>103</v>
      </c>
      <c r="H79" s="4" t="s">
        <v>104</v>
      </c>
      <c r="I79" s="4"/>
      <c r="J79" s="4"/>
      <c r="K79" s="4">
        <v>226</v>
      </c>
      <c r="L79" s="4">
        <v>5</v>
      </c>
      <c r="M79" s="4">
        <v>3</v>
      </c>
      <c r="N79" s="4" t="s">
        <v>3</v>
      </c>
      <c r="O79" s="4">
        <v>2</v>
      </c>
      <c r="P79" s="4"/>
      <c r="Q79" s="4"/>
      <c r="R79" s="4"/>
      <c r="S79" s="4"/>
      <c r="T79" s="4"/>
      <c r="U79" s="4"/>
      <c r="V79" s="4"/>
      <c r="W79" s="4"/>
    </row>
    <row r="80" spans="1:206">
      <c r="A80" s="4">
        <v>50</v>
      </c>
      <c r="B80" s="4">
        <v>0</v>
      </c>
      <c r="C80" s="4">
        <v>0</v>
      </c>
      <c r="D80" s="4">
        <v>1</v>
      </c>
      <c r="E80" s="4">
        <v>227</v>
      </c>
      <c r="F80" s="4">
        <f>ROUND(Source!AX73,O80)</f>
        <v>0</v>
      </c>
      <c r="G80" s="4" t="s">
        <v>105</v>
      </c>
      <c r="H80" s="4" t="s">
        <v>106</v>
      </c>
      <c r="I80" s="4"/>
      <c r="J80" s="4"/>
      <c r="K80" s="4">
        <v>227</v>
      </c>
      <c r="L80" s="4">
        <v>6</v>
      </c>
      <c r="M80" s="4">
        <v>3</v>
      </c>
      <c r="N80" s="4" t="s">
        <v>3</v>
      </c>
      <c r="O80" s="4">
        <v>2</v>
      </c>
      <c r="P80" s="4"/>
      <c r="Q80" s="4"/>
      <c r="R80" s="4"/>
      <c r="S80" s="4"/>
      <c r="T80" s="4"/>
      <c r="U80" s="4"/>
      <c r="V80" s="4"/>
      <c r="W80" s="4"/>
    </row>
    <row r="81" spans="1:23">
      <c r="A81" s="4">
        <v>50</v>
      </c>
      <c r="B81" s="4">
        <v>0</v>
      </c>
      <c r="C81" s="4">
        <v>0</v>
      </c>
      <c r="D81" s="4">
        <v>1</v>
      </c>
      <c r="E81" s="4">
        <v>228</v>
      </c>
      <c r="F81" s="4">
        <f>ROUND(Source!AY73,O81)</f>
        <v>26521.37</v>
      </c>
      <c r="G81" s="4" t="s">
        <v>107</v>
      </c>
      <c r="H81" s="4" t="s">
        <v>108</v>
      </c>
      <c r="I81" s="4"/>
      <c r="J81" s="4"/>
      <c r="K81" s="4">
        <v>228</v>
      </c>
      <c r="L81" s="4">
        <v>7</v>
      </c>
      <c r="M81" s="4">
        <v>3</v>
      </c>
      <c r="N81" s="4" t="s">
        <v>3</v>
      </c>
      <c r="O81" s="4">
        <v>2</v>
      </c>
      <c r="P81" s="4"/>
      <c r="Q81" s="4"/>
      <c r="R81" s="4"/>
      <c r="S81" s="4"/>
      <c r="T81" s="4"/>
      <c r="U81" s="4"/>
      <c r="V81" s="4"/>
      <c r="W81" s="4"/>
    </row>
    <row r="82" spans="1:23">
      <c r="A82" s="4">
        <v>50</v>
      </c>
      <c r="B82" s="4">
        <v>0</v>
      </c>
      <c r="C82" s="4">
        <v>0</v>
      </c>
      <c r="D82" s="4">
        <v>1</v>
      </c>
      <c r="E82" s="4">
        <v>216</v>
      </c>
      <c r="F82" s="4">
        <f>ROUND(Source!AP73,O82)</f>
        <v>0</v>
      </c>
      <c r="G82" s="4" t="s">
        <v>109</v>
      </c>
      <c r="H82" s="4" t="s">
        <v>110</v>
      </c>
      <c r="I82" s="4"/>
      <c r="J82" s="4"/>
      <c r="K82" s="4">
        <v>216</v>
      </c>
      <c r="L82" s="4">
        <v>8</v>
      </c>
      <c r="M82" s="4">
        <v>3</v>
      </c>
      <c r="N82" s="4" t="s">
        <v>3</v>
      </c>
      <c r="O82" s="4">
        <v>2</v>
      </c>
      <c r="P82" s="4"/>
      <c r="Q82" s="4"/>
      <c r="R82" s="4"/>
      <c r="S82" s="4"/>
      <c r="T82" s="4"/>
      <c r="U82" s="4"/>
      <c r="V82" s="4"/>
      <c r="W82" s="4"/>
    </row>
    <row r="83" spans="1:23">
      <c r="A83" s="4">
        <v>50</v>
      </c>
      <c r="B83" s="4">
        <v>0</v>
      </c>
      <c r="C83" s="4">
        <v>0</v>
      </c>
      <c r="D83" s="4">
        <v>1</v>
      </c>
      <c r="E83" s="4">
        <v>223</v>
      </c>
      <c r="F83" s="4">
        <f>ROUND(Source!AQ73,O83)</f>
        <v>0</v>
      </c>
      <c r="G83" s="4" t="s">
        <v>111</v>
      </c>
      <c r="H83" s="4" t="s">
        <v>112</v>
      </c>
      <c r="I83" s="4"/>
      <c r="J83" s="4"/>
      <c r="K83" s="4">
        <v>223</v>
      </c>
      <c r="L83" s="4">
        <v>9</v>
      </c>
      <c r="M83" s="4">
        <v>3</v>
      </c>
      <c r="N83" s="4" t="s">
        <v>3</v>
      </c>
      <c r="O83" s="4">
        <v>2</v>
      </c>
      <c r="P83" s="4"/>
      <c r="Q83" s="4"/>
      <c r="R83" s="4"/>
      <c r="S83" s="4"/>
      <c r="T83" s="4"/>
      <c r="U83" s="4"/>
      <c r="V83" s="4"/>
      <c r="W83" s="4"/>
    </row>
    <row r="84" spans="1:23">
      <c r="A84" s="4">
        <v>50</v>
      </c>
      <c r="B84" s="4">
        <v>0</v>
      </c>
      <c r="C84" s="4">
        <v>0</v>
      </c>
      <c r="D84" s="4">
        <v>1</v>
      </c>
      <c r="E84" s="4">
        <v>229</v>
      </c>
      <c r="F84" s="4">
        <f>ROUND(Source!AZ73,O84)</f>
        <v>0</v>
      </c>
      <c r="G84" s="4" t="s">
        <v>113</v>
      </c>
      <c r="H84" s="4" t="s">
        <v>114</v>
      </c>
      <c r="I84" s="4"/>
      <c r="J84" s="4"/>
      <c r="K84" s="4">
        <v>229</v>
      </c>
      <c r="L84" s="4">
        <v>10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/>
    </row>
    <row r="85" spans="1:23">
      <c r="A85" s="4">
        <v>50</v>
      </c>
      <c r="B85" s="4">
        <v>0</v>
      </c>
      <c r="C85" s="4">
        <v>0</v>
      </c>
      <c r="D85" s="4">
        <v>1</v>
      </c>
      <c r="E85" s="4">
        <v>203</v>
      </c>
      <c r="F85" s="4">
        <f>ROUND(Source!Q73,O85)</f>
        <v>2363.8000000000002</v>
      </c>
      <c r="G85" s="4" t="s">
        <v>115</v>
      </c>
      <c r="H85" s="4" t="s">
        <v>116</v>
      </c>
      <c r="I85" s="4"/>
      <c r="J85" s="4"/>
      <c r="K85" s="4">
        <v>203</v>
      </c>
      <c r="L85" s="4">
        <v>11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/>
    </row>
    <row r="86" spans="1:23">
      <c r="A86" s="4">
        <v>50</v>
      </c>
      <c r="B86" s="4">
        <v>0</v>
      </c>
      <c r="C86" s="4">
        <v>0</v>
      </c>
      <c r="D86" s="4">
        <v>1</v>
      </c>
      <c r="E86" s="4">
        <v>231</v>
      </c>
      <c r="F86" s="4">
        <f>ROUND(Source!BB73,O86)</f>
        <v>0</v>
      </c>
      <c r="G86" s="4" t="s">
        <v>117</v>
      </c>
      <c r="H86" s="4" t="s">
        <v>118</v>
      </c>
      <c r="I86" s="4"/>
      <c r="J86" s="4"/>
      <c r="K86" s="4">
        <v>231</v>
      </c>
      <c r="L86" s="4">
        <v>12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/>
    </row>
    <row r="87" spans="1:23">
      <c r="A87" s="4">
        <v>50</v>
      </c>
      <c r="B87" s="4">
        <v>0</v>
      </c>
      <c r="C87" s="4">
        <v>0</v>
      </c>
      <c r="D87" s="4">
        <v>1</v>
      </c>
      <c r="E87" s="4">
        <v>204</v>
      </c>
      <c r="F87" s="4">
        <f>ROUND(Source!R73,O87)</f>
        <v>167.59</v>
      </c>
      <c r="G87" s="4" t="s">
        <v>119</v>
      </c>
      <c r="H87" s="4" t="s">
        <v>120</v>
      </c>
      <c r="I87" s="4"/>
      <c r="J87" s="4"/>
      <c r="K87" s="4">
        <v>204</v>
      </c>
      <c r="L87" s="4">
        <v>13</v>
      </c>
      <c r="M87" s="4">
        <v>3</v>
      </c>
      <c r="N87" s="4" t="s">
        <v>3</v>
      </c>
      <c r="O87" s="4">
        <v>2</v>
      </c>
      <c r="P87" s="4"/>
      <c r="Q87" s="4"/>
      <c r="R87" s="4"/>
      <c r="S87" s="4"/>
      <c r="T87" s="4"/>
      <c r="U87" s="4"/>
      <c r="V87" s="4"/>
      <c r="W87" s="4"/>
    </row>
    <row r="88" spans="1:23">
      <c r="A88" s="4">
        <v>50</v>
      </c>
      <c r="B88" s="4">
        <v>0</v>
      </c>
      <c r="C88" s="4">
        <v>0</v>
      </c>
      <c r="D88" s="4">
        <v>1</v>
      </c>
      <c r="E88" s="4">
        <v>205</v>
      </c>
      <c r="F88" s="4">
        <f>ROUND(Source!S73,O88)</f>
        <v>28450.71</v>
      </c>
      <c r="G88" s="4" t="s">
        <v>121</v>
      </c>
      <c r="H88" s="4" t="s">
        <v>122</v>
      </c>
      <c r="I88" s="4"/>
      <c r="J88" s="4"/>
      <c r="K88" s="4">
        <v>205</v>
      </c>
      <c r="L88" s="4">
        <v>14</v>
      </c>
      <c r="M88" s="4">
        <v>3</v>
      </c>
      <c r="N88" s="4" t="s">
        <v>3</v>
      </c>
      <c r="O88" s="4">
        <v>2</v>
      </c>
      <c r="P88" s="4"/>
      <c r="Q88" s="4"/>
      <c r="R88" s="4"/>
      <c r="S88" s="4"/>
      <c r="T88" s="4"/>
      <c r="U88" s="4"/>
      <c r="V88" s="4"/>
      <c r="W88" s="4"/>
    </row>
    <row r="89" spans="1:23">
      <c r="A89" s="4">
        <v>50</v>
      </c>
      <c r="B89" s="4">
        <v>0</v>
      </c>
      <c r="C89" s="4">
        <v>0</v>
      </c>
      <c r="D89" s="4">
        <v>1</v>
      </c>
      <c r="E89" s="4">
        <v>232</v>
      </c>
      <c r="F89" s="4">
        <f>ROUND(Source!BC73,O89)</f>
        <v>0</v>
      </c>
      <c r="G89" s="4" t="s">
        <v>123</v>
      </c>
      <c r="H89" s="4" t="s">
        <v>124</v>
      </c>
      <c r="I89" s="4"/>
      <c r="J89" s="4"/>
      <c r="K89" s="4">
        <v>232</v>
      </c>
      <c r="L89" s="4">
        <v>15</v>
      </c>
      <c r="M89" s="4">
        <v>3</v>
      </c>
      <c r="N89" s="4" t="s">
        <v>3</v>
      </c>
      <c r="O89" s="4">
        <v>2</v>
      </c>
      <c r="P89" s="4"/>
      <c r="Q89" s="4"/>
      <c r="R89" s="4"/>
      <c r="S89" s="4"/>
      <c r="T89" s="4"/>
      <c r="U89" s="4"/>
      <c r="V89" s="4"/>
      <c r="W89" s="4"/>
    </row>
    <row r="90" spans="1:23">
      <c r="A90" s="4">
        <v>50</v>
      </c>
      <c r="B90" s="4">
        <v>0</v>
      </c>
      <c r="C90" s="4">
        <v>0</v>
      </c>
      <c r="D90" s="4">
        <v>1</v>
      </c>
      <c r="E90" s="4">
        <v>214</v>
      </c>
      <c r="F90" s="4">
        <f>ROUND(Source!AS73,O90)</f>
        <v>92549.89</v>
      </c>
      <c r="G90" s="4" t="s">
        <v>125</v>
      </c>
      <c r="H90" s="4" t="s">
        <v>126</v>
      </c>
      <c r="I90" s="4"/>
      <c r="J90" s="4"/>
      <c r="K90" s="4">
        <v>214</v>
      </c>
      <c r="L90" s="4">
        <v>16</v>
      </c>
      <c r="M90" s="4">
        <v>3</v>
      </c>
      <c r="N90" s="4" t="s">
        <v>3</v>
      </c>
      <c r="O90" s="4">
        <v>2</v>
      </c>
      <c r="P90" s="4"/>
      <c r="Q90" s="4"/>
      <c r="R90" s="4"/>
      <c r="S90" s="4"/>
      <c r="T90" s="4"/>
      <c r="U90" s="4"/>
      <c r="V90" s="4"/>
      <c r="W90" s="4"/>
    </row>
    <row r="91" spans="1:23">
      <c r="A91" s="4">
        <v>50</v>
      </c>
      <c r="B91" s="4">
        <v>0</v>
      </c>
      <c r="C91" s="4">
        <v>0</v>
      </c>
      <c r="D91" s="4">
        <v>1</v>
      </c>
      <c r="E91" s="4">
        <v>215</v>
      </c>
      <c r="F91" s="4">
        <f>ROUND(Source!AT73,O91)</f>
        <v>7301.16</v>
      </c>
      <c r="G91" s="4" t="s">
        <v>127</v>
      </c>
      <c r="H91" s="4" t="s">
        <v>128</v>
      </c>
      <c r="I91" s="4"/>
      <c r="J91" s="4"/>
      <c r="K91" s="4">
        <v>215</v>
      </c>
      <c r="L91" s="4">
        <v>17</v>
      </c>
      <c r="M91" s="4">
        <v>3</v>
      </c>
      <c r="N91" s="4" t="s">
        <v>3</v>
      </c>
      <c r="O91" s="4">
        <v>2</v>
      </c>
      <c r="P91" s="4"/>
      <c r="Q91" s="4"/>
      <c r="R91" s="4"/>
      <c r="S91" s="4"/>
      <c r="T91" s="4"/>
      <c r="U91" s="4"/>
      <c r="V91" s="4"/>
      <c r="W91" s="4"/>
    </row>
    <row r="92" spans="1:23">
      <c r="A92" s="4">
        <v>50</v>
      </c>
      <c r="B92" s="4">
        <v>0</v>
      </c>
      <c r="C92" s="4">
        <v>0</v>
      </c>
      <c r="D92" s="4">
        <v>1</v>
      </c>
      <c r="E92" s="4">
        <v>217</v>
      </c>
      <c r="F92" s="4">
        <f>ROUND(Source!AU73,O92)</f>
        <v>0</v>
      </c>
      <c r="G92" s="4" t="s">
        <v>129</v>
      </c>
      <c r="H92" s="4" t="s">
        <v>130</v>
      </c>
      <c r="I92" s="4"/>
      <c r="J92" s="4"/>
      <c r="K92" s="4">
        <v>217</v>
      </c>
      <c r="L92" s="4">
        <v>18</v>
      </c>
      <c r="M92" s="4">
        <v>3</v>
      </c>
      <c r="N92" s="4" t="s">
        <v>3</v>
      </c>
      <c r="O92" s="4">
        <v>2</v>
      </c>
      <c r="P92" s="4"/>
      <c r="Q92" s="4"/>
      <c r="R92" s="4"/>
      <c r="S92" s="4"/>
      <c r="T92" s="4"/>
      <c r="U92" s="4"/>
      <c r="V92" s="4"/>
      <c r="W92" s="4"/>
    </row>
    <row r="93" spans="1:23">
      <c r="A93" s="4">
        <v>50</v>
      </c>
      <c r="B93" s="4">
        <v>0</v>
      </c>
      <c r="C93" s="4">
        <v>0</v>
      </c>
      <c r="D93" s="4">
        <v>1</v>
      </c>
      <c r="E93" s="4">
        <v>230</v>
      </c>
      <c r="F93" s="4">
        <f>ROUND(Source!BA73,O93)</f>
        <v>0</v>
      </c>
      <c r="G93" s="4" t="s">
        <v>131</v>
      </c>
      <c r="H93" s="4" t="s">
        <v>132</v>
      </c>
      <c r="I93" s="4"/>
      <c r="J93" s="4"/>
      <c r="K93" s="4">
        <v>230</v>
      </c>
      <c r="L93" s="4">
        <v>19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/>
    </row>
    <row r="94" spans="1:23">
      <c r="A94" s="4">
        <v>50</v>
      </c>
      <c r="B94" s="4">
        <v>0</v>
      </c>
      <c r="C94" s="4">
        <v>0</v>
      </c>
      <c r="D94" s="4">
        <v>1</v>
      </c>
      <c r="E94" s="4">
        <v>206</v>
      </c>
      <c r="F94" s="4">
        <f>ROUND(Source!T73,O94)</f>
        <v>0</v>
      </c>
      <c r="G94" s="4" t="s">
        <v>133</v>
      </c>
      <c r="H94" s="4" t="s">
        <v>134</v>
      </c>
      <c r="I94" s="4"/>
      <c r="J94" s="4"/>
      <c r="K94" s="4">
        <v>206</v>
      </c>
      <c r="L94" s="4">
        <v>20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/>
    </row>
    <row r="95" spans="1:23">
      <c r="A95" s="4">
        <v>50</v>
      </c>
      <c r="B95" s="4">
        <v>0</v>
      </c>
      <c r="C95" s="4">
        <v>0</v>
      </c>
      <c r="D95" s="4">
        <v>1</v>
      </c>
      <c r="E95" s="4">
        <v>207</v>
      </c>
      <c r="F95" s="4">
        <f>Source!U73</f>
        <v>92.838961999999981</v>
      </c>
      <c r="G95" s="4" t="s">
        <v>135</v>
      </c>
      <c r="H95" s="4" t="s">
        <v>136</v>
      </c>
      <c r="I95" s="4"/>
      <c r="J95" s="4"/>
      <c r="K95" s="4">
        <v>207</v>
      </c>
      <c r="L95" s="4">
        <v>21</v>
      </c>
      <c r="M95" s="4">
        <v>3</v>
      </c>
      <c r="N95" s="4" t="s">
        <v>3</v>
      </c>
      <c r="O95" s="4">
        <v>-1</v>
      </c>
      <c r="P95" s="4"/>
      <c r="Q95" s="4"/>
      <c r="R95" s="4"/>
      <c r="S95" s="4"/>
      <c r="T95" s="4"/>
      <c r="U95" s="4"/>
      <c r="V95" s="4"/>
      <c r="W95" s="4"/>
    </row>
    <row r="96" spans="1:23">
      <c r="A96" s="4">
        <v>50</v>
      </c>
      <c r="B96" s="4">
        <v>0</v>
      </c>
      <c r="C96" s="4">
        <v>0</v>
      </c>
      <c r="D96" s="4">
        <v>1</v>
      </c>
      <c r="E96" s="4">
        <v>208</v>
      </c>
      <c r="F96" s="4">
        <f>Source!V73</f>
        <v>0.375475</v>
      </c>
      <c r="G96" s="4" t="s">
        <v>137</v>
      </c>
      <c r="H96" s="4" t="s">
        <v>138</v>
      </c>
      <c r="I96" s="4"/>
      <c r="J96" s="4"/>
      <c r="K96" s="4">
        <v>208</v>
      </c>
      <c r="L96" s="4">
        <v>22</v>
      </c>
      <c r="M96" s="4">
        <v>3</v>
      </c>
      <c r="N96" s="4" t="s">
        <v>3</v>
      </c>
      <c r="O96" s="4">
        <v>-1</v>
      </c>
      <c r="P96" s="4"/>
      <c r="Q96" s="4"/>
      <c r="R96" s="4"/>
      <c r="S96" s="4"/>
      <c r="T96" s="4"/>
      <c r="U96" s="4"/>
      <c r="V96" s="4"/>
      <c r="W96" s="4"/>
    </row>
    <row r="97" spans="1:206">
      <c r="A97" s="4">
        <v>50</v>
      </c>
      <c r="B97" s="4">
        <v>0</v>
      </c>
      <c r="C97" s="4">
        <v>0</v>
      </c>
      <c r="D97" s="4">
        <v>1</v>
      </c>
      <c r="E97" s="4">
        <v>209</v>
      </c>
      <c r="F97" s="4">
        <f>ROUND(Source!W73,O97)</f>
        <v>92.74</v>
      </c>
      <c r="G97" s="4" t="s">
        <v>139</v>
      </c>
      <c r="H97" s="4" t="s">
        <v>140</v>
      </c>
      <c r="I97" s="4"/>
      <c r="J97" s="4"/>
      <c r="K97" s="4">
        <v>209</v>
      </c>
      <c r="L97" s="4">
        <v>23</v>
      </c>
      <c r="M97" s="4">
        <v>3</v>
      </c>
      <c r="N97" s="4" t="s">
        <v>3</v>
      </c>
      <c r="O97" s="4">
        <v>2</v>
      </c>
      <c r="P97" s="4"/>
      <c r="Q97" s="4"/>
      <c r="R97" s="4"/>
      <c r="S97" s="4"/>
      <c r="T97" s="4"/>
      <c r="U97" s="4"/>
      <c r="V97" s="4"/>
      <c r="W97" s="4"/>
    </row>
    <row r="98" spans="1:206">
      <c r="A98" s="4">
        <v>50</v>
      </c>
      <c r="B98" s="4">
        <v>0</v>
      </c>
      <c r="C98" s="4">
        <v>0</v>
      </c>
      <c r="D98" s="4">
        <v>1</v>
      </c>
      <c r="E98" s="4">
        <v>233</v>
      </c>
      <c r="F98" s="4">
        <f>ROUND(Source!BD73,O98)</f>
        <v>82.7</v>
      </c>
      <c r="G98" s="4" t="s">
        <v>141</v>
      </c>
      <c r="H98" s="4" t="s">
        <v>142</v>
      </c>
      <c r="I98" s="4"/>
      <c r="J98" s="4"/>
      <c r="K98" s="4">
        <v>233</v>
      </c>
      <c r="L98" s="4">
        <v>24</v>
      </c>
      <c r="M98" s="4">
        <v>3</v>
      </c>
      <c r="N98" s="4" t="s">
        <v>3</v>
      </c>
      <c r="O98" s="4">
        <v>2</v>
      </c>
      <c r="P98" s="4"/>
      <c r="Q98" s="4"/>
      <c r="R98" s="4"/>
      <c r="S98" s="4"/>
      <c r="T98" s="4"/>
      <c r="U98" s="4"/>
      <c r="V98" s="4"/>
      <c r="W98" s="4"/>
    </row>
    <row r="99" spans="1:206">
      <c r="A99" s="4">
        <v>50</v>
      </c>
      <c r="B99" s="4">
        <v>0</v>
      </c>
      <c r="C99" s="4">
        <v>0</v>
      </c>
      <c r="D99" s="4">
        <v>1</v>
      </c>
      <c r="E99" s="4">
        <v>210</v>
      </c>
      <c r="F99" s="4">
        <f>ROUND(Source!X73,O99)</f>
        <v>28129.7</v>
      </c>
      <c r="G99" s="4" t="s">
        <v>143</v>
      </c>
      <c r="H99" s="4" t="s">
        <v>144</v>
      </c>
      <c r="I99" s="4"/>
      <c r="J99" s="4"/>
      <c r="K99" s="4">
        <v>210</v>
      </c>
      <c r="L99" s="4">
        <v>25</v>
      </c>
      <c r="M99" s="4">
        <v>3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/>
    </row>
    <row r="100" spans="1:206">
      <c r="A100" s="4">
        <v>50</v>
      </c>
      <c r="B100" s="4">
        <v>0</v>
      </c>
      <c r="C100" s="4">
        <v>0</v>
      </c>
      <c r="D100" s="4">
        <v>1</v>
      </c>
      <c r="E100" s="4">
        <v>211</v>
      </c>
      <c r="F100" s="4">
        <f>ROUND(Source!Y73,O100)</f>
        <v>14385.47</v>
      </c>
      <c r="G100" s="4" t="s">
        <v>145</v>
      </c>
      <c r="H100" s="4" t="s">
        <v>146</v>
      </c>
      <c r="I100" s="4"/>
      <c r="J100" s="4"/>
      <c r="K100" s="4">
        <v>211</v>
      </c>
      <c r="L100" s="4">
        <v>26</v>
      </c>
      <c r="M100" s="4">
        <v>3</v>
      </c>
      <c r="N100" s="4" t="s">
        <v>3</v>
      </c>
      <c r="O100" s="4">
        <v>2</v>
      </c>
      <c r="P100" s="4"/>
      <c r="Q100" s="4"/>
      <c r="R100" s="4"/>
      <c r="S100" s="4"/>
      <c r="T100" s="4"/>
      <c r="U100" s="4"/>
      <c r="V100" s="4"/>
      <c r="W100" s="4"/>
    </row>
    <row r="101" spans="1:206">
      <c r="A101" s="4">
        <v>50</v>
      </c>
      <c r="B101" s="4">
        <v>0</v>
      </c>
      <c r="C101" s="4">
        <v>0</v>
      </c>
      <c r="D101" s="4">
        <v>1</v>
      </c>
      <c r="E101" s="4">
        <v>224</v>
      </c>
      <c r="F101" s="4">
        <f>ROUND(Source!AR73,O101)</f>
        <v>99851.05</v>
      </c>
      <c r="G101" s="4" t="s">
        <v>147</v>
      </c>
      <c r="H101" s="4" t="s">
        <v>148</v>
      </c>
      <c r="I101" s="4"/>
      <c r="J101" s="4"/>
      <c r="K101" s="4">
        <v>224</v>
      </c>
      <c r="L101" s="4">
        <v>27</v>
      </c>
      <c r="M101" s="4">
        <v>3</v>
      </c>
      <c r="N101" s="4" t="s">
        <v>3</v>
      </c>
      <c r="O101" s="4">
        <v>2</v>
      </c>
      <c r="P101" s="4"/>
      <c r="Q101" s="4"/>
      <c r="R101" s="4"/>
      <c r="S101" s="4"/>
      <c r="T101" s="4"/>
      <c r="U101" s="4"/>
      <c r="V101" s="4"/>
      <c r="W101" s="4"/>
    </row>
    <row r="103" spans="1:206">
      <c r="A103" s="2">
        <v>51</v>
      </c>
      <c r="B103" s="2">
        <f>B12</f>
        <v>164</v>
      </c>
      <c r="C103" s="2">
        <f>A12</f>
        <v>1</v>
      </c>
      <c r="D103" s="2">
        <f>ROW(A12)</f>
        <v>12</v>
      </c>
      <c r="E103" s="2"/>
      <c r="F103" s="2" t="str">
        <f>IF(F12&lt;&gt;"",F12,"")</f>
        <v>Новый объект</v>
      </c>
      <c r="G103" s="2" t="str">
        <f>IF(G12&lt;&gt;"",G12,"")</f>
        <v>Ремонт фойе ОВП1 этаж Ильский Погост</v>
      </c>
      <c r="H103" s="2">
        <v>0</v>
      </c>
      <c r="I103" s="2"/>
      <c r="J103" s="2"/>
      <c r="K103" s="2"/>
      <c r="L103" s="2"/>
      <c r="M103" s="2"/>
      <c r="N103" s="2"/>
      <c r="O103" s="2">
        <f t="shared" ref="O103:T103" si="62">ROUND(O73,2)</f>
        <v>57335.88</v>
      </c>
      <c r="P103" s="2">
        <f t="shared" si="62"/>
        <v>26521.37</v>
      </c>
      <c r="Q103" s="2">
        <f t="shared" si="62"/>
        <v>2363.8000000000002</v>
      </c>
      <c r="R103" s="2">
        <f t="shared" si="62"/>
        <v>167.59</v>
      </c>
      <c r="S103" s="2">
        <f t="shared" si="62"/>
        <v>28450.71</v>
      </c>
      <c r="T103" s="2">
        <f t="shared" si="62"/>
        <v>0</v>
      </c>
      <c r="U103" s="2">
        <f>U73</f>
        <v>92.838961999999981</v>
      </c>
      <c r="V103" s="2">
        <f>V73</f>
        <v>0.375475</v>
      </c>
      <c r="W103" s="2">
        <f>ROUND(W73,2)</f>
        <v>92.74</v>
      </c>
      <c r="X103" s="2">
        <f>ROUND(X73,2)</f>
        <v>28129.7</v>
      </c>
      <c r="Y103" s="2">
        <f>ROUND(Y73,2)</f>
        <v>14385.47</v>
      </c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>
        <f t="shared" ref="AO103:BD103" si="63">ROUND(AO73,2)</f>
        <v>0</v>
      </c>
      <c r="AP103" s="2">
        <f t="shared" si="63"/>
        <v>0</v>
      </c>
      <c r="AQ103" s="2">
        <f t="shared" si="63"/>
        <v>0</v>
      </c>
      <c r="AR103" s="2">
        <f t="shared" si="63"/>
        <v>99851.05</v>
      </c>
      <c r="AS103" s="2">
        <f t="shared" si="63"/>
        <v>92549.89</v>
      </c>
      <c r="AT103" s="2">
        <f t="shared" si="63"/>
        <v>7301.16</v>
      </c>
      <c r="AU103" s="2">
        <f t="shared" si="63"/>
        <v>0</v>
      </c>
      <c r="AV103" s="2">
        <f t="shared" si="63"/>
        <v>26521.37</v>
      </c>
      <c r="AW103" s="2">
        <f t="shared" si="63"/>
        <v>26521.37</v>
      </c>
      <c r="AX103" s="2">
        <f t="shared" si="63"/>
        <v>0</v>
      </c>
      <c r="AY103" s="2">
        <f t="shared" si="63"/>
        <v>26521.37</v>
      </c>
      <c r="AZ103" s="2">
        <f t="shared" si="63"/>
        <v>0</v>
      </c>
      <c r="BA103" s="2">
        <f t="shared" si="63"/>
        <v>0</v>
      </c>
      <c r="BB103" s="2">
        <f t="shared" si="63"/>
        <v>0</v>
      </c>
      <c r="BC103" s="2">
        <f t="shared" si="63"/>
        <v>0</v>
      </c>
      <c r="BD103" s="2">
        <f t="shared" si="63"/>
        <v>82.7</v>
      </c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>
        <v>0</v>
      </c>
    </row>
    <row r="105" spans="1:206">
      <c r="A105" s="4">
        <v>50</v>
      </c>
      <c r="B105" s="4">
        <v>0</v>
      </c>
      <c r="C105" s="4">
        <v>0</v>
      </c>
      <c r="D105" s="4">
        <v>1</v>
      </c>
      <c r="E105" s="4">
        <v>201</v>
      </c>
      <c r="F105" s="4">
        <f>ROUND(Source!O103,O105)</f>
        <v>57335.88</v>
      </c>
      <c r="G105" s="4" t="s">
        <v>95</v>
      </c>
      <c r="H105" s="4" t="s">
        <v>96</v>
      </c>
      <c r="I105" s="4"/>
      <c r="J105" s="4"/>
      <c r="K105" s="4">
        <v>201</v>
      </c>
      <c r="L105" s="4">
        <v>1</v>
      </c>
      <c r="M105" s="4">
        <v>3</v>
      </c>
      <c r="N105" s="4" t="s">
        <v>3</v>
      </c>
      <c r="O105" s="4">
        <v>2</v>
      </c>
      <c r="P105" s="4"/>
      <c r="Q105" s="4"/>
      <c r="R105" s="4"/>
      <c r="S105" s="4"/>
      <c r="T105" s="4"/>
      <c r="U105" s="4"/>
      <c r="V105" s="4"/>
      <c r="W105" s="4"/>
    </row>
    <row r="106" spans="1:206">
      <c r="A106" s="4">
        <v>50</v>
      </c>
      <c r="B106" s="4">
        <v>0</v>
      </c>
      <c r="C106" s="4">
        <v>0</v>
      </c>
      <c r="D106" s="4">
        <v>1</v>
      </c>
      <c r="E106" s="4">
        <v>202</v>
      </c>
      <c r="F106" s="4">
        <f>ROUND(Source!P103,O106)</f>
        <v>26521.37</v>
      </c>
      <c r="G106" s="4" t="s">
        <v>97</v>
      </c>
      <c r="H106" s="4" t="s">
        <v>98</v>
      </c>
      <c r="I106" s="4"/>
      <c r="J106" s="4"/>
      <c r="K106" s="4">
        <v>202</v>
      </c>
      <c r="L106" s="4">
        <v>2</v>
      </c>
      <c r="M106" s="4">
        <v>3</v>
      </c>
      <c r="N106" s="4" t="s">
        <v>3</v>
      </c>
      <c r="O106" s="4">
        <v>2</v>
      </c>
      <c r="P106" s="4"/>
      <c r="Q106" s="4"/>
      <c r="R106" s="4"/>
      <c r="S106" s="4"/>
      <c r="T106" s="4"/>
      <c r="U106" s="4"/>
      <c r="V106" s="4"/>
      <c r="W106" s="4"/>
    </row>
    <row r="107" spans="1:206">
      <c r="A107" s="4">
        <v>50</v>
      </c>
      <c r="B107" s="4">
        <v>0</v>
      </c>
      <c r="C107" s="4">
        <v>0</v>
      </c>
      <c r="D107" s="4">
        <v>1</v>
      </c>
      <c r="E107" s="4">
        <v>222</v>
      </c>
      <c r="F107" s="4">
        <f>ROUND(Source!AO103,O107)</f>
        <v>0</v>
      </c>
      <c r="G107" s="4" t="s">
        <v>99</v>
      </c>
      <c r="H107" s="4" t="s">
        <v>100</v>
      </c>
      <c r="I107" s="4"/>
      <c r="J107" s="4"/>
      <c r="K107" s="4">
        <v>222</v>
      </c>
      <c r="L107" s="4">
        <v>3</v>
      </c>
      <c r="M107" s="4">
        <v>3</v>
      </c>
      <c r="N107" s="4" t="s">
        <v>3</v>
      </c>
      <c r="O107" s="4">
        <v>2</v>
      </c>
      <c r="P107" s="4"/>
      <c r="Q107" s="4"/>
      <c r="R107" s="4"/>
      <c r="S107" s="4"/>
      <c r="T107" s="4"/>
      <c r="U107" s="4"/>
      <c r="V107" s="4"/>
      <c r="W107" s="4"/>
    </row>
    <row r="108" spans="1:206">
      <c r="A108" s="4">
        <v>50</v>
      </c>
      <c r="B108" s="4">
        <v>0</v>
      </c>
      <c r="C108" s="4">
        <v>0</v>
      </c>
      <c r="D108" s="4">
        <v>1</v>
      </c>
      <c r="E108" s="4">
        <v>225</v>
      </c>
      <c r="F108" s="4">
        <f>ROUND(Source!AV103,O108)</f>
        <v>26521.37</v>
      </c>
      <c r="G108" s="4" t="s">
        <v>101</v>
      </c>
      <c r="H108" s="4" t="s">
        <v>102</v>
      </c>
      <c r="I108" s="4"/>
      <c r="J108" s="4"/>
      <c r="K108" s="4">
        <v>225</v>
      </c>
      <c r="L108" s="4">
        <v>4</v>
      </c>
      <c r="M108" s="4">
        <v>3</v>
      </c>
      <c r="N108" s="4" t="s">
        <v>3</v>
      </c>
      <c r="O108" s="4">
        <v>2</v>
      </c>
      <c r="P108" s="4"/>
      <c r="Q108" s="4"/>
      <c r="R108" s="4"/>
      <c r="S108" s="4"/>
      <c r="T108" s="4"/>
      <c r="U108" s="4"/>
      <c r="V108" s="4"/>
      <c r="W108" s="4"/>
    </row>
    <row r="109" spans="1:206">
      <c r="A109" s="4">
        <v>50</v>
      </c>
      <c r="B109" s="4">
        <v>0</v>
      </c>
      <c r="C109" s="4">
        <v>0</v>
      </c>
      <c r="D109" s="4">
        <v>1</v>
      </c>
      <c r="E109" s="4">
        <v>226</v>
      </c>
      <c r="F109" s="4">
        <f>ROUND(Source!AW103,O109)</f>
        <v>26521.37</v>
      </c>
      <c r="G109" s="4" t="s">
        <v>103</v>
      </c>
      <c r="H109" s="4" t="s">
        <v>104</v>
      </c>
      <c r="I109" s="4"/>
      <c r="J109" s="4"/>
      <c r="K109" s="4">
        <v>226</v>
      </c>
      <c r="L109" s="4">
        <v>5</v>
      </c>
      <c r="M109" s="4">
        <v>3</v>
      </c>
      <c r="N109" s="4" t="s">
        <v>3</v>
      </c>
      <c r="O109" s="4">
        <v>2</v>
      </c>
      <c r="P109" s="4"/>
      <c r="Q109" s="4"/>
      <c r="R109" s="4"/>
      <c r="S109" s="4"/>
      <c r="T109" s="4"/>
      <c r="U109" s="4"/>
      <c r="V109" s="4"/>
      <c r="W109" s="4"/>
    </row>
    <row r="110" spans="1:206">
      <c r="A110" s="4">
        <v>50</v>
      </c>
      <c r="B110" s="4">
        <v>0</v>
      </c>
      <c r="C110" s="4">
        <v>0</v>
      </c>
      <c r="D110" s="4">
        <v>1</v>
      </c>
      <c r="E110" s="4">
        <v>227</v>
      </c>
      <c r="F110" s="4">
        <f>ROUND(Source!AX103,O110)</f>
        <v>0</v>
      </c>
      <c r="G110" s="4" t="s">
        <v>105</v>
      </c>
      <c r="H110" s="4" t="s">
        <v>106</v>
      </c>
      <c r="I110" s="4"/>
      <c r="J110" s="4"/>
      <c r="K110" s="4">
        <v>227</v>
      </c>
      <c r="L110" s="4">
        <v>6</v>
      </c>
      <c r="M110" s="4">
        <v>3</v>
      </c>
      <c r="N110" s="4" t="s">
        <v>3</v>
      </c>
      <c r="O110" s="4">
        <v>2</v>
      </c>
      <c r="P110" s="4"/>
      <c r="Q110" s="4"/>
      <c r="R110" s="4"/>
      <c r="S110" s="4"/>
      <c r="T110" s="4"/>
      <c r="U110" s="4"/>
      <c r="V110" s="4"/>
      <c r="W110" s="4"/>
    </row>
    <row r="111" spans="1:206">
      <c r="A111" s="4">
        <v>50</v>
      </c>
      <c r="B111" s="4">
        <v>0</v>
      </c>
      <c r="C111" s="4">
        <v>0</v>
      </c>
      <c r="D111" s="4">
        <v>1</v>
      </c>
      <c r="E111" s="4">
        <v>228</v>
      </c>
      <c r="F111" s="4">
        <f>ROUND(Source!AY103,O111)</f>
        <v>26521.37</v>
      </c>
      <c r="G111" s="4" t="s">
        <v>107</v>
      </c>
      <c r="H111" s="4" t="s">
        <v>108</v>
      </c>
      <c r="I111" s="4"/>
      <c r="J111" s="4"/>
      <c r="K111" s="4">
        <v>228</v>
      </c>
      <c r="L111" s="4">
        <v>7</v>
      </c>
      <c r="M111" s="4">
        <v>3</v>
      </c>
      <c r="N111" s="4" t="s">
        <v>3</v>
      </c>
      <c r="O111" s="4">
        <v>2</v>
      </c>
      <c r="P111" s="4"/>
      <c r="Q111" s="4"/>
      <c r="R111" s="4"/>
      <c r="S111" s="4"/>
      <c r="T111" s="4"/>
      <c r="U111" s="4"/>
      <c r="V111" s="4"/>
      <c r="W111" s="4"/>
    </row>
    <row r="112" spans="1:206">
      <c r="A112" s="4">
        <v>50</v>
      </c>
      <c r="B112" s="4">
        <v>0</v>
      </c>
      <c r="C112" s="4">
        <v>0</v>
      </c>
      <c r="D112" s="4">
        <v>1</v>
      </c>
      <c r="E112" s="4">
        <v>216</v>
      </c>
      <c r="F112" s="4">
        <f>ROUND(Source!AP103,O112)</f>
        <v>0</v>
      </c>
      <c r="G112" s="4" t="s">
        <v>109</v>
      </c>
      <c r="H112" s="4" t="s">
        <v>110</v>
      </c>
      <c r="I112" s="4"/>
      <c r="J112" s="4"/>
      <c r="K112" s="4">
        <v>216</v>
      </c>
      <c r="L112" s="4">
        <v>8</v>
      </c>
      <c r="M112" s="4">
        <v>3</v>
      </c>
      <c r="N112" s="4" t="s">
        <v>3</v>
      </c>
      <c r="O112" s="4">
        <v>2</v>
      </c>
      <c r="P112" s="4"/>
      <c r="Q112" s="4"/>
      <c r="R112" s="4"/>
      <c r="S112" s="4"/>
      <c r="T112" s="4"/>
      <c r="U112" s="4"/>
      <c r="V112" s="4"/>
      <c r="W112" s="4"/>
    </row>
    <row r="113" spans="1:23">
      <c r="A113" s="4">
        <v>50</v>
      </c>
      <c r="B113" s="4">
        <v>0</v>
      </c>
      <c r="C113" s="4">
        <v>0</v>
      </c>
      <c r="D113" s="4">
        <v>1</v>
      </c>
      <c r="E113" s="4">
        <v>223</v>
      </c>
      <c r="F113" s="4">
        <f>ROUND(Source!AQ103,O113)</f>
        <v>0</v>
      </c>
      <c r="G113" s="4" t="s">
        <v>111</v>
      </c>
      <c r="H113" s="4" t="s">
        <v>112</v>
      </c>
      <c r="I113" s="4"/>
      <c r="J113" s="4"/>
      <c r="K113" s="4">
        <v>223</v>
      </c>
      <c r="L113" s="4">
        <v>9</v>
      </c>
      <c r="M113" s="4">
        <v>3</v>
      </c>
      <c r="N113" s="4" t="s">
        <v>3</v>
      </c>
      <c r="O113" s="4">
        <v>2</v>
      </c>
      <c r="P113" s="4"/>
      <c r="Q113" s="4"/>
      <c r="R113" s="4"/>
      <c r="S113" s="4"/>
      <c r="T113" s="4"/>
      <c r="U113" s="4"/>
      <c r="V113" s="4"/>
      <c r="W113" s="4"/>
    </row>
    <row r="114" spans="1:23">
      <c r="A114" s="4">
        <v>50</v>
      </c>
      <c r="B114" s="4">
        <v>0</v>
      </c>
      <c r="C114" s="4">
        <v>0</v>
      </c>
      <c r="D114" s="4">
        <v>1</v>
      </c>
      <c r="E114" s="4">
        <v>229</v>
      </c>
      <c r="F114" s="4">
        <f>ROUND(Source!AZ103,O114)</f>
        <v>0</v>
      </c>
      <c r="G114" s="4" t="s">
        <v>113</v>
      </c>
      <c r="H114" s="4" t="s">
        <v>114</v>
      </c>
      <c r="I114" s="4"/>
      <c r="J114" s="4"/>
      <c r="K114" s="4">
        <v>229</v>
      </c>
      <c r="L114" s="4">
        <v>10</v>
      </c>
      <c r="M114" s="4">
        <v>3</v>
      </c>
      <c r="N114" s="4" t="s">
        <v>3</v>
      </c>
      <c r="O114" s="4">
        <v>2</v>
      </c>
      <c r="P114" s="4"/>
      <c r="Q114" s="4"/>
      <c r="R114" s="4"/>
      <c r="S114" s="4"/>
      <c r="T114" s="4"/>
      <c r="U114" s="4"/>
      <c r="V114" s="4"/>
      <c r="W114" s="4"/>
    </row>
    <row r="115" spans="1:23">
      <c r="A115" s="4">
        <v>50</v>
      </c>
      <c r="B115" s="4">
        <v>0</v>
      </c>
      <c r="C115" s="4">
        <v>0</v>
      </c>
      <c r="D115" s="4">
        <v>1</v>
      </c>
      <c r="E115" s="4">
        <v>203</v>
      </c>
      <c r="F115" s="4">
        <f>ROUND(Source!Q103,O115)</f>
        <v>2363.8000000000002</v>
      </c>
      <c r="G115" s="4" t="s">
        <v>115</v>
      </c>
      <c r="H115" s="4" t="s">
        <v>116</v>
      </c>
      <c r="I115" s="4"/>
      <c r="J115" s="4"/>
      <c r="K115" s="4">
        <v>203</v>
      </c>
      <c r="L115" s="4">
        <v>11</v>
      </c>
      <c r="M115" s="4">
        <v>3</v>
      </c>
      <c r="N115" s="4" t="s">
        <v>3</v>
      </c>
      <c r="O115" s="4">
        <v>2</v>
      </c>
      <c r="P115" s="4"/>
      <c r="Q115" s="4"/>
      <c r="R115" s="4"/>
      <c r="S115" s="4"/>
      <c r="T115" s="4"/>
      <c r="U115" s="4"/>
      <c r="V115" s="4"/>
      <c r="W115" s="4"/>
    </row>
    <row r="116" spans="1:23">
      <c r="A116" s="4">
        <v>50</v>
      </c>
      <c r="B116" s="4">
        <v>0</v>
      </c>
      <c r="C116" s="4">
        <v>0</v>
      </c>
      <c r="D116" s="4">
        <v>1</v>
      </c>
      <c r="E116" s="4">
        <v>231</v>
      </c>
      <c r="F116" s="4">
        <f>ROUND(Source!BB103,O116)</f>
        <v>0</v>
      </c>
      <c r="G116" s="4" t="s">
        <v>117</v>
      </c>
      <c r="H116" s="4" t="s">
        <v>118</v>
      </c>
      <c r="I116" s="4"/>
      <c r="J116" s="4"/>
      <c r="K116" s="4">
        <v>231</v>
      </c>
      <c r="L116" s="4">
        <v>12</v>
      </c>
      <c r="M116" s="4">
        <v>3</v>
      </c>
      <c r="N116" s="4" t="s">
        <v>3</v>
      </c>
      <c r="O116" s="4">
        <v>2</v>
      </c>
      <c r="P116" s="4"/>
      <c r="Q116" s="4"/>
      <c r="R116" s="4"/>
      <c r="S116" s="4"/>
      <c r="T116" s="4"/>
      <c r="U116" s="4"/>
      <c r="V116" s="4"/>
      <c r="W116" s="4"/>
    </row>
    <row r="117" spans="1:23">
      <c r="A117" s="4">
        <v>50</v>
      </c>
      <c r="B117" s="4">
        <v>0</v>
      </c>
      <c r="C117" s="4">
        <v>0</v>
      </c>
      <c r="D117" s="4">
        <v>1</v>
      </c>
      <c r="E117" s="4">
        <v>204</v>
      </c>
      <c r="F117" s="4">
        <f>ROUND(Source!R103,O117)</f>
        <v>167.59</v>
      </c>
      <c r="G117" s="4" t="s">
        <v>119</v>
      </c>
      <c r="H117" s="4" t="s">
        <v>120</v>
      </c>
      <c r="I117" s="4"/>
      <c r="J117" s="4"/>
      <c r="K117" s="4">
        <v>204</v>
      </c>
      <c r="L117" s="4">
        <v>13</v>
      </c>
      <c r="M117" s="4">
        <v>3</v>
      </c>
      <c r="N117" s="4" t="s">
        <v>3</v>
      </c>
      <c r="O117" s="4">
        <v>2</v>
      </c>
      <c r="P117" s="4"/>
      <c r="Q117" s="4"/>
      <c r="R117" s="4"/>
      <c r="S117" s="4"/>
      <c r="T117" s="4"/>
      <c r="U117" s="4"/>
      <c r="V117" s="4"/>
      <c r="W117" s="4"/>
    </row>
    <row r="118" spans="1:23">
      <c r="A118" s="4">
        <v>50</v>
      </c>
      <c r="B118" s="4">
        <v>0</v>
      </c>
      <c r="C118" s="4">
        <v>0</v>
      </c>
      <c r="D118" s="4">
        <v>1</v>
      </c>
      <c r="E118" s="4">
        <v>205</v>
      </c>
      <c r="F118" s="4">
        <f>ROUND(Source!S103,O118)</f>
        <v>28450.71</v>
      </c>
      <c r="G118" s="4" t="s">
        <v>121</v>
      </c>
      <c r="H118" s="4" t="s">
        <v>122</v>
      </c>
      <c r="I118" s="4"/>
      <c r="J118" s="4"/>
      <c r="K118" s="4">
        <v>205</v>
      </c>
      <c r="L118" s="4">
        <v>14</v>
      </c>
      <c r="M118" s="4">
        <v>3</v>
      </c>
      <c r="N118" s="4" t="s">
        <v>3</v>
      </c>
      <c r="O118" s="4">
        <v>2</v>
      </c>
      <c r="P118" s="4"/>
      <c r="Q118" s="4"/>
      <c r="R118" s="4"/>
      <c r="S118" s="4"/>
      <c r="T118" s="4"/>
      <c r="U118" s="4"/>
      <c r="V118" s="4"/>
      <c r="W118" s="4"/>
    </row>
    <row r="119" spans="1:23">
      <c r="A119" s="4">
        <v>50</v>
      </c>
      <c r="B119" s="4">
        <v>0</v>
      </c>
      <c r="C119" s="4">
        <v>0</v>
      </c>
      <c r="D119" s="4">
        <v>1</v>
      </c>
      <c r="E119" s="4">
        <v>232</v>
      </c>
      <c r="F119" s="4">
        <f>ROUND(Source!BC103,O119)</f>
        <v>0</v>
      </c>
      <c r="G119" s="4" t="s">
        <v>123</v>
      </c>
      <c r="H119" s="4" t="s">
        <v>124</v>
      </c>
      <c r="I119" s="4"/>
      <c r="J119" s="4"/>
      <c r="K119" s="4">
        <v>232</v>
      </c>
      <c r="L119" s="4">
        <v>15</v>
      </c>
      <c r="M119" s="4">
        <v>3</v>
      </c>
      <c r="N119" s="4" t="s">
        <v>3</v>
      </c>
      <c r="O119" s="4">
        <v>2</v>
      </c>
      <c r="P119" s="4"/>
      <c r="Q119" s="4"/>
      <c r="R119" s="4"/>
      <c r="S119" s="4"/>
      <c r="T119" s="4"/>
      <c r="U119" s="4"/>
      <c r="V119" s="4"/>
      <c r="W119" s="4"/>
    </row>
    <row r="120" spans="1:23">
      <c r="A120" s="4">
        <v>50</v>
      </c>
      <c r="B120" s="4">
        <v>0</v>
      </c>
      <c r="C120" s="4">
        <v>0</v>
      </c>
      <c r="D120" s="4">
        <v>1</v>
      </c>
      <c r="E120" s="4">
        <v>214</v>
      </c>
      <c r="F120" s="4">
        <f>ROUND(Source!AS103,O120)</f>
        <v>92549.89</v>
      </c>
      <c r="G120" s="4" t="s">
        <v>125</v>
      </c>
      <c r="H120" s="4" t="s">
        <v>126</v>
      </c>
      <c r="I120" s="4"/>
      <c r="J120" s="4"/>
      <c r="K120" s="4">
        <v>214</v>
      </c>
      <c r="L120" s="4">
        <v>16</v>
      </c>
      <c r="M120" s="4">
        <v>3</v>
      </c>
      <c r="N120" s="4" t="s">
        <v>3</v>
      </c>
      <c r="O120" s="4">
        <v>2</v>
      </c>
      <c r="P120" s="4"/>
      <c r="Q120" s="4"/>
      <c r="R120" s="4"/>
      <c r="S120" s="4"/>
      <c r="T120" s="4"/>
      <c r="U120" s="4"/>
      <c r="V120" s="4"/>
      <c r="W120" s="4"/>
    </row>
    <row r="121" spans="1:23">
      <c r="A121" s="4">
        <v>50</v>
      </c>
      <c r="B121" s="4">
        <v>0</v>
      </c>
      <c r="C121" s="4">
        <v>0</v>
      </c>
      <c r="D121" s="4">
        <v>1</v>
      </c>
      <c r="E121" s="4">
        <v>215</v>
      </c>
      <c r="F121" s="4">
        <f>ROUND(Source!AT103,O121)</f>
        <v>7301.16</v>
      </c>
      <c r="G121" s="4" t="s">
        <v>127</v>
      </c>
      <c r="H121" s="4" t="s">
        <v>128</v>
      </c>
      <c r="I121" s="4"/>
      <c r="J121" s="4"/>
      <c r="K121" s="4">
        <v>215</v>
      </c>
      <c r="L121" s="4">
        <v>17</v>
      </c>
      <c r="M121" s="4">
        <v>3</v>
      </c>
      <c r="N121" s="4" t="s">
        <v>3</v>
      </c>
      <c r="O121" s="4">
        <v>2</v>
      </c>
      <c r="P121" s="4"/>
      <c r="Q121" s="4"/>
      <c r="R121" s="4"/>
      <c r="S121" s="4"/>
      <c r="T121" s="4"/>
      <c r="U121" s="4"/>
      <c r="V121" s="4"/>
      <c r="W121" s="4"/>
    </row>
    <row r="122" spans="1:23">
      <c r="A122" s="4">
        <v>50</v>
      </c>
      <c r="B122" s="4">
        <v>0</v>
      </c>
      <c r="C122" s="4">
        <v>0</v>
      </c>
      <c r="D122" s="4">
        <v>1</v>
      </c>
      <c r="E122" s="4">
        <v>217</v>
      </c>
      <c r="F122" s="4">
        <f>ROUND(Source!AU103,O122)</f>
        <v>0</v>
      </c>
      <c r="G122" s="4" t="s">
        <v>129</v>
      </c>
      <c r="H122" s="4" t="s">
        <v>130</v>
      </c>
      <c r="I122" s="4"/>
      <c r="J122" s="4"/>
      <c r="K122" s="4">
        <v>217</v>
      </c>
      <c r="L122" s="4">
        <v>18</v>
      </c>
      <c r="M122" s="4">
        <v>3</v>
      </c>
      <c r="N122" s="4" t="s">
        <v>3</v>
      </c>
      <c r="O122" s="4">
        <v>2</v>
      </c>
      <c r="P122" s="4"/>
      <c r="Q122" s="4"/>
      <c r="R122" s="4"/>
      <c r="S122" s="4"/>
      <c r="T122" s="4"/>
      <c r="U122" s="4"/>
      <c r="V122" s="4"/>
      <c r="W122" s="4"/>
    </row>
    <row r="123" spans="1:23">
      <c r="A123" s="4">
        <v>50</v>
      </c>
      <c r="B123" s="4">
        <v>0</v>
      </c>
      <c r="C123" s="4">
        <v>0</v>
      </c>
      <c r="D123" s="4">
        <v>1</v>
      </c>
      <c r="E123" s="4">
        <v>230</v>
      </c>
      <c r="F123" s="4">
        <f>ROUND(Source!BA103,O123)</f>
        <v>0</v>
      </c>
      <c r="G123" s="4" t="s">
        <v>131</v>
      </c>
      <c r="H123" s="4" t="s">
        <v>132</v>
      </c>
      <c r="I123" s="4"/>
      <c r="J123" s="4"/>
      <c r="K123" s="4">
        <v>230</v>
      </c>
      <c r="L123" s="4">
        <v>19</v>
      </c>
      <c r="M123" s="4">
        <v>3</v>
      </c>
      <c r="N123" s="4" t="s">
        <v>3</v>
      </c>
      <c r="O123" s="4">
        <v>2</v>
      </c>
      <c r="P123" s="4"/>
      <c r="Q123" s="4"/>
      <c r="R123" s="4"/>
      <c r="S123" s="4"/>
      <c r="T123" s="4"/>
      <c r="U123" s="4"/>
      <c r="V123" s="4"/>
      <c r="W123" s="4"/>
    </row>
    <row r="124" spans="1:23">
      <c r="A124" s="4">
        <v>50</v>
      </c>
      <c r="B124" s="4">
        <v>0</v>
      </c>
      <c r="C124" s="4">
        <v>0</v>
      </c>
      <c r="D124" s="4">
        <v>1</v>
      </c>
      <c r="E124" s="4">
        <v>206</v>
      </c>
      <c r="F124" s="4">
        <f>ROUND(Source!T103,O124)</f>
        <v>0</v>
      </c>
      <c r="G124" s="4" t="s">
        <v>133</v>
      </c>
      <c r="H124" s="4" t="s">
        <v>134</v>
      </c>
      <c r="I124" s="4"/>
      <c r="J124" s="4"/>
      <c r="K124" s="4">
        <v>206</v>
      </c>
      <c r="L124" s="4">
        <v>20</v>
      </c>
      <c r="M124" s="4">
        <v>3</v>
      </c>
      <c r="N124" s="4" t="s">
        <v>3</v>
      </c>
      <c r="O124" s="4">
        <v>2</v>
      </c>
      <c r="P124" s="4"/>
      <c r="Q124" s="4"/>
      <c r="R124" s="4"/>
      <c r="S124" s="4"/>
      <c r="T124" s="4"/>
      <c r="U124" s="4"/>
      <c r="V124" s="4"/>
      <c r="W124" s="4"/>
    </row>
    <row r="125" spans="1:23">
      <c r="A125" s="4">
        <v>50</v>
      </c>
      <c r="B125" s="4">
        <v>0</v>
      </c>
      <c r="C125" s="4">
        <v>0</v>
      </c>
      <c r="D125" s="4">
        <v>1</v>
      </c>
      <c r="E125" s="4">
        <v>207</v>
      </c>
      <c r="F125" s="4">
        <f>Source!U103</f>
        <v>92.838961999999981</v>
      </c>
      <c r="G125" s="4" t="s">
        <v>135</v>
      </c>
      <c r="H125" s="4" t="s">
        <v>136</v>
      </c>
      <c r="I125" s="4"/>
      <c r="J125" s="4"/>
      <c r="K125" s="4">
        <v>207</v>
      </c>
      <c r="L125" s="4">
        <v>21</v>
      </c>
      <c r="M125" s="4">
        <v>3</v>
      </c>
      <c r="N125" s="4" t="s">
        <v>3</v>
      </c>
      <c r="O125" s="4">
        <v>-1</v>
      </c>
      <c r="P125" s="4"/>
      <c r="Q125" s="4"/>
      <c r="R125" s="4"/>
      <c r="S125" s="4"/>
      <c r="T125" s="4"/>
      <c r="U125" s="4"/>
      <c r="V125" s="4"/>
      <c r="W125" s="4"/>
    </row>
    <row r="126" spans="1:23">
      <c r="A126" s="4">
        <v>50</v>
      </c>
      <c r="B126" s="4">
        <v>0</v>
      </c>
      <c r="C126" s="4">
        <v>0</v>
      </c>
      <c r="D126" s="4">
        <v>1</v>
      </c>
      <c r="E126" s="4">
        <v>208</v>
      </c>
      <c r="F126" s="4">
        <f>Source!V103</f>
        <v>0.375475</v>
      </c>
      <c r="G126" s="4" t="s">
        <v>137</v>
      </c>
      <c r="H126" s="4" t="s">
        <v>138</v>
      </c>
      <c r="I126" s="4"/>
      <c r="J126" s="4"/>
      <c r="K126" s="4">
        <v>208</v>
      </c>
      <c r="L126" s="4">
        <v>22</v>
      </c>
      <c r="M126" s="4">
        <v>3</v>
      </c>
      <c r="N126" s="4" t="s">
        <v>3</v>
      </c>
      <c r="O126" s="4">
        <v>-1</v>
      </c>
      <c r="P126" s="4"/>
      <c r="Q126" s="4"/>
      <c r="R126" s="4"/>
      <c r="S126" s="4"/>
      <c r="T126" s="4"/>
      <c r="U126" s="4"/>
      <c r="V126" s="4"/>
      <c r="W126" s="4"/>
    </row>
    <row r="127" spans="1:23">
      <c r="A127" s="4">
        <v>50</v>
      </c>
      <c r="B127" s="4">
        <v>0</v>
      </c>
      <c r="C127" s="4">
        <v>0</v>
      </c>
      <c r="D127" s="4">
        <v>1</v>
      </c>
      <c r="E127" s="4">
        <v>209</v>
      </c>
      <c r="F127" s="4">
        <f>ROUND(Source!W103,O127)</f>
        <v>92.74</v>
      </c>
      <c r="G127" s="4" t="s">
        <v>139</v>
      </c>
      <c r="H127" s="4" t="s">
        <v>140</v>
      </c>
      <c r="I127" s="4"/>
      <c r="J127" s="4"/>
      <c r="K127" s="4">
        <v>209</v>
      </c>
      <c r="L127" s="4">
        <v>23</v>
      </c>
      <c r="M127" s="4">
        <v>3</v>
      </c>
      <c r="N127" s="4" t="s">
        <v>3</v>
      </c>
      <c r="O127" s="4">
        <v>2</v>
      </c>
      <c r="P127" s="4"/>
      <c r="Q127" s="4"/>
      <c r="R127" s="4"/>
      <c r="S127" s="4"/>
      <c r="T127" s="4"/>
      <c r="U127" s="4"/>
      <c r="V127" s="4"/>
      <c r="W127" s="4"/>
    </row>
    <row r="128" spans="1:23">
      <c r="A128" s="4">
        <v>50</v>
      </c>
      <c r="B128" s="4">
        <v>0</v>
      </c>
      <c r="C128" s="4">
        <v>0</v>
      </c>
      <c r="D128" s="4">
        <v>1</v>
      </c>
      <c r="E128" s="4">
        <v>233</v>
      </c>
      <c r="F128" s="4">
        <f>ROUND(Source!BD103,O128)</f>
        <v>82.7</v>
      </c>
      <c r="G128" s="4" t="s">
        <v>141</v>
      </c>
      <c r="H128" s="4" t="s">
        <v>142</v>
      </c>
      <c r="I128" s="4"/>
      <c r="J128" s="4"/>
      <c r="K128" s="4">
        <v>233</v>
      </c>
      <c r="L128" s="4">
        <v>24</v>
      </c>
      <c r="M128" s="4">
        <v>3</v>
      </c>
      <c r="N128" s="4" t="s">
        <v>3</v>
      </c>
      <c r="O128" s="4">
        <v>2</v>
      </c>
      <c r="P128" s="4"/>
      <c r="Q128" s="4"/>
      <c r="R128" s="4"/>
      <c r="S128" s="4"/>
      <c r="T128" s="4"/>
      <c r="U128" s="4"/>
      <c r="V128" s="4"/>
      <c r="W128" s="4"/>
    </row>
    <row r="129" spans="1:23">
      <c r="A129" s="4">
        <v>50</v>
      </c>
      <c r="B129" s="4">
        <v>0</v>
      </c>
      <c r="C129" s="4">
        <v>0</v>
      </c>
      <c r="D129" s="4">
        <v>1</v>
      </c>
      <c r="E129" s="4">
        <v>210</v>
      </c>
      <c r="F129" s="4">
        <f>ROUND(Source!X103,O129)</f>
        <v>28129.7</v>
      </c>
      <c r="G129" s="4" t="s">
        <v>143</v>
      </c>
      <c r="H129" s="4" t="s">
        <v>144</v>
      </c>
      <c r="I129" s="4"/>
      <c r="J129" s="4"/>
      <c r="K129" s="4">
        <v>210</v>
      </c>
      <c r="L129" s="4">
        <v>25</v>
      </c>
      <c r="M129" s="4">
        <v>3</v>
      </c>
      <c r="N129" s="4" t="s">
        <v>3</v>
      </c>
      <c r="O129" s="4">
        <v>2</v>
      </c>
      <c r="P129" s="4"/>
      <c r="Q129" s="4"/>
      <c r="R129" s="4"/>
      <c r="S129" s="4"/>
      <c r="T129" s="4"/>
      <c r="U129" s="4"/>
      <c r="V129" s="4"/>
      <c r="W129" s="4"/>
    </row>
    <row r="130" spans="1:23">
      <c r="A130" s="4">
        <v>50</v>
      </c>
      <c r="B130" s="4">
        <v>0</v>
      </c>
      <c r="C130" s="4">
        <v>0</v>
      </c>
      <c r="D130" s="4">
        <v>1</v>
      </c>
      <c r="E130" s="4">
        <v>211</v>
      </c>
      <c r="F130" s="4">
        <f>ROUND(Source!Y103,O130)</f>
        <v>14385.47</v>
      </c>
      <c r="G130" s="4" t="s">
        <v>145</v>
      </c>
      <c r="H130" s="4" t="s">
        <v>146</v>
      </c>
      <c r="I130" s="4"/>
      <c r="J130" s="4"/>
      <c r="K130" s="4">
        <v>211</v>
      </c>
      <c r="L130" s="4">
        <v>26</v>
      </c>
      <c r="M130" s="4">
        <v>3</v>
      </c>
      <c r="N130" s="4" t="s">
        <v>3</v>
      </c>
      <c r="O130" s="4">
        <v>2</v>
      </c>
      <c r="P130" s="4"/>
      <c r="Q130" s="4"/>
      <c r="R130" s="4"/>
      <c r="S130" s="4"/>
      <c r="T130" s="4"/>
      <c r="U130" s="4"/>
      <c r="V130" s="4"/>
      <c r="W130" s="4"/>
    </row>
    <row r="131" spans="1:23">
      <c r="A131" s="4">
        <v>50</v>
      </c>
      <c r="B131" s="4">
        <v>0</v>
      </c>
      <c r="C131" s="4">
        <v>0</v>
      </c>
      <c r="D131" s="4">
        <v>1</v>
      </c>
      <c r="E131" s="4">
        <v>224</v>
      </c>
      <c r="F131" s="4">
        <f>ROUND(Source!AR103,O131)</f>
        <v>99851.05</v>
      </c>
      <c r="G131" s="4" t="s">
        <v>147</v>
      </c>
      <c r="H131" s="4" t="s">
        <v>148</v>
      </c>
      <c r="I131" s="4"/>
      <c r="J131" s="4"/>
      <c r="K131" s="4">
        <v>224</v>
      </c>
      <c r="L131" s="4">
        <v>27</v>
      </c>
      <c r="M131" s="4">
        <v>3</v>
      </c>
      <c r="N131" s="4" t="s">
        <v>3</v>
      </c>
      <c r="O131" s="4">
        <v>2</v>
      </c>
      <c r="P131" s="4"/>
      <c r="Q131" s="4"/>
      <c r="R131" s="4"/>
      <c r="S131" s="4"/>
      <c r="T131" s="4"/>
      <c r="U131" s="4"/>
      <c r="V131" s="4"/>
      <c r="W131" s="4"/>
    </row>
    <row r="132" spans="1:23">
      <c r="A132" s="4">
        <v>50</v>
      </c>
      <c r="B132" s="4">
        <v>1</v>
      </c>
      <c r="C132" s="4">
        <v>0</v>
      </c>
      <c r="D132" s="4">
        <v>2</v>
      </c>
      <c r="E132" s="4">
        <v>0</v>
      </c>
      <c r="F132" s="4">
        <f>ROUND(F131*0.2,O132)</f>
        <v>19970.2</v>
      </c>
      <c r="G132" s="4" t="s">
        <v>149</v>
      </c>
      <c r="H132" s="4" t="s">
        <v>150</v>
      </c>
      <c r="I132" s="4"/>
      <c r="J132" s="4"/>
      <c r="K132" s="4">
        <v>212</v>
      </c>
      <c r="L132" s="4">
        <v>28</v>
      </c>
      <c r="M132" s="4">
        <v>0</v>
      </c>
      <c r="N132" s="4" t="s">
        <v>3</v>
      </c>
      <c r="O132" s="4">
        <v>1</v>
      </c>
      <c r="P132" s="4"/>
      <c r="Q132" s="4"/>
      <c r="R132" s="4"/>
      <c r="S132" s="4"/>
      <c r="T132" s="4"/>
      <c r="U132" s="4"/>
      <c r="V132" s="4"/>
      <c r="W132" s="4"/>
    </row>
    <row r="133" spans="1:23">
      <c r="A133" s="4">
        <v>50</v>
      </c>
      <c r="B133" s="4">
        <v>1</v>
      </c>
      <c r="C133" s="4">
        <v>0</v>
      </c>
      <c r="D133" s="4">
        <v>2</v>
      </c>
      <c r="E133" s="4">
        <v>213</v>
      </c>
      <c r="F133" s="4">
        <f>ROUND(F131*1.2,O133)</f>
        <v>119821.3</v>
      </c>
      <c r="G133" s="4" t="s">
        <v>151</v>
      </c>
      <c r="H133" s="4" t="s">
        <v>152</v>
      </c>
      <c r="I133" s="4"/>
      <c r="J133" s="4"/>
      <c r="K133" s="4">
        <v>212</v>
      </c>
      <c r="L133" s="4">
        <v>29</v>
      </c>
      <c r="M133" s="4">
        <v>0</v>
      </c>
      <c r="N133" s="4" t="s">
        <v>3</v>
      </c>
      <c r="O133" s="4">
        <v>1</v>
      </c>
      <c r="P133" s="4"/>
      <c r="Q133" s="4"/>
      <c r="R133" s="4"/>
      <c r="S133" s="4"/>
      <c r="T133" s="4"/>
      <c r="U133" s="4"/>
      <c r="V133" s="4"/>
      <c r="W133" s="4"/>
    </row>
    <row r="136" spans="1:23">
      <c r="A136">
        <v>70</v>
      </c>
      <c r="B136">
        <v>1</v>
      </c>
      <c r="D136">
        <v>1</v>
      </c>
      <c r="E136" t="s">
        <v>153</v>
      </c>
      <c r="F136" t="s">
        <v>154</v>
      </c>
      <c r="G136">
        <v>0</v>
      </c>
      <c r="H136">
        <v>0</v>
      </c>
      <c r="I136" t="s">
        <v>3</v>
      </c>
      <c r="J136">
        <v>1</v>
      </c>
      <c r="K136">
        <v>0</v>
      </c>
      <c r="L136" t="s">
        <v>3</v>
      </c>
      <c r="M136" t="s">
        <v>3</v>
      </c>
      <c r="N136">
        <v>0</v>
      </c>
      <c r="P136" t="s">
        <v>155</v>
      </c>
    </row>
    <row r="137" spans="1:23">
      <c r="A137">
        <v>70</v>
      </c>
      <c r="B137">
        <v>1</v>
      </c>
      <c r="D137">
        <v>2</v>
      </c>
      <c r="E137" t="s">
        <v>156</v>
      </c>
      <c r="F137" t="s">
        <v>157</v>
      </c>
      <c r="G137">
        <v>1</v>
      </c>
      <c r="H137">
        <v>0</v>
      </c>
      <c r="I137" t="s">
        <v>3</v>
      </c>
      <c r="J137">
        <v>1</v>
      </c>
      <c r="K137">
        <v>0</v>
      </c>
      <c r="L137" t="s">
        <v>3</v>
      </c>
      <c r="M137" t="s">
        <v>3</v>
      </c>
      <c r="N137">
        <v>0</v>
      </c>
      <c r="P137" t="s">
        <v>158</v>
      </c>
    </row>
    <row r="138" spans="1:23">
      <c r="A138">
        <v>70</v>
      </c>
      <c r="B138">
        <v>1</v>
      </c>
      <c r="D138">
        <v>3</v>
      </c>
      <c r="E138" t="s">
        <v>159</v>
      </c>
      <c r="F138" t="s">
        <v>160</v>
      </c>
      <c r="G138">
        <v>0</v>
      </c>
      <c r="H138">
        <v>0</v>
      </c>
      <c r="I138" t="s">
        <v>3</v>
      </c>
      <c r="J138">
        <v>1</v>
      </c>
      <c r="K138">
        <v>0</v>
      </c>
      <c r="L138" t="s">
        <v>3</v>
      </c>
      <c r="M138" t="s">
        <v>3</v>
      </c>
      <c r="N138">
        <v>0</v>
      </c>
      <c r="P138" t="s">
        <v>161</v>
      </c>
    </row>
    <row r="139" spans="1:23">
      <c r="A139">
        <v>70</v>
      </c>
      <c r="B139">
        <v>1</v>
      </c>
      <c r="D139">
        <v>4</v>
      </c>
      <c r="E139" t="s">
        <v>162</v>
      </c>
      <c r="F139" t="s">
        <v>163</v>
      </c>
      <c r="G139">
        <v>0</v>
      </c>
      <c r="H139">
        <v>0</v>
      </c>
      <c r="I139" t="s">
        <v>164</v>
      </c>
      <c r="J139">
        <v>0</v>
      </c>
      <c r="K139">
        <v>0</v>
      </c>
      <c r="L139" t="s">
        <v>3</v>
      </c>
      <c r="M139" t="s">
        <v>3</v>
      </c>
      <c r="N139">
        <v>0</v>
      </c>
      <c r="P139" t="s">
        <v>165</v>
      </c>
    </row>
    <row r="140" spans="1:23">
      <c r="A140">
        <v>70</v>
      </c>
      <c r="B140">
        <v>1</v>
      </c>
      <c r="D140">
        <v>5</v>
      </c>
      <c r="E140" t="s">
        <v>166</v>
      </c>
      <c r="F140" t="s">
        <v>167</v>
      </c>
      <c r="G140">
        <v>0</v>
      </c>
      <c r="H140">
        <v>0</v>
      </c>
      <c r="I140" t="s">
        <v>168</v>
      </c>
      <c r="J140">
        <v>0</v>
      </c>
      <c r="K140">
        <v>0</v>
      </c>
      <c r="L140" t="s">
        <v>3</v>
      </c>
      <c r="M140" t="s">
        <v>3</v>
      </c>
      <c r="N140">
        <v>0</v>
      </c>
      <c r="P140" t="s">
        <v>169</v>
      </c>
    </row>
    <row r="141" spans="1:23">
      <c r="A141">
        <v>70</v>
      </c>
      <c r="B141">
        <v>1</v>
      </c>
      <c r="D141">
        <v>6</v>
      </c>
      <c r="E141" t="s">
        <v>170</v>
      </c>
      <c r="F141" t="s">
        <v>171</v>
      </c>
      <c r="G141">
        <v>0</v>
      </c>
      <c r="H141">
        <v>0</v>
      </c>
      <c r="I141" t="s">
        <v>172</v>
      </c>
      <c r="J141">
        <v>0</v>
      </c>
      <c r="K141">
        <v>0</v>
      </c>
      <c r="L141" t="s">
        <v>3</v>
      </c>
      <c r="M141" t="s">
        <v>3</v>
      </c>
      <c r="N141">
        <v>0</v>
      </c>
      <c r="P141" t="s">
        <v>173</v>
      </c>
    </row>
    <row r="142" spans="1:23">
      <c r="A142">
        <v>70</v>
      </c>
      <c r="B142">
        <v>1</v>
      </c>
      <c r="D142">
        <v>7</v>
      </c>
      <c r="E142" t="s">
        <v>174</v>
      </c>
      <c r="F142" t="s">
        <v>175</v>
      </c>
      <c r="G142">
        <v>1</v>
      </c>
      <c r="H142">
        <v>0</v>
      </c>
      <c r="I142" t="s">
        <v>3</v>
      </c>
      <c r="J142">
        <v>0</v>
      </c>
      <c r="K142">
        <v>0</v>
      </c>
      <c r="L142" t="s">
        <v>3</v>
      </c>
      <c r="M142" t="s">
        <v>3</v>
      </c>
      <c r="N142">
        <v>0</v>
      </c>
      <c r="P142" t="s">
        <v>176</v>
      </c>
    </row>
    <row r="143" spans="1:23">
      <c r="A143">
        <v>70</v>
      </c>
      <c r="B143">
        <v>1</v>
      </c>
      <c r="D143">
        <v>8</v>
      </c>
      <c r="E143" t="s">
        <v>177</v>
      </c>
      <c r="F143" t="s">
        <v>178</v>
      </c>
      <c r="G143">
        <v>0</v>
      </c>
      <c r="H143">
        <v>0</v>
      </c>
      <c r="I143" t="s">
        <v>179</v>
      </c>
      <c r="J143">
        <v>0</v>
      </c>
      <c r="K143">
        <v>0</v>
      </c>
      <c r="L143" t="s">
        <v>3</v>
      </c>
      <c r="M143" t="s">
        <v>3</v>
      </c>
      <c r="N143">
        <v>0</v>
      </c>
      <c r="P143" t="s">
        <v>180</v>
      </c>
    </row>
    <row r="144" spans="1:23">
      <c r="A144">
        <v>70</v>
      </c>
      <c r="B144">
        <v>1</v>
      </c>
      <c r="D144">
        <v>9</v>
      </c>
      <c r="E144" t="s">
        <v>181</v>
      </c>
      <c r="F144" t="s">
        <v>182</v>
      </c>
      <c r="G144">
        <v>0</v>
      </c>
      <c r="H144">
        <v>0</v>
      </c>
      <c r="I144" t="s">
        <v>183</v>
      </c>
      <c r="J144">
        <v>0</v>
      </c>
      <c r="K144">
        <v>0</v>
      </c>
      <c r="L144" t="s">
        <v>3</v>
      </c>
      <c r="M144" t="s">
        <v>3</v>
      </c>
      <c r="N144">
        <v>0</v>
      </c>
      <c r="P144" t="s">
        <v>184</v>
      </c>
    </row>
    <row r="145" spans="1:16">
      <c r="A145">
        <v>70</v>
      </c>
      <c r="B145">
        <v>1</v>
      </c>
      <c r="D145">
        <v>10</v>
      </c>
      <c r="E145" t="s">
        <v>185</v>
      </c>
      <c r="F145" t="s">
        <v>186</v>
      </c>
      <c r="G145">
        <v>0</v>
      </c>
      <c r="H145">
        <v>0</v>
      </c>
      <c r="I145" t="s">
        <v>187</v>
      </c>
      <c r="J145">
        <v>0</v>
      </c>
      <c r="K145">
        <v>0</v>
      </c>
      <c r="L145" t="s">
        <v>3</v>
      </c>
      <c r="M145" t="s">
        <v>3</v>
      </c>
      <c r="N145">
        <v>0</v>
      </c>
      <c r="P145" t="s">
        <v>188</v>
      </c>
    </row>
    <row r="146" spans="1:16">
      <c r="A146">
        <v>70</v>
      </c>
      <c r="B146">
        <v>1</v>
      </c>
      <c r="D146">
        <v>11</v>
      </c>
      <c r="E146" t="s">
        <v>189</v>
      </c>
      <c r="F146" t="s">
        <v>190</v>
      </c>
      <c r="G146">
        <v>0</v>
      </c>
      <c r="H146">
        <v>0</v>
      </c>
      <c r="I146" t="s">
        <v>191</v>
      </c>
      <c r="J146">
        <v>0</v>
      </c>
      <c r="K146">
        <v>0</v>
      </c>
      <c r="L146" t="s">
        <v>3</v>
      </c>
      <c r="M146" t="s">
        <v>3</v>
      </c>
      <c r="N146">
        <v>0</v>
      </c>
      <c r="P146" t="s">
        <v>192</v>
      </c>
    </row>
    <row r="147" spans="1:16">
      <c r="A147">
        <v>70</v>
      </c>
      <c r="B147">
        <v>1</v>
      </c>
      <c r="D147">
        <v>12</v>
      </c>
      <c r="E147" t="s">
        <v>193</v>
      </c>
      <c r="F147" t="s">
        <v>194</v>
      </c>
      <c r="G147">
        <v>0</v>
      </c>
      <c r="H147">
        <v>0</v>
      </c>
      <c r="I147" t="s">
        <v>3</v>
      </c>
      <c r="J147">
        <v>0</v>
      </c>
      <c r="K147">
        <v>0</v>
      </c>
      <c r="L147" t="s">
        <v>3</v>
      </c>
      <c r="M147" t="s">
        <v>3</v>
      </c>
      <c r="N147">
        <v>0</v>
      </c>
      <c r="P147" t="s">
        <v>3</v>
      </c>
    </row>
    <row r="148" spans="1:16">
      <c r="A148">
        <v>70</v>
      </c>
      <c r="B148">
        <v>1</v>
      </c>
      <c r="D148">
        <v>1</v>
      </c>
      <c r="E148" t="s">
        <v>195</v>
      </c>
      <c r="F148" t="s">
        <v>196</v>
      </c>
      <c r="G148">
        <v>0.9</v>
      </c>
      <c r="H148">
        <v>1</v>
      </c>
      <c r="I148" t="s">
        <v>197</v>
      </c>
      <c r="J148">
        <v>0</v>
      </c>
      <c r="K148">
        <v>0</v>
      </c>
      <c r="L148" t="s">
        <v>3</v>
      </c>
      <c r="M148" t="s">
        <v>3</v>
      </c>
      <c r="N148">
        <v>0</v>
      </c>
      <c r="P148" t="s">
        <v>3</v>
      </c>
    </row>
    <row r="149" spans="1:16">
      <c r="A149">
        <v>70</v>
      </c>
      <c r="B149">
        <v>1</v>
      </c>
      <c r="D149">
        <v>2</v>
      </c>
      <c r="E149" t="s">
        <v>198</v>
      </c>
      <c r="F149" t="s">
        <v>199</v>
      </c>
      <c r="G149">
        <v>0.85</v>
      </c>
      <c r="H149">
        <v>1</v>
      </c>
      <c r="I149" t="s">
        <v>200</v>
      </c>
      <c r="J149">
        <v>0</v>
      </c>
      <c r="K149">
        <v>0</v>
      </c>
      <c r="L149" t="s">
        <v>3</v>
      </c>
      <c r="M149" t="s">
        <v>3</v>
      </c>
      <c r="N149">
        <v>0</v>
      </c>
      <c r="P149" t="s">
        <v>3</v>
      </c>
    </row>
    <row r="150" spans="1:16">
      <c r="A150">
        <v>70</v>
      </c>
      <c r="B150">
        <v>1</v>
      </c>
      <c r="D150">
        <v>3</v>
      </c>
      <c r="E150" t="s">
        <v>201</v>
      </c>
      <c r="F150" t="s">
        <v>202</v>
      </c>
      <c r="G150">
        <v>1</v>
      </c>
      <c r="H150">
        <v>0.85</v>
      </c>
      <c r="I150" t="s">
        <v>203</v>
      </c>
      <c r="J150">
        <v>0</v>
      </c>
      <c r="K150">
        <v>0</v>
      </c>
      <c r="L150" t="s">
        <v>3</v>
      </c>
      <c r="M150" t="s">
        <v>3</v>
      </c>
      <c r="N150">
        <v>0</v>
      </c>
      <c r="P150" t="s">
        <v>3</v>
      </c>
    </row>
    <row r="151" spans="1:16">
      <c r="A151">
        <v>70</v>
      </c>
      <c r="B151">
        <v>1</v>
      </c>
      <c r="D151">
        <v>4</v>
      </c>
      <c r="E151" t="s">
        <v>204</v>
      </c>
      <c r="F151" t="s">
        <v>205</v>
      </c>
      <c r="G151">
        <v>1</v>
      </c>
      <c r="H151">
        <v>0</v>
      </c>
      <c r="I151" t="s">
        <v>3</v>
      </c>
      <c r="J151">
        <v>0</v>
      </c>
      <c r="K151">
        <v>0</v>
      </c>
      <c r="L151" t="s">
        <v>3</v>
      </c>
      <c r="M151" t="s">
        <v>3</v>
      </c>
      <c r="N151">
        <v>0</v>
      </c>
      <c r="P151" t="s">
        <v>3</v>
      </c>
    </row>
    <row r="152" spans="1:16">
      <c r="A152">
        <v>70</v>
      </c>
      <c r="B152">
        <v>1</v>
      </c>
      <c r="D152">
        <v>5</v>
      </c>
      <c r="E152" t="s">
        <v>206</v>
      </c>
      <c r="F152" t="s">
        <v>207</v>
      </c>
      <c r="G152">
        <v>1</v>
      </c>
      <c r="H152">
        <v>0.8</v>
      </c>
      <c r="I152" t="s">
        <v>208</v>
      </c>
      <c r="J152">
        <v>0</v>
      </c>
      <c r="K152">
        <v>0</v>
      </c>
      <c r="L152" t="s">
        <v>3</v>
      </c>
      <c r="M152" t="s">
        <v>3</v>
      </c>
      <c r="N152">
        <v>0</v>
      </c>
      <c r="P152" t="s">
        <v>3</v>
      </c>
    </row>
    <row r="153" spans="1:16">
      <c r="A153">
        <v>70</v>
      </c>
      <c r="B153">
        <v>1</v>
      </c>
      <c r="D153">
        <v>6</v>
      </c>
      <c r="E153" t="s">
        <v>209</v>
      </c>
      <c r="F153" t="s">
        <v>210</v>
      </c>
      <c r="G153">
        <v>0.85</v>
      </c>
      <c r="H153">
        <v>0</v>
      </c>
      <c r="I153" t="s">
        <v>3</v>
      </c>
      <c r="J153">
        <v>0</v>
      </c>
      <c r="K153">
        <v>0</v>
      </c>
      <c r="L153" t="s">
        <v>3</v>
      </c>
      <c r="M153" t="s">
        <v>3</v>
      </c>
      <c r="N153">
        <v>0</v>
      </c>
      <c r="P153" t="s">
        <v>3</v>
      </c>
    </row>
    <row r="154" spans="1:16">
      <c r="A154">
        <v>70</v>
      </c>
      <c r="B154">
        <v>1</v>
      </c>
      <c r="D154">
        <v>7</v>
      </c>
      <c r="E154" t="s">
        <v>211</v>
      </c>
      <c r="F154" t="s">
        <v>212</v>
      </c>
      <c r="G154">
        <v>0.8</v>
      </c>
      <c r="H154">
        <v>0</v>
      </c>
      <c r="I154" t="s">
        <v>3</v>
      </c>
      <c r="J154">
        <v>0</v>
      </c>
      <c r="K154">
        <v>0</v>
      </c>
      <c r="L154" t="s">
        <v>3</v>
      </c>
      <c r="M154" t="s">
        <v>3</v>
      </c>
      <c r="N154">
        <v>0</v>
      </c>
      <c r="P154" t="s">
        <v>3</v>
      </c>
    </row>
    <row r="155" spans="1:16">
      <c r="A155">
        <v>70</v>
      </c>
      <c r="B155">
        <v>1</v>
      </c>
      <c r="D155">
        <v>8</v>
      </c>
      <c r="E155" t="s">
        <v>213</v>
      </c>
      <c r="F155" t="s">
        <v>214</v>
      </c>
      <c r="G155">
        <v>0.7</v>
      </c>
      <c r="H155">
        <v>0</v>
      </c>
      <c r="I155" t="s">
        <v>3</v>
      </c>
      <c r="J155">
        <v>0</v>
      </c>
      <c r="K155">
        <v>0</v>
      </c>
      <c r="L155" t="s">
        <v>3</v>
      </c>
      <c r="M155" t="s">
        <v>3</v>
      </c>
      <c r="N155">
        <v>0</v>
      </c>
      <c r="P155" t="s">
        <v>3</v>
      </c>
    </row>
    <row r="156" spans="1:16">
      <c r="A156">
        <v>70</v>
      </c>
      <c r="B156">
        <v>1</v>
      </c>
      <c r="D156">
        <v>9</v>
      </c>
      <c r="E156" t="s">
        <v>215</v>
      </c>
      <c r="F156" t="s">
        <v>216</v>
      </c>
      <c r="G156">
        <v>0.9</v>
      </c>
      <c r="H156">
        <v>0</v>
      </c>
      <c r="I156" t="s">
        <v>3</v>
      </c>
      <c r="J156">
        <v>0</v>
      </c>
      <c r="K156">
        <v>0</v>
      </c>
      <c r="L156" t="s">
        <v>3</v>
      </c>
      <c r="M156" t="s">
        <v>3</v>
      </c>
      <c r="N156">
        <v>0</v>
      </c>
      <c r="P156" t="s">
        <v>3</v>
      </c>
    </row>
    <row r="157" spans="1:16">
      <c r="A157">
        <v>70</v>
      </c>
      <c r="B157">
        <v>1</v>
      </c>
      <c r="D157">
        <v>10</v>
      </c>
      <c r="E157" t="s">
        <v>217</v>
      </c>
      <c r="F157" t="s">
        <v>218</v>
      </c>
      <c r="G157">
        <v>0.6</v>
      </c>
      <c r="H157">
        <v>0</v>
      </c>
      <c r="I157" t="s">
        <v>3</v>
      </c>
      <c r="J157">
        <v>0</v>
      </c>
      <c r="K157">
        <v>0</v>
      </c>
      <c r="L157" t="s">
        <v>3</v>
      </c>
      <c r="M157" t="s">
        <v>3</v>
      </c>
      <c r="N157">
        <v>0</v>
      </c>
      <c r="P157" t="s">
        <v>3</v>
      </c>
    </row>
    <row r="158" spans="1:16">
      <c r="A158">
        <v>70</v>
      </c>
      <c r="B158">
        <v>1</v>
      </c>
      <c r="D158">
        <v>11</v>
      </c>
      <c r="E158" t="s">
        <v>219</v>
      </c>
      <c r="F158" t="s">
        <v>220</v>
      </c>
      <c r="G158">
        <v>1.2</v>
      </c>
      <c r="H158">
        <v>0</v>
      </c>
      <c r="I158" t="s">
        <v>3</v>
      </c>
      <c r="J158">
        <v>0</v>
      </c>
      <c r="K158">
        <v>0</v>
      </c>
      <c r="L158" t="s">
        <v>3</v>
      </c>
      <c r="M158" t="s">
        <v>3</v>
      </c>
      <c r="N158">
        <v>0</v>
      </c>
      <c r="P158" t="s">
        <v>3</v>
      </c>
    </row>
    <row r="159" spans="1:16">
      <c r="A159">
        <v>70</v>
      </c>
      <c r="B159">
        <v>1</v>
      </c>
      <c r="D159">
        <v>12</v>
      </c>
      <c r="E159" t="s">
        <v>221</v>
      </c>
      <c r="F159" t="s">
        <v>222</v>
      </c>
      <c r="G159">
        <v>0</v>
      </c>
      <c r="H159">
        <v>0</v>
      </c>
      <c r="I159" t="s">
        <v>3</v>
      </c>
      <c r="J159">
        <v>0</v>
      </c>
      <c r="K159">
        <v>0</v>
      </c>
      <c r="L159" t="s">
        <v>3</v>
      </c>
      <c r="M159" t="s">
        <v>3</v>
      </c>
      <c r="N159">
        <v>0</v>
      </c>
      <c r="P159" t="s">
        <v>3</v>
      </c>
    </row>
    <row r="160" spans="1:16">
      <c r="A160">
        <v>70</v>
      </c>
      <c r="B160">
        <v>1</v>
      </c>
      <c r="D160">
        <v>13</v>
      </c>
      <c r="E160" t="s">
        <v>223</v>
      </c>
      <c r="F160" t="s">
        <v>224</v>
      </c>
      <c r="G160">
        <v>1</v>
      </c>
      <c r="H160">
        <v>0</v>
      </c>
      <c r="I160" t="s">
        <v>3</v>
      </c>
      <c r="J160">
        <v>0</v>
      </c>
      <c r="K160">
        <v>0</v>
      </c>
      <c r="L160" t="s">
        <v>3</v>
      </c>
      <c r="M160" t="s">
        <v>3</v>
      </c>
      <c r="N160">
        <v>0</v>
      </c>
      <c r="P160" t="s">
        <v>3</v>
      </c>
    </row>
    <row r="162" spans="1:40">
      <c r="A162">
        <v>-1</v>
      </c>
    </row>
    <row r="164" spans="1:40">
      <c r="A164" s="3">
        <v>75</v>
      </c>
      <c r="B164" s="3" t="s">
        <v>225</v>
      </c>
      <c r="C164" s="3">
        <v>2021</v>
      </c>
      <c r="D164" s="3">
        <v>0</v>
      </c>
      <c r="E164" s="3">
        <v>2</v>
      </c>
      <c r="F164" s="3"/>
      <c r="G164" s="3">
        <v>0</v>
      </c>
      <c r="H164" s="3">
        <v>1</v>
      </c>
      <c r="I164" s="3">
        <v>0</v>
      </c>
      <c r="J164" s="3">
        <v>3</v>
      </c>
      <c r="K164" s="3">
        <v>0</v>
      </c>
      <c r="L164" s="3">
        <v>0</v>
      </c>
      <c r="M164" s="3">
        <v>0</v>
      </c>
      <c r="N164" s="3">
        <v>35798216</v>
      </c>
      <c r="O164" s="3">
        <v>1</v>
      </c>
    </row>
    <row r="165" spans="1:40">
      <c r="A165" s="5">
        <v>1</v>
      </c>
      <c r="B165" s="5" t="s">
        <v>226</v>
      </c>
      <c r="C165" s="5" t="s">
        <v>227</v>
      </c>
      <c r="D165" s="5">
        <v>2021</v>
      </c>
      <c r="E165" s="5">
        <v>2</v>
      </c>
      <c r="F165" s="5">
        <v>1</v>
      </c>
      <c r="G165" s="5">
        <v>1</v>
      </c>
      <c r="H165" s="5">
        <v>0</v>
      </c>
      <c r="I165" s="5">
        <v>2</v>
      </c>
      <c r="J165" s="5">
        <v>1</v>
      </c>
      <c r="K165" s="5">
        <v>1</v>
      </c>
      <c r="L165" s="5">
        <v>1</v>
      </c>
      <c r="M165" s="5">
        <v>1</v>
      </c>
      <c r="N165" s="5">
        <v>1</v>
      </c>
      <c r="O165" s="5">
        <v>1</v>
      </c>
      <c r="P165" s="5">
        <v>1</v>
      </c>
      <c r="Q165" s="5">
        <v>1</v>
      </c>
      <c r="R165" s="5" t="s">
        <v>3</v>
      </c>
      <c r="S165" s="5" t="s">
        <v>3</v>
      </c>
      <c r="T165" s="5" t="s">
        <v>3</v>
      </c>
      <c r="U165" s="5" t="s">
        <v>3</v>
      </c>
      <c r="V165" s="5" t="s">
        <v>3</v>
      </c>
      <c r="W165" s="5" t="s">
        <v>3</v>
      </c>
      <c r="X165" s="5" t="s">
        <v>3</v>
      </c>
      <c r="Y165" s="5" t="s">
        <v>3</v>
      </c>
      <c r="Z165" s="5" t="s">
        <v>3</v>
      </c>
      <c r="AA165" s="5" t="s">
        <v>3</v>
      </c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>
        <v>35798217</v>
      </c>
    </row>
    <row r="166" spans="1:40">
      <c r="A166" s="5">
        <v>2</v>
      </c>
      <c r="B166" s="5" t="s">
        <v>228</v>
      </c>
      <c r="C166" s="5" t="s">
        <v>229</v>
      </c>
      <c r="D166" s="5">
        <v>0</v>
      </c>
      <c r="E166" s="5">
        <v>0</v>
      </c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>
        <v>35798218</v>
      </c>
    </row>
    <row r="170" spans="1:40">
      <c r="A170">
        <v>65</v>
      </c>
      <c r="C170">
        <v>1</v>
      </c>
      <c r="D170">
        <v>0</v>
      </c>
      <c r="E170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C55"/>
  <sheetViews>
    <sheetView workbookViewId="0"/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230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1</v>
      </c>
      <c r="Q1">
        <v>0</v>
      </c>
    </row>
    <row r="12" spans="1:133">
      <c r="A12" s="1">
        <v>1</v>
      </c>
      <c r="B12" s="1">
        <v>53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35798216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1</v>
      </c>
      <c r="C16" s="6" t="s">
        <v>12</v>
      </c>
      <c r="D16" s="6" t="s">
        <v>12</v>
      </c>
      <c r="E16" s="7">
        <f>(Source!F90)/1000</f>
        <v>92.549890000000005</v>
      </c>
      <c r="F16" s="7">
        <f>(Source!F91)/1000</f>
        <v>7.3011599999999994</v>
      </c>
      <c r="G16" s="7">
        <f>(Source!F82)/1000</f>
        <v>0</v>
      </c>
      <c r="H16" s="7">
        <f>(Source!F92)/1000+(Source!F93)/1000</f>
        <v>0</v>
      </c>
      <c r="I16" s="7">
        <f>E16+F16+G16+H16</f>
        <v>99.851050000000001</v>
      </c>
      <c r="J16" s="7">
        <f>(Source!F88)/1000</f>
        <v>28.450710000000001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57335.88</v>
      </c>
      <c r="AU16" s="7">
        <v>26521.37</v>
      </c>
      <c r="AV16" s="7">
        <v>0</v>
      </c>
      <c r="AW16" s="7">
        <v>0</v>
      </c>
      <c r="AX16" s="7">
        <v>0</v>
      </c>
      <c r="AY16" s="7">
        <v>2363.8000000000002</v>
      </c>
      <c r="AZ16" s="7">
        <v>167.59</v>
      </c>
      <c r="BA16" s="7">
        <v>28450.71</v>
      </c>
      <c r="BB16" s="7">
        <v>92549.89</v>
      </c>
      <c r="BC16" s="7">
        <v>7301.16</v>
      </c>
      <c r="BD16" s="7">
        <v>0</v>
      </c>
      <c r="BE16" s="7">
        <v>0</v>
      </c>
      <c r="BF16" s="7">
        <v>92.838961999999995</v>
      </c>
      <c r="BG16" s="7">
        <v>0.375475</v>
      </c>
      <c r="BH16" s="7">
        <v>92.74</v>
      </c>
      <c r="BI16" s="7">
        <v>28129.7</v>
      </c>
      <c r="BJ16" s="7">
        <v>14385.47</v>
      </c>
      <c r="BK16" s="7">
        <v>99851.05</v>
      </c>
    </row>
    <row r="18" spans="1:19">
      <c r="A18">
        <v>51</v>
      </c>
      <c r="E18" s="8">
        <f>SUMIF(A16:A17,3,E16:E17)</f>
        <v>92.549890000000005</v>
      </c>
      <c r="F18" s="8">
        <f>SUMIF(A16:A17,3,F16:F17)</f>
        <v>7.3011599999999994</v>
      </c>
      <c r="G18" s="8">
        <f>SUMIF(A16:A17,3,G16:G17)</f>
        <v>0</v>
      </c>
      <c r="H18" s="8">
        <f>SUMIF(A16:A17,3,H16:H17)</f>
        <v>0</v>
      </c>
      <c r="I18" s="8">
        <f>SUMIF(A16:A17,3,I16:I17)</f>
        <v>99.851050000000001</v>
      </c>
      <c r="J18" s="8">
        <f>SUMIF(A16:A17,3,J16:J17)</f>
        <v>28.450710000000001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57335.88</v>
      </c>
      <c r="G20" s="4" t="s">
        <v>95</v>
      </c>
      <c r="H20" s="4" t="s">
        <v>96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26521.37</v>
      </c>
      <c r="G21" s="4" t="s">
        <v>97</v>
      </c>
      <c r="H21" s="4" t="s">
        <v>98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99</v>
      </c>
      <c r="H22" s="4" t="s">
        <v>100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26521.37</v>
      </c>
      <c r="G23" s="4" t="s">
        <v>101</v>
      </c>
      <c r="H23" s="4" t="s">
        <v>102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26521.37</v>
      </c>
      <c r="G24" s="4" t="s">
        <v>103</v>
      </c>
      <c r="H24" s="4" t="s">
        <v>104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105</v>
      </c>
      <c r="H25" s="4" t="s">
        <v>106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26521.37</v>
      </c>
      <c r="G26" s="4" t="s">
        <v>107</v>
      </c>
      <c r="H26" s="4" t="s">
        <v>108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109</v>
      </c>
      <c r="H27" s="4" t="s">
        <v>110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111</v>
      </c>
      <c r="H28" s="4" t="s">
        <v>112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113</v>
      </c>
      <c r="H29" s="4" t="s">
        <v>114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2363.8000000000002</v>
      </c>
      <c r="G30" s="4" t="s">
        <v>115</v>
      </c>
      <c r="H30" s="4" t="s">
        <v>116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117</v>
      </c>
      <c r="H31" s="4" t="s">
        <v>118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167.59</v>
      </c>
      <c r="G32" s="4" t="s">
        <v>119</v>
      </c>
      <c r="H32" s="4" t="s">
        <v>120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28450.71</v>
      </c>
      <c r="G33" s="4" t="s">
        <v>121</v>
      </c>
      <c r="H33" s="4" t="s">
        <v>122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123</v>
      </c>
      <c r="H34" s="4" t="s">
        <v>124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92549.89</v>
      </c>
      <c r="G35" s="4" t="s">
        <v>125</v>
      </c>
      <c r="H35" s="4" t="s">
        <v>126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7301.16</v>
      </c>
      <c r="G36" s="4" t="s">
        <v>127</v>
      </c>
      <c r="H36" s="4" t="s">
        <v>128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129</v>
      </c>
      <c r="H37" s="4" t="s">
        <v>130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131</v>
      </c>
      <c r="H38" s="4" t="s">
        <v>132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133</v>
      </c>
      <c r="H39" s="4" t="s">
        <v>134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92.838961999999995</v>
      </c>
      <c r="G40" s="4" t="s">
        <v>135</v>
      </c>
      <c r="H40" s="4" t="s">
        <v>136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0.375475</v>
      </c>
      <c r="G41" s="4" t="s">
        <v>137</v>
      </c>
      <c r="H41" s="4" t="s">
        <v>138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92.74</v>
      </c>
      <c r="G42" s="4" t="s">
        <v>139</v>
      </c>
      <c r="H42" s="4" t="s">
        <v>140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82.7</v>
      </c>
      <c r="G43" s="4" t="s">
        <v>141</v>
      </c>
      <c r="H43" s="4" t="s">
        <v>142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28129.7</v>
      </c>
      <c r="G44" s="4" t="s">
        <v>143</v>
      </c>
      <c r="H44" s="4" t="s">
        <v>144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14385.47</v>
      </c>
      <c r="G45" s="4" t="s">
        <v>145</v>
      </c>
      <c r="H45" s="4" t="s">
        <v>146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99851.05</v>
      </c>
      <c r="G46" s="4" t="s">
        <v>147</v>
      </c>
      <c r="H46" s="4" t="s">
        <v>148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19970.2</v>
      </c>
      <c r="G47" s="4" t="s">
        <v>149</v>
      </c>
      <c r="H47" s="4" t="s">
        <v>150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1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213</v>
      </c>
      <c r="F48" s="4">
        <v>119821.3</v>
      </c>
      <c r="G48" s="4" t="s">
        <v>151</v>
      </c>
      <c r="H48" s="4" t="s">
        <v>152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1</v>
      </c>
      <c r="P48" s="4"/>
    </row>
    <row r="50" spans="1:40">
      <c r="A50">
        <v>-1</v>
      </c>
    </row>
    <row r="53" spans="1:40">
      <c r="A53" s="3">
        <v>75</v>
      </c>
      <c r="B53" s="3" t="s">
        <v>225</v>
      </c>
      <c r="C53" s="3">
        <v>2021</v>
      </c>
      <c r="D53" s="3">
        <v>0</v>
      </c>
      <c r="E53" s="3">
        <v>2</v>
      </c>
      <c r="F53" s="3"/>
      <c r="G53" s="3">
        <v>0</v>
      </c>
      <c r="H53" s="3">
        <v>1</v>
      </c>
      <c r="I53" s="3">
        <v>0</v>
      </c>
      <c r="J53" s="3">
        <v>3</v>
      </c>
      <c r="K53" s="3">
        <v>0</v>
      </c>
      <c r="L53" s="3">
        <v>0</v>
      </c>
      <c r="M53" s="3">
        <v>0</v>
      </c>
      <c r="N53" s="3">
        <v>35798216</v>
      </c>
      <c r="O53" s="3">
        <v>1</v>
      </c>
    </row>
    <row r="54" spans="1:40">
      <c r="A54" s="5">
        <v>1</v>
      </c>
      <c r="B54" s="5" t="s">
        <v>226</v>
      </c>
      <c r="C54" s="5" t="s">
        <v>227</v>
      </c>
      <c r="D54" s="5">
        <v>2021</v>
      </c>
      <c r="E54" s="5">
        <v>2</v>
      </c>
      <c r="F54" s="5">
        <v>1</v>
      </c>
      <c r="G54" s="5">
        <v>1</v>
      </c>
      <c r="H54" s="5">
        <v>0</v>
      </c>
      <c r="I54" s="5">
        <v>2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 t="s">
        <v>3</v>
      </c>
      <c r="S54" s="5" t="s">
        <v>3</v>
      </c>
      <c r="T54" s="5" t="s">
        <v>3</v>
      </c>
      <c r="U54" s="5" t="s">
        <v>3</v>
      </c>
      <c r="V54" s="5" t="s">
        <v>3</v>
      </c>
      <c r="W54" s="5" t="s">
        <v>3</v>
      </c>
      <c r="X54" s="5" t="s">
        <v>3</v>
      </c>
      <c r="Y54" s="5" t="s">
        <v>3</v>
      </c>
      <c r="Z54" s="5" t="s">
        <v>3</v>
      </c>
      <c r="AA54" s="5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>
        <v>35798217</v>
      </c>
    </row>
    <row r="55" spans="1:40">
      <c r="A55" s="5">
        <v>2</v>
      </c>
      <c r="B55" s="5" t="s">
        <v>228</v>
      </c>
      <c r="C55" s="5" t="s">
        <v>229</v>
      </c>
      <c r="D55" s="5">
        <v>0</v>
      </c>
      <c r="E55" s="5"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35798218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C45"/>
  <sheetViews>
    <sheetView workbookViewId="0"/>
  </sheetViews>
  <sheetFormatPr defaultColWidth="9.140625" defaultRowHeight="12.75"/>
  <cols>
    <col min="1" max="256" width="9.140625" customWidth="1"/>
  </cols>
  <sheetData>
    <row r="1" spans="1:107">
      <c r="A1">
        <f>ROW(Source!A24)</f>
        <v>24</v>
      </c>
      <c r="B1">
        <v>35798216</v>
      </c>
      <c r="C1">
        <v>35798353</v>
      </c>
      <c r="D1">
        <v>18409850</v>
      </c>
      <c r="E1">
        <v>1</v>
      </c>
      <c r="F1">
        <v>1</v>
      </c>
      <c r="G1">
        <v>1</v>
      </c>
      <c r="H1">
        <v>1</v>
      </c>
      <c r="I1" t="s">
        <v>231</v>
      </c>
      <c r="J1" t="s">
        <v>3</v>
      </c>
      <c r="K1" t="s">
        <v>232</v>
      </c>
      <c r="L1">
        <v>1369</v>
      </c>
      <c r="N1">
        <v>1013</v>
      </c>
      <c r="O1" t="s">
        <v>233</v>
      </c>
      <c r="P1" t="s">
        <v>233</v>
      </c>
      <c r="Q1">
        <v>1</v>
      </c>
      <c r="W1">
        <v>0</v>
      </c>
      <c r="X1">
        <v>855544366</v>
      </c>
      <c r="Y1">
        <v>81.649999999999991</v>
      </c>
      <c r="AA1">
        <v>0</v>
      </c>
      <c r="AB1">
        <v>0</v>
      </c>
      <c r="AC1">
        <v>0</v>
      </c>
      <c r="AD1">
        <v>296.13</v>
      </c>
      <c r="AE1">
        <v>0</v>
      </c>
      <c r="AF1">
        <v>0</v>
      </c>
      <c r="AG1">
        <v>0</v>
      </c>
      <c r="AH1">
        <v>296.13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3</v>
      </c>
      <c r="AT1">
        <v>71</v>
      </c>
      <c r="AU1" t="s">
        <v>19</v>
      </c>
      <c r="AV1">
        <v>1</v>
      </c>
      <c r="AW1">
        <v>2</v>
      </c>
      <c r="AX1">
        <v>35798354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Y1*Source!I24</f>
        <v>28.577499999999993</v>
      </c>
      <c r="CY1">
        <f>AD1</f>
        <v>296.13</v>
      </c>
      <c r="CZ1">
        <f>AH1</f>
        <v>296.13</v>
      </c>
      <c r="DA1">
        <f>AL1</f>
        <v>1</v>
      </c>
      <c r="DB1">
        <f>ROUND((ROUND(AT1*CZ1,2)*1.15),6)</f>
        <v>24179.014500000001</v>
      </c>
      <c r="DC1">
        <f>ROUND((ROUND(AT1*AG1,2)*1.15),6)</f>
        <v>0</v>
      </c>
    </row>
    <row r="2" spans="1:107">
      <c r="A2">
        <f>ROW(Source!A24)</f>
        <v>24</v>
      </c>
      <c r="B2">
        <v>35798216</v>
      </c>
      <c r="C2">
        <v>35798353</v>
      </c>
      <c r="D2">
        <v>29173472</v>
      </c>
      <c r="E2">
        <v>1</v>
      </c>
      <c r="F2">
        <v>1</v>
      </c>
      <c r="G2">
        <v>1</v>
      </c>
      <c r="H2">
        <v>2</v>
      </c>
      <c r="I2" t="s">
        <v>234</v>
      </c>
      <c r="J2" t="s">
        <v>235</v>
      </c>
      <c r="K2" t="s">
        <v>236</v>
      </c>
      <c r="L2">
        <v>1368</v>
      </c>
      <c r="N2">
        <v>1011</v>
      </c>
      <c r="O2" t="s">
        <v>237</v>
      </c>
      <c r="P2" t="s">
        <v>237</v>
      </c>
      <c r="Q2">
        <v>1</v>
      </c>
      <c r="W2">
        <v>0</v>
      </c>
      <c r="X2">
        <v>275932499</v>
      </c>
      <c r="Y2">
        <v>1.9375</v>
      </c>
      <c r="AA2">
        <v>0</v>
      </c>
      <c r="AB2">
        <v>12.75</v>
      </c>
      <c r="AC2">
        <v>0</v>
      </c>
      <c r="AD2">
        <v>0</v>
      </c>
      <c r="AE2">
        <v>0</v>
      </c>
      <c r="AF2">
        <v>3</v>
      </c>
      <c r="AG2">
        <v>0</v>
      </c>
      <c r="AH2">
        <v>0</v>
      </c>
      <c r="AI2">
        <v>1</v>
      </c>
      <c r="AJ2">
        <v>4.25</v>
      </c>
      <c r="AK2">
        <v>33.049999999999997</v>
      </c>
      <c r="AL2">
        <v>1</v>
      </c>
      <c r="AN2">
        <v>0</v>
      </c>
      <c r="AO2">
        <v>1</v>
      </c>
      <c r="AP2">
        <v>1</v>
      </c>
      <c r="AQ2">
        <v>0</v>
      </c>
      <c r="AR2">
        <v>0</v>
      </c>
      <c r="AS2" t="s">
        <v>3</v>
      </c>
      <c r="AT2">
        <v>1.55</v>
      </c>
      <c r="AU2" t="s">
        <v>18</v>
      </c>
      <c r="AV2">
        <v>0</v>
      </c>
      <c r="AW2">
        <v>2</v>
      </c>
      <c r="AX2">
        <v>35798355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Y2*Source!I24</f>
        <v>0.67812499999999998</v>
      </c>
      <c r="CY2">
        <f>AB2</f>
        <v>12.75</v>
      </c>
      <c r="CZ2">
        <f>AF2</f>
        <v>3</v>
      </c>
      <c r="DA2">
        <f>AJ2</f>
        <v>4.25</v>
      </c>
      <c r="DB2">
        <f>ROUND((ROUND(AT2*CZ2,2)*1.25),6)</f>
        <v>5.8125</v>
      </c>
      <c r="DC2">
        <f>ROUND((ROUND(AT2*AG2,2)*1.25),6)</f>
        <v>0</v>
      </c>
    </row>
    <row r="3" spans="1:107">
      <c r="A3">
        <f>ROW(Source!A24)</f>
        <v>24</v>
      </c>
      <c r="B3">
        <v>35798216</v>
      </c>
      <c r="C3">
        <v>35798353</v>
      </c>
      <c r="D3">
        <v>29174538</v>
      </c>
      <c r="E3">
        <v>1</v>
      </c>
      <c r="F3">
        <v>1</v>
      </c>
      <c r="G3">
        <v>1</v>
      </c>
      <c r="H3">
        <v>2</v>
      </c>
      <c r="I3" t="s">
        <v>238</v>
      </c>
      <c r="J3" t="s">
        <v>239</v>
      </c>
      <c r="K3" t="s">
        <v>240</v>
      </c>
      <c r="L3">
        <v>1368</v>
      </c>
      <c r="N3">
        <v>1011</v>
      </c>
      <c r="O3" t="s">
        <v>237</v>
      </c>
      <c r="P3" t="s">
        <v>237</v>
      </c>
      <c r="Q3">
        <v>1</v>
      </c>
      <c r="W3">
        <v>0</v>
      </c>
      <c r="X3">
        <v>1107538725</v>
      </c>
      <c r="Y3">
        <v>0.47499999999999998</v>
      </c>
      <c r="AA3">
        <v>0</v>
      </c>
      <c r="AB3">
        <v>187.1</v>
      </c>
      <c r="AC3">
        <v>0</v>
      </c>
      <c r="AD3">
        <v>0</v>
      </c>
      <c r="AE3">
        <v>0</v>
      </c>
      <c r="AF3">
        <v>33.590000000000003</v>
      </c>
      <c r="AG3">
        <v>0</v>
      </c>
      <c r="AH3">
        <v>0</v>
      </c>
      <c r="AI3">
        <v>1</v>
      </c>
      <c r="AJ3">
        <v>5.57</v>
      </c>
      <c r="AK3">
        <v>33.049999999999997</v>
      </c>
      <c r="AL3">
        <v>1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3</v>
      </c>
      <c r="AT3">
        <v>0.38</v>
      </c>
      <c r="AU3" t="s">
        <v>18</v>
      </c>
      <c r="AV3">
        <v>0</v>
      </c>
      <c r="AW3">
        <v>2</v>
      </c>
      <c r="AX3">
        <v>35798356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Y3*Source!I24</f>
        <v>0.16624999999999998</v>
      </c>
      <c r="CY3">
        <f>AB3</f>
        <v>187.1</v>
      </c>
      <c r="CZ3">
        <f>AF3</f>
        <v>33.590000000000003</v>
      </c>
      <c r="DA3">
        <f>AJ3</f>
        <v>5.57</v>
      </c>
      <c r="DB3">
        <f>ROUND((ROUND(AT3*CZ3,2)*1.25),6)</f>
        <v>15.95</v>
      </c>
      <c r="DC3">
        <f>ROUND((ROUND(AT3*AG3,2)*1.25),6)</f>
        <v>0</v>
      </c>
    </row>
    <row r="4" spans="1:107">
      <c r="A4">
        <f>ROW(Source!A24)</f>
        <v>24</v>
      </c>
      <c r="B4">
        <v>35798216</v>
      </c>
      <c r="C4">
        <v>35798353</v>
      </c>
      <c r="D4">
        <v>29174580</v>
      </c>
      <c r="E4">
        <v>1</v>
      </c>
      <c r="F4">
        <v>1</v>
      </c>
      <c r="G4">
        <v>1</v>
      </c>
      <c r="H4">
        <v>2</v>
      </c>
      <c r="I4" t="s">
        <v>241</v>
      </c>
      <c r="J4" t="s">
        <v>242</v>
      </c>
      <c r="K4" t="s">
        <v>243</v>
      </c>
      <c r="L4">
        <v>1368</v>
      </c>
      <c r="N4">
        <v>1011</v>
      </c>
      <c r="O4" t="s">
        <v>237</v>
      </c>
      <c r="P4" t="s">
        <v>237</v>
      </c>
      <c r="Q4">
        <v>1</v>
      </c>
      <c r="W4">
        <v>0</v>
      </c>
      <c r="X4">
        <v>-169468834</v>
      </c>
      <c r="Y4">
        <v>0.63749999999999996</v>
      </c>
      <c r="AA4">
        <v>0</v>
      </c>
      <c r="AB4">
        <v>31.87</v>
      </c>
      <c r="AC4">
        <v>0</v>
      </c>
      <c r="AD4">
        <v>0</v>
      </c>
      <c r="AE4">
        <v>0</v>
      </c>
      <c r="AF4">
        <v>2.08</v>
      </c>
      <c r="AG4">
        <v>0</v>
      </c>
      <c r="AH4">
        <v>0</v>
      </c>
      <c r="AI4">
        <v>1</v>
      </c>
      <c r="AJ4">
        <v>15.32</v>
      </c>
      <c r="AK4">
        <v>33.049999999999997</v>
      </c>
      <c r="AL4">
        <v>1</v>
      </c>
      <c r="AN4">
        <v>0</v>
      </c>
      <c r="AO4">
        <v>1</v>
      </c>
      <c r="AP4">
        <v>1</v>
      </c>
      <c r="AQ4">
        <v>0</v>
      </c>
      <c r="AR4">
        <v>0</v>
      </c>
      <c r="AS4" t="s">
        <v>3</v>
      </c>
      <c r="AT4">
        <v>0.51</v>
      </c>
      <c r="AU4" t="s">
        <v>18</v>
      </c>
      <c r="AV4">
        <v>0</v>
      </c>
      <c r="AW4">
        <v>2</v>
      </c>
      <c r="AX4">
        <v>35798357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Y4*Source!I24</f>
        <v>0.22312499999999996</v>
      </c>
      <c r="CY4">
        <f>AB4</f>
        <v>31.87</v>
      </c>
      <c r="CZ4">
        <f>AF4</f>
        <v>2.08</v>
      </c>
      <c r="DA4">
        <f>AJ4</f>
        <v>15.32</v>
      </c>
      <c r="DB4">
        <f>ROUND((ROUND(AT4*CZ4,2)*1.25),6)</f>
        <v>1.325</v>
      </c>
      <c r="DC4">
        <f>ROUND((ROUND(AT4*AG4,2)*1.25),6)</f>
        <v>0</v>
      </c>
    </row>
    <row r="5" spans="1:107">
      <c r="A5">
        <f>ROW(Source!A24)</f>
        <v>24</v>
      </c>
      <c r="B5">
        <v>35798216</v>
      </c>
      <c r="C5">
        <v>35798353</v>
      </c>
      <c r="D5">
        <v>29108656</v>
      </c>
      <c r="E5">
        <v>1</v>
      </c>
      <c r="F5">
        <v>1</v>
      </c>
      <c r="G5">
        <v>1</v>
      </c>
      <c r="H5">
        <v>3</v>
      </c>
      <c r="I5" t="s">
        <v>244</v>
      </c>
      <c r="J5" t="s">
        <v>245</v>
      </c>
      <c r="K5" t="s">
        <v>246</v>
      </c>
      <c r="L5">
        <v>1354</v>
      </c>
      <c r="N5">
        <v>1010</v>
      </c>
      <c r="O5" t="s">
        <v>80</v>
      </c>
      <c r="P5" t="s">
        <v>80</v>
      </c>
      <c r="Q5">
        <v>1</v>
      </c>
      <c r="W5">
        <v>0</v>
      </c>
      <c r="X5">
        <v>1057373551</v>
      </c>
      <c r="Y5">
        <v>7</v>
      </c>
      <c r="AA5">
        <v>103.47</v>
      </c>
      <c r="AB5">
        <v>0</v>
      </c>
      <c r="AC5">
        <v>0</v>
      </c>
      <c r="AD5">
        <v>0</v>
      </c>
      <c r="AE5">
        <v>13.87</v>
      </c>
      <c r="AF5">
        <v>0</v>
      </c>
      <c r="AG5">
        <v>0</v>
      </c>
      <c r="AH5">
        <v>0</v>
      </c>
      <c r="AI5">
        <v>7.46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7</v>
      </c>
      <c r="AU5" t="s">
        <v>3</v>
      </c>
      <c r="AV5">
        <v>0</v>
      </c>
      <c r="AW5">
        <v>2</v>
      </c>
      <c r="AX5">
        <v>35798358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Y5*Source!I24</f>
        <v>2.4499999999999997</v>
      </c>
      <c r="CY5">
        <f t="shared" ref="CY5:CY18" si="0">AA5</f>
        <v>103.47</v>
      </c>
      <c r="CZ5">
        <f t="shared" ref="CZ5:CZ18" si="1">AE5</f>
        <v>13.87</v>
      </c>
      <c r="DA5">
        <f t="shared" ref="DA5:DA18" si="2">AI5</f>
        <v>7.46</v>
      </c>
      <c r="DB5">
        <f t="shared" ref="DB5:DB18" si="3">ROUND(ROUND(AT5*CZ5,2),6)</f>
        <v>97.09</v>
      </c>
      <c r="DC5">
        <f t="shared" ref="DC5:DC18" si="4">ROUND(ROUND(AT5*AG5,2),6)</f>
        <v>0</v>
      </c>
    </row>
    <row r="6" spans="1:107">
      <c r="A6">
        <f>ROW(Source!A24)</f>
        <v>24</v>
      </c>
      <c r="B6">
        <v>35798216</v>
      </c>
      <c r="C6">
        <v>35798353</v>
      </c>
      <c r="D6">
        <v>29109354</v>
      </c>
      <c r="E6">
        <v>1</v>
      </c>
      <c r="F6">
        <v>1</v>
      </c>
      <c r="G6">
        <v>1</v>
      </c>
      <c r="H6">
        <v>3</v>
      </c>
      <c r="I6" t="s">
        <v>247</v>
      </c>
      <c r="J6" t="s">
        <v>248</v>
      </c>
      <c r="K6" t="s">
        <v>249</v>
      </c>
      <c r="L6">
        <v>1346</v>
      </c>
      <c r="N6">
        <v>1009</v>
      </c>
      <c r="O6" t="s">
        <v>41</v>
      </c>
      <c r="P6" t="s">
        <v>41</v>
      </c>
      <c r="Q6">
        <v>1</v>
      </c>
      <c r="W6">
        <v>0</v>
      </c>
      <c r="X6">
        <v>-882693383</v>
      </c>
      <c r="Y6">
        <v>10</v>
      </c>
      <c r="AA6">
        <v>64.010000000000005</v>
      </c>
      <c r="AB6">
        <v>0</v>
      </c>
      <c r="AC6">
        <v>0</v>
      </c>
      <c r="AD6">
        <v>0</v>
      </c>
      <c r="AE6">
        <v>46.72</v>
      </c>
      <c r="AF6">
        <v>0</v>
      </c>
      <c r="AG6">
        <v>0</v>
      </c>
      <c r="AH6">
        <v>0</v>
      </c>
      <c r="AI6">
        <v>1.37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10</v>
      </c>
      <c r="AU6" t="s">
        <v>3</v>
      </c>
      <c r="AV6">
        <v>0</v>
      </c>
      <c r="AW6">
        <v>2</v>
      </c>
      <c r="AX6">
        <v>35798359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Y6*Source!I24</f>
        <v>3.5</v>
      </c>
      <c r="CY6">
        <f t="shared" si="0"/>
        <v>64.010000000000005</v>
      </c>
      <c r="CZ6">
        <f t="shared" si="1"/>
        <v>46.72</v>
      </c>
      <c r="DA6">
        <f t="shared" si="2"/>
        <v>1.37</v>
      </c>
      <c r="DB6">
        <f t="shared" si="3"/>
        <v>467.2</v>
      </c>
      <c r="DC6">
        <f t="shared" si="4"/>
        <v>0</v>
      </c>
    </row>
    <row r="7" spans="1:107">
      <c r="A7">
        <f>ROW(Source!A24)</f>
        <v>24</v>
      </c>
      <c r="B7">
        <v>35798216</v>
      </c>
      <c r="C7">
        <v>35798353</v>
      </c>
      <c r="D7">
        <v>29109414</v>
      </c>
      <c r="E7">
        <v>1</v>
      </c>
      <c r="F7">
        <v>1</v>
      </c>
      <c r="G7">
        <v>1</v>
      </c>
      <c r="H7">
        <v>3</v>
      </c>
      <c r="I7" t="s">
        <v>250</v>
      </c>
      <c r="J7" t="s">
        <v>251</v>
      </c>
      <c r="K7" t="s">
        <v>252</v>
      </c>
      <c r="L7">
        <v>1346</v>
      </c>
      <c r="N7">
        <v>1009</v>
      </c>
      <c r="O7" t="s">
        <v>41</v>
      </c>
      <c r="P7" t="s">
        <v>41</v>
      </c>
      <c r="Q7">
        <v>1</v>
      </c>
      <c r="W7">
        <v>0</v>
      </c>
      <c r="X7">
        <v>1092262719</v>
      </c>
      <c r="Y7">
        <v>60</v>
      </c>
      <c r="AA7">
        <v>10.1</v>
      </c>
      <c r="AB7">
        <v>0</v>
      </c>
      <c r="AC7">
        <v>0</v>
      </c>
      <c r="AD7">
        <v>0</v>
      </c>
      <c r="AE7">
        <v>1.58</v>
      </c>
      <c r="AF7">
        <v>0</v>
      </c>
      <c r="AG7">
        <v>0</v>
      </c>
      <c r="AH7">
        <v>0</v>
      </c>
      <c r="AI7">
        <v>6.39</v>
      </c>
      <c r="AJ7">
        <v>1</v>
      </c>
      <c r="AK7">
        <v>1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</v>
      </c>
      <c r="AT7">
        <v>60</v>
      </c>
      <c r="AU7" t="s">
        <v>3</v>
      </c>
      <c r="AV7">
        <v>0</v>
      </c>
      <c r="AW7">
        <v>2</v>
      </c>
      <c r="AX7">
        <v>35798360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Y7*Source!I24</f>
        <v>21</v>
      </c>
      <c r="CY7">
        <f t="shared" si="0"/>
        <v>10.1</v>
      </c>
      <c r="CZ7">
        <f t="shared" si="1"/>
        <v>1.58</v>
      </c>
      <c r="DA7">
        <f t="shared" si="2"/>
        <v>6.39</v>
      </c>
      <c r="DB7">
        <f t="shared" si="3"/>
        <v>94.8</v>
      </c>
      <c r="DC7">
        <f t="shared" si="4"/>
        <v>0</v>
      </c>
    </row>
    <row r="8" spans="1:107">
      <c r="A8">
        <f>ROW(Source!A24)</f>
        <v>24</v>
      </c>
      <c r="B8">
        <v>35798216</v>
      </c>
      <c r="C8">
        <v>35798353</v>
      </c>
      <c r="D8">
        <v>29109781</v>
      </c>
      <c r="E8">
        <v>1</v>
      </c>
      <c r="F8">
        <v>1</v>
      </c>
      <c r="G8">
        <v>1</v>
      </c>
      <c r="H8">
        <v>3</v>
      </c>
      <c r="I8" t="s">
        <v>253</v>
      </c>
      <c r="J8" t="s">
        <v>254</v>
      </c>
      <c r="K8" t="s">
        <v>255</v>
      </c>
      <c r="L8">
        <v>1346</v>
      </c>
      <c r="N8">
        <v>1009</v>
      </c>
      <c r="O8" t="s">
        <v>41</v>
      </c>
      <c r="P8" t="s">
        <v>41</v>
      </c>
      <c r="Q8">
        <v>1</v>
      </c>
      <c r="W8">
        <v>0</v>
      </c>
      <c r="X8">
        <v>-306339415</v>
      </c>
      <c r="Y8">
        <v>4</v>
      </c>
      <c r="AA8">
        <v>60.38</v>
      </c>
      <c r="AB8">
        <v>0</v>
      </c>
      <c r="AC8">
        <v>0</v>
      </c>
      <c r="AD8">
        <v>0</v>
      </c>
      <c r="AE8">
        <v>11.12</v>
      </c>
      <c r="AF8">
        <v>0</v>
      </c>
      <c r="AG8">
        <v>0</v>
      </c>
      <c r="AH8">
        <v>0</v>
      </c>
      <c r="AI8">
        <v>5.43</v>
      </c>
      <c r="AJ8">
        <v>1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4</v>
      </c>
      <c r="AU8" t="s">
        <v>3</v>
      </c>
      <c r="AV8">
        <v>0</v>
      </c>
      <c r="AW8">
        <v>2</v>
      </c>
      <c r="AX8">
        <v>35798361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Y8*Source!I24</f>
        <v>1.4</v>
      </c>
      <c r="CY8">
        <f t="shared" si="0"/>
        <v>60.38</v>
      </c>
      <c r="CZ8">
        <f t="shared" si="1"/>
        <v>11.12</v>
      </c>
      <c r="DA8">
        <f t="shared" si="2"/>
        <v>5.43</v>
      </c>
      <c r="DB8">
        <f t="shared" si="3"/>
        <v>44.48</v>
      </c>
      <c r="DC8">
        <f t="shared" si="4"/>
        <v>0</v>
      </c>
    </row>
    <row r="9" spans="1:107">
      <c r="A9">
        <f>ROW(Source!A24)</f>
        <v>24</v>
      </c>
      <c r="B9">
        <v>35798216</v>
      </c>
      <c r="C9">
        <v>35798353</v>
      </c>
      <c r="D9">
        <v>29109782</v>
      </c>
      <c r="E9">
        <v>1</v>
      </c>
      <c r="F9">
        <v>1</v>
      </c>
      <c r="G9">
        <v>1</v>
      </c>
      <c r="H9">
        <v>3</v>
      </c>
      <c r="I9" t="s">
        <v>256</v>
      </c>
      <c r="J9" t="s">
        <v>257</v>
      </c>
      <c r="K9" t="s">
        <v>258</v>
      </c>
      <c r="L9">
        <v>1346</v>
      </c>
      <c r="N9">
        <v>1009</v>
      </c>
      <c r="O9" t="s">
        <v>41</v>
      </c>
      <c r="P9" t="s">
        <v>41</v>
      </c>
      <c r="Q9">
        <v>1</v>
      </c>
      <c r="W9">
        <v>0</v>
      </c>
      <c r="X9">
        <v>-71279152</v>
      </c>
      <c r="Y9">
        <v>37</v>
      </c>
      <c r="AA9">
        <v>16.309999999999999</v>
      </c>
      <c r="AB9">
        <v>0</v>
      </c>
      <c r="AC9">
        <v>0</v>
      </c>
      <c r="AD9">
        <v>0</v>
      </c>
      <c r="AE9">
        <v>4.3600000000000003</v>
      </c>
      <c r="AF9">
        <v>0</v>
      </c>
      <c r="AG9">
        <v>0</v>
      </c>
      <c r="AH9">
        <v>0</v>
      </c>
      <c r="AI9">
        <v>3.74</v>
      </c>
      <c r="AJ9">
        <v>1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37</v>
      </c>
      <c r="AU9" t="s">
        <v>3</v>
      </c>
      <c r="AV9">
        <v>0</v>
      </c>
      <c r="AW9">
        <v>2</v>
      </c>
      <c r="AX9">
        <v>35798362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Y9*Source!I24</f>
        <v>12.95</v>
      </c>
      <c r="CY9">
        <f t="shared" si="0"/>
        <v>16.309999999999999</v>
      </c>
      <c r="CZ9">
        <f t="shared" si="1"/>
        <v>4.3600000000000003</v>
      </c>
      <c r="DA9">
        <f t="shared" si="2"/>
        <v>3.74</v>
      </c>
      <c r="DB9">
        <f t="shared" si="3"/>
        <v>161.32</v>
      </c>
      <c r="DC9">
        <f t="shared" si="4"/>
        <v>0</v>
      </c>
    </row>
    <row r="10" spans="1:107">
      <c r="A10">
        <f>ROW(Source!A24)</f>
        <v>24</v>
      </c>
      <c r="B10">
        <v>35798216</v>
      </c>
      <c r="C10">
        <v>35798353</v>
      </c>
      <c r="D10">
        <v>29110699</v>
      </c>
      <c r="E10">
        <v>1</v>
      </c>
      <c r="F10">
        <v>1</v>
      </c>
      <c r="G10">
        <v>1</v>
      </c>
      <c r="H10">
        <v>3</v>
      </c>
      <c r="I10" t="s">
        <v>259</v>
      </c>
      <c r="J10" t="s">
        <v>260</v>
      </c>
      <c r="K10" t="s">
        <v>261</v>
      </c>
      <c r="L10">
        <v>1301</v>
      </c>
      <c r="N10">
        <v>1003</v>
      </c>
      <c r="O10" t="s">
        <v>262</v>
      </c>
      <c r="P10" t="s">
        <v>262</v>
      </c>
      <c r="Q10">
        <v>1</v>
      </c>
      <c r="W10">
        <v>0</v>
      </c>
      <c r="X10">
        <v>1063889258</v>
      </c>
      <c r="Y10">
        <v>83</v>
      </c>
      <c r="AA10">
        <v>1.24</v>
      </c>
      <c r="AB10">
        <v>0</v>
      </c>
      <c r="AC10">
        <v>0</v>
      </c>
      <c r="AD10">
        <v>0</v>
      </c>
      <c r="AE10">
        <v>0.17</v>
      </c>
      <c r="AF10">
        <v>0</v>
      </c>
      <c r="AG10">
        <v>0</v>
      </c>
      <c r="AH10">
        <v>0</v>
      </c>
      <c r="AI10">
        <v>7.29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83</v>
      </c>
      <c r="AU10" t="s">
        <v>3</v>
      </c>
      <c r="AV10">
        <v>0</v>
      </c>
      <c r="AW10">
        <v>2</v>
      </c>
      <c r="AX10">
        <v>35798363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Y10*Source!I24</f>
        <v>29.049999999999997</v>
      </c>
      <c r="CY10">
        <f t="shared" si="0"/>
        <v>1.24</v>
      </c>
      <c r="CZ10">
        <f t="shared" si="1"/>
        <v>0.17</v>
      </c>
      <c r="DA10">
        <f t="shared" si="2"/>
        <v>7.29</v>
      </c>
      <c r="DB10">
        <f t="shared" si="3"/>
        <v>14.11</v>
      </c>
      <c r="DC10">
        <f t="shared" si="4"/>
        <v>0</v>
      </c>
    </row>
    <row r="11" spans="1:107">
      <c r="A11">
        <f>ROW(Source!A24)</f>
        <v>24</v>
      </c>
      <c r="B11">
        <v>35798216</v>
      </c>
      <c r="C11">
        <v>35798353</v>
      </c>
      <c r="D11">
        <v>29110797</v>
      </c>
      <c r="E11">
        <v>1</v>
      </c>
      <c r="F11">
        <v>1</v>
      </c>
      <c r="G11">
        <v>1</v>
      </c>
      <c r="H11">
        <v>3</v>
      </c>
      <c r="I11" t="s">
        <v>263</v>
      </c>
      <c r="J11" t="s">
        <v>264</v>
      </c>
      <c r="K11" t="s">
        <v>265</v>
      </c>
      <c r="L11">
        <v>1301</v>
      </c>
      <c r="N11">
        <v>1003</v>
      </c>
      <c r="O11" t="s">
        <v>262</v>
      </c>
      <c r="P11" t="s">
        <v>262</v>
      </c>
      <c r="Q11">
        <v>1</v>
      </c>
      <c r="W11">
        <v>0</v>
      </c>
      <c r="X11">
        <v>1919953005</v>
      </c>
      <c r="Y11">
        <v>82</v>
      </c>
      <c r="AA11">
        <v>15.5</v>
      </c>
      <c r="AB11">
        <v>0</v>
      </c>
      <c r="AC11">
        <v>0</v>
      </c>
      <c r="AD11">
        <v>0</v>
      </c>
      <c r="AE11">
        <v>1.74</v>
      </c>
      <c r="AF11">
        <v>0</v>
      </c>
      <c r="AG11">
        <v>0</v>
      </c>
      <c r="AH11">
        <v>0</v>
      </c>
      <c r="AI11">
        <v>8.91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82</v>
      </c>
      <c r="AU11" t="s">
        <v>3</v>
      </c>
      <c r="AV11">
        <v>0</v>
      </c>
      <c r="AW11">
        <v>2</v>
      </c>
      <c r="AX11">
        <v>35798364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Y11*Source!I24</f>
        <v>28.7</v>
      </c>
      <c r="CY11">
        <f t="shared" si="0"/>
        <v>15.5</v>
      </c>
      <c r="CZ11">
        <f t="shared" si="1"/>
        <v>1.74</v>
      </c>
      <c r="DA11">
        <f t="shared" si="2"/>
        <v>8.91</v>
      </c>
      <c r="DB11">
        <f t="shared" si="3"/>
        <v>142.68</v>
      </c>
      <c r="DC11">
        <f t="shared" si="4"/>
        <v>0</v>
      </c>
    </row>
    <row r="12" spans="1:107">
      <c r="A12">
        <f>ROW(Source!A24)</f>
        <v>24</v>
      </c>
      <c r="B12">
        <v>35798216</v>
      </c>
      <c r="C12">
        <v>35798353</v>
      </c>
      <c r="D12">
        <v>29110815</v>
      </c>
      <c r="E12">
        <v>1</v>
      </c>
      <c r="F12">
        <v>1</v>
      </c>
      <c r="G12">
        <v>1</v>
      </c>
      <c r="H12">
        <v>3</v>
      </c>
      <c r="I12" t="s">
        <v>266</v>
      </c>
      <c r="J12" t="s">
        <v>267</v>
      </c>
      <c r="K12" t="s">
        <v>268</v>
      </c>
      <c r="L12">
        <v>1301</v>
      </c>
      <c r="N12">
        <v>1003</v>
      </c>
      <c r="O12" t="s">
        <v>262</v>
      </c>
      <c r="P12" t="s">
        <v>262</v>
      </c>
      <c r="Q12">
        <v>1</v>
      </c>
      <c r="W12">
        <v>0</v>
      </c>
      <c r="X12">
        <v>-1169660804</v>
      </c>
      <c r="Y12">
        <v>116</v>
      </c>
      <c r="AA12">
        <v>6.29</v>
      </c>
      <c r="AB12">
        <v>0</v>
      </c>
      <c r="AC12">
        <v>0</v>
      </c>
      <c r="AD12">
        <v>0</v>
      </c>
      <c r="AE12">
        <v>0.85</v>
      </c>
      <c r="AF12">
        <v>0</v>
      </c>
      <c r="AG12">
        <v>0</v>
      </c>
      <c r="AH12">
        <v>0</v>
      </c>
      <c r="AI12">
        <v>7.4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116</v>
      </c>
      <c r="AU12" t="s">
        <v>3</v>
      </c>
      <c r="AV12">
        <v>0</v>
      </c>
      <c r="AW12">
        <v>2</v>
      </c>
      <c r="AX12">
        <v>35798365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Y12*Source!I24</f>
        <v>40.599999999999994</v>
      </c>
      <c r="CY12">
        <f t="shared" si="0"/>
        <v>6.29</v>
      </c>
      <c r="CZ12">
        <f t="shared" si="1"/>
        <v>0.85</v>
      </c>
      <c r="DA12">
        <f t="shared" si="2"/>
        <v>7.4</v>
      </c>
      <c r="DB12">
        <f t="shared" si="3"/>
        <v>98.6</v>
      </c>
      <c r="DC12">
        <f t="shared" si="4"/>
        <v>0</v>
      </c>
    </row>
    <row r="13" spans="1:107">
      <c r="A13">
        <f>ROW(Source!A24)</f>
        <v>24</v>
      </c>
      <c r="B13">
        <v>35798216</v>
      </c>
      <c r="C13">
        <v>35798353</v>
      </c>
      <c r="D13">
        <v>29111455</v>
      </c>
      <c r="E13">
        <v>1</v>
      </c>
      <c r="F13">
        <v>1</v>
      </c>
      <c r="G13">
        <v>1</v>
      </c>
      <c r="H13">
        <v>3</v>
      </c>
      <c r="I13" t="s">
        <v>269</v>
      </c>
      <c r="J13" t="s">
        <v>270</v>
      </c>
      <c r="K13" t="s">
        <v>271</v>
      </c>
      <c r="L13">
        <v>1327</v>
      </c>
      <c r="N13">
        <v>1005</v>
      </c>
      <c r="O13" t="s">
        <v>36</v>
      </c>
      <c r="P13" t="s">
        <v>36</v>
      </c>
      <c r="Q13">
        <v>1</v>
      </c>
      <c r="W13">
        <v>0</v>
      </c>
      <c r="X13">
        <v>-1126346608</v>
      </c>
      <c r="Y13">
        <v>107</v>
      </c>
      <c r="AA13">
        <v>73.790000000000006</v>
      </c>
      <c r="AB13">
        <v>0</v>
      </c>
      <c r="AC13">
        <v>0</v>
      </c>
      <c r="AD13">
        <v>0</v>
      </c>
      <c r="AE13">
        <v>15.06</v>
      </c>
      <c r="AF13">
        <v>0</v>
      </c>
      <c r="AG13">
        <v>0</v>
      </c>
      <c r="AH13">
        <v>0</v>
      </c>
      <c r="AI13">
        <v>4.9000000000000004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107</v>
      </c>
      <c r="AU13" t="s">
        <v>3</v>
      </c>
      <c r="AV13">
        <v>0</v>
      </c>
      <c r="AW13">
        <v>2</v>
      </c>
      <c r="AX13">
        <v>35798366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Y13*Source!I24</f>
        <v>37.449999999999996</v>
      </c>
      <c r="CY13">
        <f t="shared" si="0"/>
        <v>73.790000000000006</v>
      </c>
      <c r="CZ13">
        <f t="shared" si="1"/>
        <v>15.06</v>
      </c>
      <c r="DA13">
        <f t="shared" si="2"/>
        <v>4.9000000000000004</v>
      </c>
      <c r="DB13">
        <f t="shared" si="3"/>
        <v>1611.42</v>
      </c>
      <c r="DC13">
        <f t="shared" si="4"/>
        <v>0</v>
      </c>
    </row>
    <row r="14" spans="1:107">
      <c r="A14">
        <f>ROW(Source!A24)</f>
        <v>24</v>
      </c>
      <c r="B14">
        <v>35798216</v>
      </c>
      <c r="C14">
        <v>35798353</v>
      </c>
      <c r="D14">
        <v>29114733</v>
      </c>
      <c r="E14">
        <v>1</v>
      </c>
      <c r="F14">
        <v>1</v>
      </c>
      <c r="G14">
        <v>1</v>
      </c>
      <c r="H14">
        <v>3</v>
      </c>
      <c r="I14" t="s">
        <v>272</v>
      </c>
      <c r="J14" t="s">
        <v>273</v>
      </c>
      <c r="K14" t="s">
        <v>274</v>
      </c>
      <c r="L14">
        <v>1354</v>
      </c>
      <c r="N14">
        <v>1010</v>
      </c>
      <c r="O14" t="s">
        <v>80</v>
      </c>
      <c r="P14" t="s">
        <v>80</v>
      </c>
      <c r="Q14">
        <v>1</v>
      </c>
      <c r="W14">
        <v>0</v>
      </c>
      <c r="X14">
        <v>-1352915271</v>
      </c>
      <c r="Y14">
        <v>1855</v>
      </c>
      <c r="AA14">
        <v>0.3</v>
      </c>
      <c r="AB14">
        <v>0</v>
      </c>
      <c r="AC14">
        <v>0</v>
      </c>
      <c r="AD14">
        <v>0</v>
      </c>
      <c r="AE14">
        <v>0.02</v>
      </c>
      <c r="AF14">
        <v>0</v>
      </c>
      <c r="AG14">
        <v>0</v>
      </c>
      <c r="AH14">
        <v>0</v>
      </c>
      <c r="AI14">
        <v>14.91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1855</v>
      </c>
      <c r="AU14" t="s">
        <v>3</v>
      </c>
      <c r="AV14">
        <v>0</v>
      </c>
      <c r="AW14">
        <v>2</v>
      </c>
      <c r="AX14">
        <v>35798367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Y14*Source!I24</f>
        <v>649.25</v>
      </c>
      <c r="CY14">
        <f t="shared" si="0"/>
        <v>0.3</v>
      </c>
      <c r="CZ14">
        <f t="shared" si="1"/>
        <v>0.02</v>
      </c>
      <c r="DA14">
        <f t="shared" si="2"/>
        <v>14.91</v>
      </c>
      <c r="DB14">
        <f t="shared" si="3"/>
        <v>37.1</v>
      </c>
      <c r="DC14">
        <f t="shared" si="4"/>
        <v>0</v>
      </c>
    </row>
    <row r="15" spans="1:107">
      <c r="A15">
        <f>ROW(Source!A24)</f>
        <v>24</v>
      </c>
      <c r="B15">
        <v>35798216</v>
      </c>
      <c r="C15">
        <v>35798353</v>
      </c>
      <c r="D15">
        <v>29114482</v>
      </c>
      <c r="E15">
        <v>1</v>
      </c>
      <c r="F15">
        <v>1</v>
      </c>
      <c r="G15">
        <v>1</v>
      </c>
      <c r="H15">
        <v>3</v>
      </c>
      <c r="I15" t="s">
        <v>275</v>
      </c>
      <c r="J15" t="s">
        <v>276</v>
      </c>
      <c r="K15" t="s">
        <v>277</v>
      </c>
      <c r="L15">
        <v>1354</v>
      </c>
      <c r="N15">
        <v>1010</v>
      </c>
      <c r="O15" t="s">
        <v>80</v>
      </c>
      <c r="P15" t="s">
        <v>80</v>
      </c>
      <c r="Q15">
        <v>1</v>
      </c>
      <c r="W15">
        <v>0</v>
      </c>
      <c r="X15">
        <v>-520920930</v>
      </c>
      <c r="Y15">
        <v>153</v>
      </c>
      <c r="AA15">
        <v>0.33</v>
      </c>
      <c r="AB15">
        <v>0</v>
      </c>
      <c r="AC15">
        <v>0</v>
      </c>
      <c r="AD15">
        <v>0</v>
      </c>
      <c r="AE15">
        <v>7.0000000000000007E-2</v>
      </c>
      <c r="AF15">
        <v>0</v>
      </c>
      <c r="AG15">
        <v>0</v>
      </c>
      <c r="AH15">
        <v>0</v>
      </c>
      <c r="AI15">
        <v>4.74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</v>
      </c>
      <c r="AT15">
        <v>153</v>
      </c>
      <c r="AU15" t="s">
        <v>3</v>
      </c>
      <c r="AV15">
        <v>0</v>
      </c>
      <c r="AW15">
        <v>2</v>
      </c>
      <c r="AX15">
        <v>35798368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Y15*Source!I24</f>
        <v>53.55</v>
      </c>
      <c r="CY15">
        <f t="shared" si="0"/>
        <v>0.33</v>
      </c>
      <c r="CZ15">
        <f t="shared" si="1"/>
        <v>7.0000000000000007E-2</v>
      </c>
      <c r="DA15">
        <f t="shared" si="2"/>
        <v>4.74</v>
      </c>
      <c r="DB15">
        <f t="shared" si="3"/>
        <v>10.71</v>
      </c>
      <c r="DC15">
        <f t="shared" si="4"/>
        <v>0</v>
      </c>
    </row>
    <row r="16" spans="1:107">
      <c r="A16">
        <f>ROW(Source!A24)</f>
        <v>24</v>
      </c>
      <c r="B16">
        <v>35798216</v>
      </c>
      <c r="C16">
        <v>35798353</v>
      </c>
      <c r="D16">
        <v>29129584</v>
      </c>
      <c r="E16">
        <v>1</v>
      </c>
      <c r="F16">
        <v>1</v>
      </c>
      <c r="G16">
        <v>1</v>
      </c>
      <c r="H16">
        <v>3</v>
      </c>
      <c r="I16" t="s">
        <v>278</v>
      </c>
      <c r="J16" t="s">
        <v>279</v>
      </c>
      <c r="K16" t="s">
        <v>280</v>
      </c>
      <c r="L16">
        <v>1301</v>
      </c>
      <c r="N16">
        <v>1003</v>
      </c>
      <c r="O16" t="s">
        <v>262</v>
      </c>
      <c r="P16" t="s">
        <v>262</v>
      </c>
      <c r="Q16">
        <v>1</v>
      </c>
      <c r="W16">
        <v>0</v>
      </c>
      <c r="X16">
        <v>-1665253311</v>
      </c>
      <c r="Y16">
        <v>121</v>
      </c>
      <c r="AA16">
        <v>53.07</v>
      </c>
      <c r="AB16">
        <v>0</v>
      </c>
      <c r="AC16">
        <v>0</v>
      </c>
      <c r="AD16">
        <v>0</v>
      </c>
      <c r="AE16">
        <v>7.22</v>
      </c>
      <c r="AF16">
        <v>0</v>
      </c>
      <c r="AG16">
        <v>0</v>
      </c>
      <c r="AH16">
        <v>0</v>
      </c>
      <c r="AI16">
        <v>7.35</v>
      </c>
      <c r="AJ16">
        <v>1</v>
      </c>
      <c r="AK16">
        <v>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</v>
      </c>
      <c r="AT16">
        <v>121</v>
      </c>
      <c r="AU16" t="s">
        <v>3</v>
      </c>
      <c r="AV16">
        <v>0</v>
      </c>
      <c r="AW16">
        <v>2</v>
      </c>
      <c r="AX16">
        <v>35798369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Y16*Source!I24</f>
        <v>42.349999999999994</v>
      </c>
      <c r="CY16">
        <f t="shared" si="0"/>
        <v>53.07</v>
      </c>
      <c r="CZ16">
        <f t="shared" si="1"/>
        <v>7.22</v>
      </c>
      <c r="DA16">
        <f t="shared" si="2"/>
        <v>7.35</v>
      </c>
      <c r="DB16">
        <f t="shared" si="3"/>
        <v>873.62</v>
      </c>
      <c r="DC16">
        <f t="shared" si="4"/>
        <v>0</v>
      </c>
    </row>
    <row r="17" spans="1:107">
      <c r="A17">
        <f>ROW(Source!A24)</f>
        <v>24</v>
      </c>
      <c r="B17">
        <v>35798216</v>
      </c>
      <c r="C17">
        <v>35798353</v>
      </c>
      <c r="D17">
        <v>29129619</v>
      </c>
      <c r="E17">
        <v>1</v>
      </c>
      <c r="F17">
        <v>1</v>
      </c>
      <c r="G17">
        <v>1</v>
      </c>
      <c r="H17">
        <v>3</v>
      </c>
      <c r="I17" t="s">
        <v>281</v>
      </c>
      <c r="J17" t="s">
        <v>282</v>
      </c>
      <c r="K17" t="s">
        <v>283</v>
      </c>
      <c r="L17">
        <v>1301</v>
      </c>
      <c r="N17">
        <v>1003</v>
      </c>
      <c r="O17" t="s">
        <v>262</v>
      </c>
      <c r="P17" t="s">
        <v>262</v>
      </c>
      <c r="Q17">
        <v>1</v>
      </c>
      <c r="W17">
        <v>0</v>
      </c>
      <c r="X17">
        <v>1030922947</v>
      </c>
      <c r="Y17">
        <v>225</v>
      </c>
      <c r="AA17">
        <v>61.61</v>
      </c>
      <c r="AB17">
        <v>0</v>
      </c>
      <c r="AC17">
        <v>0</v>
      </c>
      <c r="AD17">
        <v>0</v>
      </c>
      <c r="AE17">
        <v>8.44</v>
      </c>
      <c r="AF17">
        <v>0</v>
      </c>
      <c r="AG17">
        <v>0</v>
      </c>
      <c r="AH17">
        <v>0</v>
      </c>
      <c r="AI17">
        <v>7.3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225</v>
      </c>
      <c r="AU17" t="s">
        <v>3</v>
      </c>
      <c r="AV17">
        <v>0</v>
      </c>
      <c r="AW17">
        <v>2</v>
      </c>
      <c r="AX17">
        <v>35798370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Y17*Source!I24</f>
        <v>78.75</v>
      </c>
      <c r="CY17">
        <f t="shared" si="0"/>
        <v>61.61</v>
      </c>
      <c r="CZ17">
        <f t="shared" si="1"/>
        <v>8.44</v>
      </c>
      <c r="DA17">
        <f t="shared" si="2"/>
        <v>7.3</v>
      </c>
      <c r="DB17">
        <f t="shared" si="3"/>
        <v>1899</v>
      </c>
      <c r="DC17">
        <f t="shared" si="4"/>
        <v>0</v>
      </c>
    </row>
    <row r="18" spans="1:107">
      <c r="A18">
        <f>ROW(Source!A24)</f>
        <v>24</v>
      </c>
      <c r="B18">
        <v>35798216</v>
      </c>
      <c r="C18">
        <v>35798353</v>
      </c>
      <c r="D18">
        <v>29129634</v>
      </c>
      <c r="E18">
        <v>1</v>
      </c>
      <c r="F18">
        <v>1</v>
      </c>
      <c r="G18">
        <v>1</v>
      </c>
      <c r="H18">
        <v>3</v>
      </c>
      <c r="I18" t="s">
        <v>284</v>
      </c>
      <c r="J18" t="s">
        <v>285</v>
      </c>
      <c r="K18" t="s">
        <v>286</v>
      </c>
      <c r="L18">
        <v>1301</v>
      </c>
      <c r="N18">
        <v>1003</v>
      </c>
      <c r="O18" t="s">
        <v>262</v>
      </c>
      <c r="P18" t="s">
        <v>262</v>
      </c>
      <c r="Q18">
        <v>1</v>
      </c>
      <c r="W18">
        <v>0</v>
      </c>
      <c r="X18">
        <v>-234707112</v>
      </c>
      <c r="Y18">
        <v>46</v>
      </c>
      <c r="AA18">
        <v>37.020000000000003</v>
      </c>
      <c r="AB18">
        <v>0</v>
      </c>
      <c r="AC18">
        <v>0</v>
      </c>
      <c r="AD18">
        <v>0</v>
      </c>
      <c r="AE18">
        <v>3.32</v>
      </c>
      <c r="AF18">
        <v>0</v>
      </c>
      <c r="AG18">
        <v>0</v>
      </c>
      <c r="AH18">
        <v>0</v>
      </c>
      <c r="AI18">
        <v>11.15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46</v>
      </c>
      <c r="AU18" t="s">
        <v>3</v>
      </c>
      <c r="AV18">
        <v>0</v>
      </c>
      <c r="AW18">
        <v>2</v>
      </c>
      <c r="AX18">
        <v>35798371</v>
      </c>
      <c r="AY18">
        <v>1</v>
      </c>
      <c r="AZ18">
        <v>0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Y18*Source!I24</f>
        <v>16.099999999999998</v>
      </c>
      <c r="CY18">
        <f t="shared" si="0"/>
        <v>37.020000000000003</v>
      </c>
      <c r="CZ18">
        <f t="shared" si="1"/>
        <v>3.32</v>
      </c>
      <c r="DA18">
        <f t="shared" si="2"/>
        <v>11.15</v>
      </c>
      <c r="DB18">
        <f t="shared" si="3"/>
        <v>152.72</v>
      </c>
      <c r="DC18">
        <f t="shared" si="4"/>
        <v>0</v>
      </c>
    </row>
    <row r="19" spans="1:107">
      <c r="A19">
        <f>ROW(Source!A25)</f>
        <v>25</v>
      </c>
      <c r="B19">
        <v>35798216</v>
      </c>
      <c r="C19">
        <v>35798372</v>
      </c>
      <c r="D19">
        <v>18406785</v>
      </c>
      <c r="E19">
        <v>1</v>
      </c>
      <c r="F19">
        <v>1</v>
      </c>
      <c r="G19">
        <v>1</v>
      </c>
      <c r="H19">
        <v>1</v>
      </c>
      <c r="I19" t="s">
        <v>287</v>
      </c>
      <c r="J19" t="s">
        <v>3</v>
      </c>
      <c r="K19" t="s">
        <v>288</v>
      </c>
      <c r="L19">
        <v>1369</v>
      </c>
      <c r="N19">
        <v>1013</v>
      </c>
      <c r="O19" t="s">
        <v>233</v>
      </c>
      <c r="P19" t="s">
        <v>233</v>
      </c>
      <c r="Q19">
        <v>1</v>
      </c>
      <c r="W19">
        <v>0</v>
      </c>
      <c r="X19">
        <v>645971194</v>
      </c>
      <c r="Y19">
        <v>31.785999999999998</v>
      </c>
      <c r="AA19">
        <v>0</v>
      </c>
      <c r="AB19">
        <v>0</v>
      </c>
      <c r="AC19">
        <v>0</v>
      </c>
      <c r="AD19">
        <v>289.27999999999997</v>
      </c>
      <c r="AE19">
        <v>0</v>
      </c>
      <c r="AF19">
        <v>0</v>
      </c>
      <c r="AG19">
        <v>0</v>
      </c>
      <c r="AH19">
        <v>289.27999999999997</v>
      </c>
      <c r="AI19">
        <v>1</v>
      </c>
      <c r="AJ19">
        <v>1</v>
      </c>
      <c r="AK19">
        <v>1</v>
      </c>
      <c r="AL19">
        <v>1</v>
      </c>
      <c r="AN19">
        <v>0</v>
      </c>
      <c r="AO19">
        <v>1</v>
      </c>
      <c r="AP19">
        <v>1</v>
      </c>
      <c r="AQ19">
        <v>0</v>
      </c>
      <c r="AR19">
        <v>0</v>
      </c>
      <c r="AS19" t="s">
        <v>3</v>
      </c>
      <c r="AT19">
        <v>27.64</v>
      </c>
      <c r="AU19" t="s">
        <v>19</v>
      </c>
      <c r="AV19">
        <v>1</v>
      </c>
      <c r="AW19">
        <v>2</v>
      </c>
      <c r="AX19">
        <v>35798373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Y19*Source!I25</f>
        <v>11.125099999999998</v>
      </c>
      <c r="CY19">
        <f>AD19</f>
        <v>289.27999999999997</v>
      </c>
      <c r="CZ19">
        <f>AH19</f>
        <v>289.27999999999997</v>
      </c>
      <c r="DA19">
        <f>AL19</f>
        <v>1</v>
      </c>
      <c r="DB19">
        <f>ROUND((ROUND(AT19*CZ19,2)*1.15),6)</f>
        <v>9195.0550000000003</v>
      </c>
      <c r="DC19">
        <f>ROUND((ROUND(AT19*AG19,2)*1.15),6)</f>
        <v>0</v>
      </c>
    </row>
    <row r="20" spans="1:107">
      <c r="A20">
        <f>ROW(Source!A25)</f>
        <v>25</v>
      </c>
      <c r="B20">
        <v>35798216</v>
      </c>
      <c r="C20">
        <v>35798372</v>
      </c>
      <c r="D20">
        <v>121548</v>
      </c>
      <c r="E20">
        <v>1</v>
      </c>
      <c r="F20">
        <v>1</v>
      </c>
      <c r="G20">
        <v>1</v>
      </c>
      <c r="H20">
        <v>1</v>
      </c>
      <c r="I20" t="s">
        <v>69</v>
      </c>
      <c r="J20" t="s">
        <v>3</v>
      </c>
      <c r="K20" t="s">
        <v>289</v>
      </c>
      <c r="L20">
        <v>608254</v>
      </c>
      <c r="N20">
        <v>1013</v>
      </c>
      <c r="O20" t="s">
        <v>290</v>
      </c>
      <c r="P20" t="s">
        <v>290</v>
      </c>
      <c r="Q20">
        <v>1</v>
      </c>
      <c r="W20">
        <v>0</v>
      </c>
      <c r="X20">
        <v>-185737400</v>
      </c>
      <c r="Y20">
        <v>1.2500000000000001E-2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1</v>
      </c>
      <c r="AJ20">
        <v>1</v>
      </c>
      <c r="AK20">
        <v>1</v>
      </c>
      <c r="AL20">
        <v>1</v>
      </c>
      <c r="AN20">
        <v>0</v>
      </c>
      <c r="AO20">
        <v>1</v>
      </c>
      <c r="AP20">
        <v>1</v>
      </c>
      <c r="AQ20">
        <v>0</v>
      </c>
      <c r="AR20">
        <v>0</v>
      </c>
      <c r="AS20" t="s">
        <v>3</v>
      </c>
      <c r="AT20">
        <v>0.01</v>
      </c>
      <c r="AU20" t="s">
        <v>18</v>
      </c>
      <c r="AV20">
        <v>2</v>
      </c>
      <c r="AW20">
        <v>2</v>
      </c>
      <c r="AX20">
        <v>35798374</v>
      </c>
      <c r="AY20">
        <v>1</v>
      </c>
      <c r="AZ20">
        <v>0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Y20*Source!I25</f>
        <v>4.3749999999999995E-3</v>
      </c>
      <c r="CY20">
        <f>AD20</f>
        <v>0</v>
      </c>
      <c r="CZ20">
        <f>AH20</f>
        <v>0</v>
      </c>
      <c r="DA20">
        <f>AL20</f>
        <v>1</v>
      </c>
      <c r="DB20">
        <f>ROUND((ROUND(AT20*CZ20,2)*1.25),6)</f>
        <v>0</v>
      </c>
      <c r="DC20">
        <f>ROUND((ROUND(AT20*AG20,2)*1.25),6)</f>
        <v>0</v>
      </c>
    </row>
    <row r="21" spans="1:107">
      <c r="A21">
        <f>ROW(Source!A25)</f>
        <v>25</v>
      </c>
      <c r="B21">
        <v>35798216</v>
      </c>
      <c r="C21">
        <v>35798372</v>
      </c>
      <c r="D21">
        <v>29172556</v>
      </c>
      <c r="E21">
        <v>1</v>
      </c>
      <c r="F21">
        <v>1</v>
      </c>
      <c r="G21">
        <v>1</v>
      </c>
      <c r="H21">
        <v>2</v>
      </c>
      <c r="I21" t="s">
        <v>291</v>
      </c>
      <c r="J21" t="s">
        <v>292</v>
      </c>
      <c r="K21" t="s">
        <v>293</v>
      </c>
      <c r="L21">
        <v>1368</v>
      </c>
      <c r="N21">
        <v>1011</v>
      </c>
      <c r="O21" t="s">
        <v>237</v>
      </c>
      <c r="P21" t="s">
        <v>237</v>
      </c>
      <c r="Q21">
        <v>1</v>
      </c>
      <c r="W21">
        <v>0</v>
      </c>
      <c r="X21">
        <v>-1302720870</v>
      </c>
      <c r="Y21">
        <v>1.2500000000000001E-2</v>
      </c>
      <c r="AA21">
        <v>0</v>
      </c>
      <c r="AB21">
        <v>466.71</v>
      </c>
      <c r="AC21">
        <v>446.18</v>
      </c>
      <c r="AD21">
        <v>0</v>
      </c>
      <c r="AE21">
        <v>0</v>
      </c>
      <c r="AF21">
        <v>31.26</v>
      </c>
      <c r="AG21">
        <v>13.5</v>
      </c>
      <c r="AH21">
        <v>0</v>
      </c>
      <c r="AI21">
        <v>1</v>
      </c>
      <c r="AJ21">
        <v>14.93</v>
      </c>
      <c r="AK21">
        <v>33.049999999999997</v>
      </c>
      <c r="AL21">
        <v>1</v>
      </c>
      <c r="AN21">
        <v>0</v>
      </c>
      <c r="AO21">
        <v>1</v>
      </c>
      <c r="AP21">
        <v>1</v>
      </c>
      <c r="AQ21">
        <v>0</v>
      </c>
      <c r="AR21">
        <v>0</v>
      </c>
      <c r="AS21" t="s">
        <v>3</v>
      </c>
      <c r="AT21">
        <v>0.01</v>
      </c>
      <c r="AU21" t="s">
        <v>18</v>
      </c>
      <c r="AV21">
        <v>0</v>
      </c>
      <c r="AW21">
        <v>2</v>
      </c>
      <c r="AX21">
        <v>35798375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Y21*Source!I25</f>
        <v>4.3749999999999995E-3</v>
      </c>
      <c r="CY21">
        <f>AB21</f>
        <v>466.71</v>
      </c>
      <c r="CZ21">
        <f>AF21</f>
        <v>31.26</v>
      </c>
      <c r="DA21">
        <f>AJ21</f>
        <v>14.93</v>
      </c>
      <c r="DB21">
        <f>ROUND((ROUND(AT21*CZ21,2)*1.25),6)</f>
        <v>0.38750000000000001</v>
      </c>
      <c r="DC21">
        <f>ROUND((ROUND(AT21*AG21,2)*1.25),6)</f>
        <v>0.17499999999999999</v>
      </c>
    </row>
    <row r="22" spans="1:107">
      <c r="A22">
        <f>ROW(Source!A25)</f>
        <v>25</v>
      </c>
      <c r="B22">
        <v>35798216</v>
      </c>
      <c r="C22">
        <v>35798372</v>
      </c>
      <c r="D22">
        <v>29174913</v>
      </c>
      <c r="E22">
        <v>1</v>
      </c>
      <c r="F22">
        <v>1</v>
      </c>
      <c r="G22">
        <v>1</v>
      </c>
      <c r="H22">
        <v>2</v>
      </c>
      <c r="I22" t="s">
        <v>294</v>
      </c>
      <c r="J22" t="s">
        <v>295</v>
      </c>
      <c r="K22" t="s">
        <v>296</v>
      </c>
      <c r="L22">
        <v>1368</v>
      </c>
      <c r="N22">
        <v>1011</v>
      </c>
      <c r="O22" t="s">
        <v>237</v>
      </c>
      <c r="P22" t="s">
        <v>237</v>
      </c>
      <c r="Q22">
        <v>1</v>
      </c>
      <c r="W22">
        <v>0</v>
      </c>
      <c r="X22">
        <v>458544584</v>
      </c>
      <c r="Y22">
        <v>1.2500000000000001E-2</v>
      </c>
      <c r="AA22">
        <v>0</v>
      </c>
      <c r="AB22">
        <v>932.72</v>
      </c>
      <c r="AC22">
        <v>383.38</v>
      </c>
      <c r="AD22">
        <v>0</v>
      </c>
      <c r="AE22">
        <v>0</v>
      </c>
      <c r="AF22">
        <v>87.17</v>
      </c>
      <c r="AG22">
        <v>11.6</v>
      </c>
      <c r="AH22">
        <v>0</v>
      </c>
      <c r="AI22">
        <v>1</v>
      </c>
      <c r="AJ22">
        <v>10.7</v>
      </c>
      <c r="AK22">
        <v>33.049999999999997</v>
      </c>
      <c r="AL22">
        <v>1</v>
      </c>
      <c r="AN22">
        <v>0</v>
      </c>
      <c r="AO22">
        <v>1</v>
      </c>
      <c r="AP22">
        <v>1</v>
      </c>
      <c r="AQ22">
        <v>0</v>
      </c>
      <c r="AR22">
        <v>0</v>
      </c>
      <c r="AS22" t="s">
        <v>3</v>
      </c>
      <c r="AT22">
        <v>0.01</v>
      </c>
      <c r="AU22" t="s">
        <v>18</v>
      </c>
      <c r="AV22">
        <v>0</v>
      </c>
      <c r="AW22">
        <v>2</v>
      </c>
      <c r="AX22">
        <v>35798376</v>
      </c>
      <c r="AY22">
        <v>1</v>
      </c>
      <c r="AZ22">
        <v>0</v>
      </c>
      <c r="BA22">
        <v>22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Y22*Source!I25</f>
        <v>4.3749999999999995E-3</v>
      </c>
      <c r="CY22">
        <f>AB22</f>
        <v>932.72</v>
      </c>
      <c r="CZ22">
        <f>AF22</f>
        <v>87.17</v>
      </c>
      <c r="DA22">
        <f>AJ22</f>
        <v>10.7</v>
      </c>
      <c r="DB22">
        <f>ROUND((ROUND(AT22*CZ22,2)*1.25),6)</f>
        <v>1.0874999999999999</v>
      </c>
      <c r="DC22">
        <f>ROUND((ROUND(AT22*AG22,2)*1.25),6)</f>
        <v>0.15</v>
      </c>
    </row>
    <row r="23" spans="1:107">
      <c r="A23">
        <f>ROW(Source!A25)</f>
        <v>25</v>
      </c>
      <c r="B23">
        <v>35798216</v>
      </c>
      <c r="C23">
        <v>35798372</v>
      </c>
      <c r="D23">
        <v>29107800</v>
      </c>
      <c r="E23">
        <v>1</v>
      </c>
      <c r="F23">
        <v>1</v>
      </c>
      <c r="G23">
        <v>1</v>
      </c>
      <c r="H23">
        <v>3</v>
      </c>
      <c r="I23" t="s">
        <v>297</v>
      </c>
      <c r="J23" t="s">
        <v>298</v>
      </c>
      <c r="K23" t="s">
        <v>299</v>
      </c>
      <c r="L23">
        <v>1346</v>
      </c>
      <c r="N23">
        <v>1009</v>
      </c>
      <c r="O23" t="s">
        <v>41</v>
      </c>
      <c r="P23" t="s">
        <v>41</v>
      </c>
      <c r="Q23">
        <v>1</v>
      </c>
      <c r="W23">
        <v>0</v>
      </c>
      <c r="X23">
        <v>-1570619850</v>
      </c>
      <c r="Y23">
        <v>0.01</v>
      </c>
      <c r="AA23">
        <v>46.61</v>
      </c>
      <c r="AB23">
        <v>0</v>
      </c>
      <c r="AC23">
        <v>0</v>
      </c>
      <c r="AD23">
        <v>0</v>
      </c>
      <c r="AE23">
        <v>1.81</v>
      </c>
      <c r="AF23">
        <v>0</v>
      </c>
      <c r="AG23">
        <v>0</v>
      </c>
      <c r="AH23">
        <v>0</v>
      </c>
      <c r="AI23">
        <v>25.75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0.01</v>
      </c>
      <c r="AU23" t="s">
        <v>3</v>
      </c>
      <c r="AV23">
        <v>0</v>
      </c>
      <c r="AW23">
        <v>2</v>
      </c>
      <c r="AX23">
        <v>35798377</v>
      </c>
      <c r="AY23">
        <v>1</v>
      </c>
      <c r="AZ23">
        <v>0</v>
      </c>
      <c r="BA23">
        <v>23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Y23*Source!I25</f>
        <v>3.4999999999999996E-3</v>
      </c>
      <c r="CY23">
        <f t="shared" ref="CY23:CY30" si="5">AA23</f>
        <v>46.61</v>
      </c>
      <c r="CZ23">
        <f t="shared" ref="CZ23:CZ30" si="6">AE23</f>
        <v>1.81</v>
      </c>
      <c r="DA23">
        <f t="shared" ref="DA23:DA30" si="7">AI23</f>
        <v>25.75</v>
      </c>
      <c r="DB23">
        <f t="shared" ref="DB23:DB32" si="8">ROUND(ROUND(AT23*CZ23,2),6)</f>
        <v>0.02</v>
      </c>
      <c r="DC23">
        <f t="shared" ref="DC23:DC32" si="9">ROUND(ROUND(AT23*AG23,2),6)</f>
        <v>0</v>
      </c>
    </row>
    <row r="24" spans="1:107">
      <c r="A24">
        <f>ROW(Source!A25)</f>
        <v>25</v>
      </c>
      <c r="B24">
        <v>35798216</v>
      </c>
      <c r="C24">
        <v>35798372</v>
      </c>
      <c r="D24">
        <v>29109390</v>
      </c>
      <c r="E24">
        <v>1</v>
      </c>
      <c r="F24">
        <v>1</v>
      </c>
      <c r="G24">
        <v>1</v>
      </c>
      <c r="H24">
        <v>3</v>
      </c>
      <c r="I24" t="s">
        <v>49</v>
      </c>
      <c r="J24" t="s">
        <v>52</v>
      </c>
      <c r="K24" t="s">
        <v>50</v>
      </c>
      <c r="L24">
        <v>1348</v>
      </c>
      <c r="N24">
        <v>1009</v>
      </c>
      <c r="O24" t="s">
        <v>51</v>
      </c>
      <c r="P24" t="s">
        <v>51</v>
      </c>
      <c r="Q24">
        <v>1000</v>
      </c>
      <c r="W24">
        <v>1</v>
      </c>
      <c r="X24">
        <v>1761846597</v>
      </c>
      <c r="Y24">
        <v>-1.5E-3</v>
      </c>
      <c r="AA24">
        <v>99281.8</v>
      </c>
      <c r="AB24">
        <v>0</v>
      </c>
      <c r="AC24">
        <v>0</v>
      </c>
      <c r="AD24">
        <v>0</v>
      </c>
      <c r="AE24">
        <v>25990</v>
      </c>
      <c r="AF24">
        <v>0</v>
      </c>
      <c r="AG24">
        <v>0</v>
      </c>
      <c r="AH24">
        <v>0</v>
      </c>
      <c r="AI24">
        <v>3.82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-1.5E-3</v>
      </c>
      <c r="AU24" t="s">
        <v>3</v>
      </c>
      <c r="AV24">
        <v>0</v>
      </c>
      <c r="AW24">
        <v>2</v>
      </c>
      <c r="AX24">
        <v>35798378</v>
      </c>
      <c r="AY24">
        <v>1</v>
      </c>
      <c r="AZ24">
        <v>6144</v>
      </c>
      <c r="BA24">
        <v>24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Y24*Source!I25</f>
        <v>-5.2499999999999997E-4</v>
      </c>
      <c r="CY24">
        <f t="shared" si="5"/>
        <v>99281.8</v>
      </c>
      <c r="CZ24">
        <f t="shared" si="6"/>
        <v>25990</v>
      </c>
      <c r="DA24">
        <f t="shared" si="7"/>
        <v>3.82</v>
      </c>
      <c r="DB24">
        <f t="shared" si="8"/>
        <v>-38.99</v>
      </c>
      <c r="DC24">
        <f t="shared" si="9"/>
        <v>0</v>
      </c>
    </row>
    <row r="25" spans="1:107">
      <c r="A25">
        <f>ROW(Source!A25)</f>
        <v>25</v>
      </c>
      <c r="B25">
        <v>35798216</v>
      </c>
      <c r="C25">
        <v>35798372</v>
      </c>
      <c r="D25">
        <v>29107769</v>
      </c>
      <c r="E25">
        <v>1</v>
      </c>
      <c r="F25">
        <v>1</v>
      </c>
      <c r="G25">
        <v>1</v>
      </c>
      <c r="H25">
        <v>3</v>
      </c>
      <c r="I25" t="s">
        <v>300</v>
      </c>
      <c r="J25" t="s">
        <v>301</v>
      </c>
      <c r="K25" t="s">
        <v>302</v>
      </c>
      <c r="L25">
        <v>1348</v>
      </c>
      <c r="N25">
        <v>1009</v>
      </c>
      <c r="O25" t="s">
        <v>51</v>
      </c>
      <c r="P25" t="s">
        <v>51</v>
      </c>
      <c r="Q25">
        <v>1000</v>
      </c>
      <c r="W25">
        <v>0</v>
      </c>
      <c r="X25">
        <v>1876504916</v>
      </c>
      <c r="Y25">
        <v>8.4999999999999995E-4</v>
      </c>
      <c r="AA25">
        <v>46047.42</v>
      </c>
      <c r="AB25">
        <v>0</v>
      </c>
      <c r="AC25">
        <v>0</v>
      </c>
      <c r="AD25">
        <v>0</v>
      </c>
      <c r="AE25">
        <v>5649.99</v>
      </c>
      <c r="AF25">
        <v>0</v>
      </c>
      <c r="AG25">
        <v>0</v>
      </c>
      <c r="AH25">
        <v>0</v>
      </c>
      <c r="AI25">
        <v>8.15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8.4999999999999995E-4</v>
      </c>
      <c r="AU25" t="s">
        <v>3</v>
      </c>
      <c r="AV25">
        <v>0</v>
      </c>
      <c r="AW25">
        <v>2</v>
      </c>
      <c r="AX25">
        <v>35798379</v>
      </c>
      <c r="AY25">
        <v>1</v>
      </c>
      <c r="AZ25">
        <v>0</v>
      </c>
      <c r="BA25">
        <v>25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Y25*Source!I25</f>
        <v>2.9749999999999997E-4</v>
      </c>
      <c r="CY25">
        <f t="shared" si="5"/>
        <v>46047.42</v>
      </c>
      <c r="CZ25">
        <f t="shared" si="6"/>
        <v>5649.99</v>
      </c>
      <c r="DA25">
        <f t="shared" si="7"/>
        <v>8.15</v>
      </c>
      <c r="DB25">
        <f t="shared" si="8"/>
        <v>4.8</v>
      </c>
      <c r="DC25">
        <f t="shared" si="9"/>
        <v>0</v>
      </c>
    </row>
    <row r="26" spans="1:107">
      <c r="A26">
        <f>ROW(Source!A25)</f>
        <v>25</v>
      </c>
      <c r="B26">
        <v>35798216</v>
      </c>
      <c r="C26">
        <v>35798372</v>
      </c>
      <c r="D26">
        <v>29109600</v>
      </c>
      <c r="E26">
        <v>1</v>
      </c>
      <c r="F26">
        <v>1</v>
      </c>
      <c r="G26">
        <v>1</v>
      </c>
      <c r="H26">
        <v>3</v>
      </c>
      <c r="I26" t="s">
        <v>44</v>
      </c>
      <c r="J26" t="s">
        <v>47</v>
      </c>
      <c r="K26" t="s">
        <v>45</v>
      </c>
      <c r="L26">
        <v>1328</v>
      </c>
      <c r="N26">
        <v>1005</v>
      </c>
      <c r="O26" t="s">
        <v>46</v>
      </c>
      <c r="P26" t="s">
        <v>46</v>
      </c>
      <c r="Q26">
        <v>100</v>
      </c>
      <c r="W26">
        <v>1</v>
      </c>
      <c r="X26">
        <v>-756490368</v>
      </c>
      <c r="Y26">
        <v>-1.1299999999999999</v>
      </c>
      <c r="AA26">
        <v>3508.28</v>
      </c>
      <c r="AB26">
        <v>0</v>
      </c>
      <c r="AC26">
        <v>0</v>
      </c>
      <c r="AD26">
        <v>0</v>
      </c>
      <c r="AE26">
        <v>458</v>
      </c>
      <c r="AF26">
        <v>0</v>
      </c>
      <c r="AG26">
        <v>0</v>
      </c>
      <c r="AH26">
        <v>0</v>
      </c>
      <c r="AI26">
        <v>7.66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-1.1299999999999999</v>
      </c>
      <c r="AU26" t="s">
        <v>3</v>
      </c>
      <c r="AV26">
        <v>0</v>
      </c>
      <c r="AW26">
        <v>2</v>
      </c>
      <c r="AX26">
        <v>35798380</v>
      </c>
      <c r="AY26">
        <v>1</v>
      </c>
      <c r="AZ26">
        <v>6144</v>
      </c>
      <c r="BA26">
        <v>26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Y26*Source!I25</f>
        <v>-0.39549999999999996</v>
      </c>
      <c r="CY26">
        <f t="shared" si="5"/>
        <v>3508.28</v>
      </c>
      <c r="CZ26">
        <f t="shared" si="6"/>
        <v>458</v>
      </c>
      <c r="DA26">
        <f t="shared" si="7"/>
        <v>7.66</v>
      </c>
      <c r="DB26">
        <f t="shared" si="8"/>
        <v>-517.54</v>
      </c>
      <c r="DC26">
        <f t="shared" si="9"/>
        <v>0</v>
      </c>
    </row>
    <row r="27" spans="1:107">
      <c r="A27">
        <f>ROW(Source!A25)</f>
        <v>25</v>
      </c>
      <c r="B27">
        <v>35798216</v>
      </c>
      <c r="C27">
        <v>35798372</v>
      </c>
      <c r="D27">
        <v>29109629</v>
      </c>
      <c r="E27">
        <v>1</v>
      </c>
      <c r="F27">
        <v>1</v>
      </c>
      <c r="G27">
        <v>1</v>
      </c>
      <c r="H27">
        <v>3</v>
      </c>
      <c r="I27" t="s">
        <v>34</v>
      </c>
      <c r="J27" t="s">
        <v>37</v>
      </c>
      <c r="K27" t="s">
        <v>35</v>
      </c>
      <c r="L27">
        <v>1327</v>
      </c>
      <c r="N27">
        <v>1005</v>
      </c>
      <c r="O27" t="s">
        <v>36</v>
      </c>
      <c r="P27" t="s">
        <v>36</v>
      </c>
      <c r="Q27">
        <v>1</v>
      </c>
      <c r="W27">
        <v>0</v>
      </c>
      <c r="X27">
        <v>2076120530</v>
      </c>
      <c r="Y27">
        <v>100</v>
      </c>
      <c r="AA27">
        <v>44.68</v>
      </c>
      <c r="AB27">
        <v>0</v>
      </c>
      <c r="AC27">
        <v>0</v>
      </c>
      <c r="AD27">
        <v>0</v>
      </c>
      <c r="AE27">
        <v>44.68</v>
      </c>
      <c r="AF27">
        <v>0</v>
      </c>
      <c r="AG27">
        <v>0</v>
      </c>
      <c r="AH27">
        <v>0</v>
      </c>
      <c r="AI27">
        <v>1</v>
      </c>
      <c r="AJ27">
        <v>1</v>
      </c>
      <c r="AK27">
        <v>1</v>
      </c>
      <c r="AL27">
        <v>1</v>
      </c>
      <c r="AN27">
        <v>0</v>
      </c>
      <c r="AO27">
        <v>0</v>
      </c>
      <c r="AP27">
        <v>0</v>
      </c>
      <c r="AQ27">
        <v>0</v>
      </c>
      <c r="AR27">
        <v>0</v>
      </c>
      <c r="AS27" t="s">
        <v>3</v>
      </c>
      <c r="AT27">
        <v>100</v>
      </c>
      <c r="AU27" t="s">
        <v>3</v>
      </c>
      <c r="AV27">
        <v>0</v>
      </c>
      <c r="AW27">
        <v>1</v>
      </c>
      <c r="AX27">
        <v>-1</v>
      </c>
      <c r="AY27">
        <v>0</v>
      </c>
      <c r="AZ27">
        <v>0</v>
      </c>
      <c r="BA27" t="s">
        <v>3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Y27*Source!I25</f>
        <v>35</v>
      </c>
      <c r="CY27">
        <f t="shared" si="5"/>
        <v>44.68</v>
      </c>
      <c r="CZ27">
        <f t="shared" si="6"/>
        <v>44.68</v>
      </c>
      <c r="DA27">
        <f t="shared" si="7"/>
        <v>1</v>
      </c>
      <c r="DB27">
        <f t="shared" si="8"/>
        <v>4468</v>
      </c>
      <c r="DC27">
        <f t="shared" si="9"/>
        <v>0</v>
      </c>
    </row>
    <row r="28" spans="1:107">
      <c r="A28">
        <f>ROW(Source!A25)</f>
        <v>25</v>
      </c>
      <c r="B28">
        <v>35798216</v>
      </c>
      <c r="C28">
        <v>35798372</v>
      </c>
      <c r="D28">
        <v>29122297</v>
      </c>
      <c r="E28">
        <v>1</v>
      </c>
      <c r="F28">
        <v>1</v>
      </c>
      <c r="G28">
        <v>1</v>
      </c>
      <c r="H28">
        <v>3</v>
      </c>
      <c r="I28" t="s">
        <v>39</v>
      </c>
      <c r="J28" t="s">
        <v>42</v>
      </c>
      <c r="K28" t="s">
        <v>40</v>
      </c>
      <c r="L28">
        <v>1346</v>
      </c>
      <c r="N28">
        <v>1009</v>
      </c>
      <c r="O28" t="s">
        <v>41</v>
      </c>
      <c r="P28" t="s">
        <v>41</v>
      </c>
      <c r="Q28">
        <v>1</v>
      </c>
      <c r="W28">
        <v>0</v>
      </c>
      <c r="X28">
        <v>1484594400</v>
      </c>
      <c r="Y28">
        <v>3.3333330000000001</v>
      </c>
      <c r="AA28">
        <v>116.22</v>
      </c>
      <c r="AB28">
        <v>0</v>
      </c>
      <c r="AC28">
        <v>0</v>
      </c>
      <c r="AD28">
        <v>0</v>
      </c>
      <c r="AE28">
        <v>8.30138</v>
      </c>
      <c r="AF28">
        <v>0</v>
      </c>
      <c r="AG28">
        <v>0</v>
      </c>
      <c r="AH28">
        <v>0</v>
      </c>
      <c r="AI28">
        <v>14</v>
      </c>
      <c r="AJ28">
        <v>1</v>
      </c>
      <c r="AK28">
        <v>1</v>
      </c>
      <c r="AL28">
        <v>1</v>
      </c>
      <c r="AN28">
        <v>0</v>
      </c>
      <c r="AO28">
        <v>0</v>
      </c>
      <c r="AP28">
        <v>0</v>
      </c>
      <c r="AQ28">
        <v>0</v>
      </c>
      <c r="AR28">
        <v>0</v>
      </c>
      <c r="AS28" t="s">
        <v>3</v>
      </c>
      <c r="AT28">
        <v>3.3333330000000001</v>
      </c>
      <c r="AU28" t="s">
        <v>3</v>
      </c>
      <c r="AV28">
        <v>0</v>
      </c>
      <c r="AW28">
        <v>1</v>
      </c>
      <c r="AX28">
        <v>-1</v>
      </c>
      <c r="AY28">
        <v>0</v>
      </c>
      <c r="AZ28">
        <v>0</v>
      </c>
      <c r="BA28" t="s">
        <v>3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Y28*Source!I25</f>
        <v>1.16666655</v>
      </c>
      <c r="CY28">
        <f t="shared" si="5"/>
        <v>116.22</v>
      </c>
      <c r="CZ28">
        <f t="shared" si="6"/>
        <v>8.30138</v>
      </c>
      <c r="DA28">
        <f t="shared" si="7"/>
        <v>14</v>
      </c>
      <c r="DB28">
        <f t="shared" si="8"/>
        <v>27.67</v>
      </c>
      <c r="DC28">
        <f t="shared" si="9"/>
        <v>0</v>
      </c>
    </row>
    <row r="29" spans="1:107">
      <c r="A29">
        <f>ROW(Source!A25)</f>
        <v>25</v>
      </c>
      <c r="B29">
        <v>35798216</v>
      </c>
      <c r="C29">
        <v>35798372</v>
      </c>
      <c r="D29">
        <v>29149868</v>
      </c>
      <c r="E29">
        <v>1</v>
      </c>
      <c r="F29">
        <v>1</v>
      </c>
      <c r="G29">
        <v>1</v>
      </c>
      <c r="H29">
        <v>3</v>
      </c>
      <c r="I29" t="s">
        <v>303</v>
      </c>
      <c r="J29" t="s">
        <v>304</v>
      </c>
      <c r="K29" t="s">
        <v>305</v>
      </c>
      <c r="L29">
        <v>1339</v>
      </c>
      <c r="N29">
        <v>1007</v>
      </c>
      <c r="O29" t="s">
        <v>306</v>
      </c>
      <c r="P29" t="s">
        <v>306</v>
      </c>
      <c r="Q29">
        <v>1</v>
      </c>
      <c r="W29">
        <v>0</v>
      </c>
      <c r="X29">
        <v>-1546867598</v>
      </c>
      <c r="Y29">
        <v>4.0000000000000002E-4</v>
      </c>
      <c r="AA29">
        <v>495.28</v>
      </c>
      <c r="AB29">
        <v>0</v>
      </c>
      <c r="AC29">
        <v>0</v>
      </c>
      <c r="AD29">
        <v>0</v>
      </c>
      <c r="AE29">
        <v>74.59</v>
      </c>
      <c r="AF29">
        <v>0</v>
      </c>
      <c r="AG29">
        <v>0</v>
      </c>
      <c r="AH29">
        <v>0</v>
      </c>
      <c r="AI29">
        <v>6.64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4.0000000000000002E-4</v>
      </c>
      <c r="AU29" t="s">
        <v>3</v>
      </c>
      <c r="AV29">
        <v>0</v>
      </c>
      <c r="AW29">
        <v>2</v>
      </c>
      <c r="AX29">
        <v>35798381</v>
      </c>
      <c r="AY29">
        <v>1</v>
      </c>
      <c r="AZ29">
        <v>0</v>
      </c>
      <c r="BA29">
        <v>27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Y29*Source!I25</f>
        <v>1.3999999999999999E-4</v>
      </c>
      <c r="CY29">
        <f t="shared" si="5"/>
        <v>495.28</v>
      </c>
      <c r="CZ29">
        <f t="shared" si="6"/>
        <v>74.59</v>
      </c>
      <c r="DA29">
        <f t="shared" si="7"/>
        <v>6.64</v>
      </c>
      <c r="DB29">
        <f t="shared" si="8"/>
        <v>0.03</v>
      </c>
      <c r="DC29">
        <f t="shared" si="9"/>
        <v>0</v>
      </c>
    </row>
    <row r="30" spans="1:107">
      <c r="A30">
        <f>ROW(Source!A25)</f>
        <v>25</v>
      </c>
      <c r="B30">
        <v>35798216</v>
      </c>
      <c r="C30">
        <v>35798372</v>
      </c>
      <c r="D30">
        <v>29150040</v>
      </c>
      <c r="E30">
        <v>1</v>
      </c>
      <c r="F30">
        <v>1</v>
      </c>
      <c r="G30">
        <v>1</v>
      </c>
      <c r="H30">
        <v>3</v>
      </c>
      <c r="I30" t="s">
        <v>307</v>
      </c>
      <c r="J30" t="s">
        <v>308</v>
      </c>
      <c r="K30" t="s">
        <v>309</v>
      </c>
      <c r="L30">
        <v>1339</v>
      </c>
      <c r="N30">
        <v>1007</v>
      </c>
      <c r="O30" t="s">
        <v>306</v>
      </c>
      <c r="P30" t="s">
        <v>306</v>
      </c>
      <c r="Q30">
        <v>1</v>
      </c>
      <c r="W30">
        <v>0</v>
      </c>
      <c r="X30">
        <v>693153122</v>
      </c>
      <c r="Y30">
        <v>0.01</v>
      </c>
      <c r="AA30">
        <v>22.2</v>
      </c>
      <c r="AB30">
        <v>0</v>
      </c>
      <c r="AC30">
        <v>0</v>
      </c>
      <c r="AD30">
        <v>0</v>
      </c>
      <c r="AE30">
        <v>2.44</v>
      </c>
      <c r="AF30">
        <v>0</v>
      </c>
      <c r="AG30">
        <v>0</v>
      </c>
      <c r="AH30">
        <v>0</v>
      </c>
      <c r="AI30">
        <v>9.1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0.01</v>
      </c>
      <c r="AU30" t="s">
        <v>3</v>
      </c>
      <c r="AV30">
        <v>0</v>
      </c>
      <c r="AW30">
        <v>2</v>
      </c>
      <c r="AX30">
        <v>35798382</v>
      </c>
      <c r="AY30">
        <v>1</v>
      </c>
      <c r="AZ30">
        <v>0</v>
      </c>
      <c r="BA30">
        <v>28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Y30*Source!I25</f>
        <v>3.4999999999999996E-3</v>
      </c>
      <c r="CY30">
        <f t="shared" si="5"/>
        <v>22.2</v>
      </c>
      <c r="CZ30">
        <f t="shared" si="6"/>
        <v>2.44</v>
      </c>
      <c r="DA30">
        <f t="shared" si="7"/>
        <v>9.1</v>
      </c>
      <c r="DB30">
        <f t="shared" si="8"/>
        <v>0.02</v>
      </c>
      <c r="DC30">
        <f t="shared" si="9"/>
        <v>0</v>
      </c>
    </row>
    <row r="31" spans="1:107">
      <c r="A31">
        <f>ROW(Source!A30)</f>
        <v>30</v>
      </c>
      <c r="B31">
        <v>35798216</v>
      </c>
      <c r="C31">
        <v>36144406</v>
      </c>
      <c r="D31">
        <v>18411117</v>
      </c>
      <c r="E31">
        <v>1</v>
      </c>
      <c r="F31">
        <v>1</v>
      </c>
      <c r="G31">
        <v>1</v>
      </c>
      <c r="H31">
        <v>1</v>
      </c>
      <c r="I31" t="s">
        <v>310</v>
      </c>
      <c r="J31" t="s">
        <v>3</v>
      </c>
      <c r="K31" t="s">
        <v>311</v>
      </c>
      <c r="L31">
        <v>1369</v>
      </c>
      <c r="N31">
        <v>1013</v>
      </c>
      <c r="O31" t="s">
        <v>233</v>
      </c>
      <c r="P31" t="s">
        <v>233</v>
      </c>
      <c r="Q31">
        <v>1</v>
      </c>
      <c r="W31">
        <v>0</v>
      </c>
      <c r="X31">
        <v>-1739886638</v>
      </c>
      <c r="Y31">
        <v>8.3800000000000008</v>
      </c>
      <c r="AA31">
        <v>0</v>
      </c>
      <c r="AB31">
        <v>0</v>
      </c>
      <c r="AC31">
        <v>0</v>
      </c>
      <c r="AD31">
        <v>314.08999999999997</v>
      </c>
      <c r="AE31">
        <v>0</v>
      </c>
      <c r="AF31">
        <v>0</v>
      </c>
      <c r="AG31">
        <v>0</v>
      </c>
      <c r="AH31">
        <v>314.08999999999997</v>
      </c>
      <c r="AI31">
        <v>1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8.3800000000000008</v>
      </c>
      <c r="AU31" t="s">
        <v>3</v>
      </c>
      <c r="AV31">
        <v>1</v>
      </c>
      <c r="AW31">
        <v>2</v>
      </c>
      <c r="AX31">
        <v>36144407</v>
      </c>
      <c r="AY31">
        <v>1</v>
      </c>
      <c r="AZ31">
        <v>0</v>
      </c>
      <c r="BA31">
        <v>29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Y31*Source!I30</f>
        <v>2.9330000000000003</v>
      </c>
      <c r="CY31">
        <f>AD31</f>
        <v>314.08999999999997</v>
      </c>
      <c r="CZ31">
        <f>AH31</f>
        <v>314.08999999999997</v>
      </c>
      <c r="DA31">
        <f>AL31</f>
        <v>1</v>
      </c>
      <c r="DB31">
        <f t="shared" si="8"/>
        <v>2632.07</v>
      </c>
      <c r="DC31">
        <f t="shared" si="9"/>
        <v>0</v>
      </c>
    </row>
    <row r="32" spans="1:107">
      <c r="A32">
        <f>ROW(Source!A30)</f>
        <v>30</v>
      </c>
      <c r="B32">
        <v>35798216</v>
      </c>
      <c r="C32">
        <v>36144406</v>
      </c>
      <c r="D32">
        <v>29110235</v>
      </c>
      <c r="E32">
        <v>1</v>
      </c>
      <c r="F32">
        <v>1</v>
      </c>
      <c r="G32">
        <v>1</v>
      </c>
      <c r="H32">
        <v>3</v>
      </c>
      <c r="I32" t="s">
        <v>59</v>
      </c>
      <c r="J32" t="s">
        <v>61</v>
      </c>
      <c r="K32" t="s">
        <v>60</v>
      </c>
      <c r="L32">
        <v>1348</v>
      </c>
      <c r="N32">
        <v>1009</v>
      </c>
      <c r="O32" t="s">
        <v>51</v>
      </c>
      <c r="P32" t="s">
        <v>51</v>
      </c>
      <c r="Q32">
        <v>1000</v>
      </c>
      <c r="W32">
        <v>0</v>
      </c>
      <c r="X32">
        <v>789319650</v>
      </c>
      <c r="Y32">
        <v>1.6E-2</v>
      </c>
      <c r="AA32">
        <v>64421.97</v>
      </c>
      <c r="AB32">
        <v>0</v>
      </c>
      <c r="AC32">
        <v>0</v>
      </c>
      <c r="AD32">
        <v>0</v>
      </c>
      <c r="AE32">
        <v>7118.45</v>
      </c>
      <c r="AF32">
        <v>0</v>
      </c>
      <c r="AG32">
        <v>0</v>
      </c>
      <c r="AH32">
        <v>0</v>
      </c>
      <c r="AI32">
        <v>9.0500000000000007</v>
      </c>
      <c r="AJ32">
        <v>1</v>
      </c>
      <c r="AK32">
        <v>1</v>
      </c>
      <c r="AL32">
        <v>1</v>
      </c>
      <c r="AN32">
        <v>0</v>
      </c>
      <c r="AO32">
        <v>0</v>
      </c>
      <c r="AP32">
        <v>0</v>
      </c>
      <c r="AQ32">
        <v>0</v>
      </c>
      <c r="AR32">
        <v>0</v>
      </c>
      <c r="AS32" t="s">
        <v>3</v>
      </c>
      <c r="AT32">
        <v>1.6E-2</v>
      </c>
      <c r="AU32" t="s">
        <v>3</v>
      </c>
      <c r="AV32">
        <v>0</v>
      </c>
      <c r="AW32">
        <v>1</v>
      </c>
      <c r="AX32">
        <v>-1</v>
      </c>
      <c r="AY32">
        <v>0</v>
      </c>
      <c r="AZ32">
        <v>0</v>
      </c>
      <c r="BA32" t="s">
        <v>3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Y32*Source!I30</f>
        <v>5.5999999999999999E-3</v>
      </c>
      <c r="CY32">
        <f>AA32</f>
        <v>64421.97</v>
      </c>
      <c r="CZ32">
        <f>AE32</f>
        <v>7118.45</v>
      </c>
      <c r="DA32">
        <f>AI32</f>
        <v>9.0500000000000007</v>
      </c>
      <c r="DB32">
        <f t="shared" si="8"/>
        <v>113.9</v>
      </c>
      <c r="DC32">
        <f t="shared" si="9"/>
        <v>0</v>
      </c>
    </row>
    <row r="33" spans="1:107">
      <c r="A33">
        <f>ROW(Source!A37)</f>
        <v>37</v>
      </c>
      <c r="B33">
        <v>35798216</v>
      </c>
      <c r="C33">
        <v>35798454</v>
      </c>
      <c r="D33">
        <v>18407546</v>
      </c>
      <c r="E33">
        <v>1</v>
      </c>
      <c r="F33">
        <v>1</v>
      </c>
      <c r="G33">
        <v>1</v>
      </c>
      <c r="H33">
        <v>1</v>
      </c>
      <c r="I33" t="s">
        <v>312</v>
      </c>
      <c r="J33" t="s">
        <v>3</v>
      </c>
      <c r="K33" t="s">
        <v>313</v>
      </c>
      <c r="L33">
        <v>1369</v>
      </c>
      <c r="N33">
        <v>1013</v>
      </c>
      <c r="O33" t="s">
        <v>233</v>
      </c>
      <c r="P33" t="s">
        <v>233</v>
      </c>
      <c r="Q33">
        <v>1</v>
      </c>
      <c r="W33">
        <v>0</v>
      </c>
      <c r="X33">
        <v>1709986911</v>
      </c>
      <c r="Y33">
        <v>117.82899999999998</v>
      </c>
      <c r="AA33">
        <v>0</v>
      </c>
      <c r="AB33">
        <v>0</v>
      </c>
      <c r="AC33">
        <v>0</v>
      </c>
      <c r="AD33">
        <v>306.91000000000003</v>
      </c>
      <c r="AE33">
        <v>0</v>
      </c>
      <c r="AF33">
        <v>0</v>
      </c>
      <c r="AG33">
        <v>0</v>
      </c>
      <c r="AH33">
        <v>306.91000000000003</v>
      </c>
      <c r="AI33">
        <v>1</v>
      </c>
      <c r="AJ33">
        <v>1</v>
      </c>
      <c r="AK33">
        <v>1</v>
      </c>
      <c r="AL33">
        <v>1</v>
      </c>
      <c r="AN33">
        <v>0</v>
      </c>
      <c r="AO33">
        <v>1</v>
      </c>
      <c r="AP33">
        <v>1</v>
      </c>
      <c r="AQ33">
        <v>0</v>
      </c>
      <c r="AR33">
        <v>0</v>
      </c>
      <c r="AS33" t="s">
        <v>3</v>
      </c>
      <c r="AT33">
        <v>102.46</v>
      </c>
      <c r="AU33" t="s">
        <v>19</v>
      </c>
      <c r="AV33">
        <v>1</v>
      </c>
      <c r="AW33">
        <v>2</v>
      </c>
      <c r="AX33">
        <v>35798455</v>
      </c>
      <c r="AY33">
        <v>1</v>
      </c>
      <c r="AZ33">
        <v>0</v>
      </c>
      <c r="BA33">
        <v>31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Y33*Source!I37</f>
        <v>44.53936199999999</v>
      </c>
      <c r="CY33">
        <f>AD33</f>
        <v>306.91000000000003</v>
      </c>
      <c r="CZ33">
        <f>AH33</f>
        <v>306.91000000000003</v>
      </c>
      <c r="DA33">
        <f>AL33</f>
        <v>1</v>
      </c>
      <c r="DB33">
        <f>ROUND((ROUND(AT33*CZ33,2)*1.15),6)</f>
        <v>36162.9</v>
      </c>
      <c r="DC33">
        <f>ROUND((ROUND(AT33*AG33,2)*1.15),6)</f>
        <v>0</v>
      </c>
    </row>
    <row r="34" spans="1:107">
      <c r="A34">
        <f>ROW(Source!A37)</f>
        <v>37</v>
      </c>
      <c r="B34">
        <v>35798216</v>
      </c>
      <c r="C34">
        <v>35798454</v>
      </c>
      <c r="D34">
        <v>121548</v>
      </c>
      <c r="E34">
        <v>1</v>
      </c>
      <c r="F34">
        <v>1</v>
      </c>
      <c r="G34">
        <v>1</v>
      </c>
      <c r="H34">
        <v>1</v>
      </c>
      <c r="I34" t="s">
        <v>69</v>
      </c>
      <c r="J34" t="s">
        <v>3</v>
      </c>
      <c r="K34" t="s">
        <v>289</v>
      </c>
      <c r="L34">
        <v>608254</v>
      </c>
      <c r="N34">
        <v>1013</v>
      </c>
      <c r="O34" t="s">
        <v>290</v>
      </c>
      <c r="P34" t="s">
        <v>290</v>
      </c>
      <c r="Q34">
        <v>1</v>
      </c>
      <c r="W34">
        <v>0</v>
      </c>
      <c r="X34">
        <v>-185737400</v>
      </c>
      <c r="Y34">
        <v>0.95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1</v>
      </c>
      <c r="AJ34">
        <v>1</v>
      </c>
      <c r="AK34">
        <v>1</v>
      </c>
      <c r="AL34">
        <v>1</v>
      </c>
      <c r="AN34">
        <v>0</v>
      </c>
      <c r="AO34">
        <v>1</v>
      </c>
      <c r="AP34">
        <v>1</v>
      </c>
      <c r="AQ34">
        <v>0</v>
      </c>
      <c r="AR34">
        <v>0</v>
      </c>
      <c r="AS34" t="s">
        <v>3</v>
      </c>
      <c r="AT34">
        <v>0.76</v>
      </c>
      <c r="AU34" t="s">
        <v>18</v>
      </c>
      <c r="AV34">
        <v>2</v>
      </c>
      <c r="AW34">
        <v>2</v>
      </c>
      <c r="AX34">
        <v>35798456</v>
      </c>
      <c r="AY34">
        <v>1</v>
      </c>
      <c r="AZ34">
        <v>0</v>
      </c>
      <c r="BA34">
        <v>32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Y34*Source!I37</f>
        <v>0.35909999999999997</v>
      </c>
      <c r="CY34">
        <f>AD34</f>
        <v>0</v>
      </c>
      <c r="CZ34">
        <f>AH34</f>
        <v>0</v>
      </c>
      <c r="DA34">
        <f>AL34</f>
        <v>1</v>
      </c>
      <c r="DB34">
        <f>ROUND((ROUND(AT34*CZ34,2)*1.25),6)</f>
        <v>0</v>
      </c>
      <c r="DC34">
        <f>ROUND((ROUND(AT34*AG34,2)*1.25),6)</f>
        <v>0</v>
      </c>
    </row>
    <row r="35" spans="1:107">
      <c r="A35">
        <f>ROW(Source!A37)</f>
        <v>37</v>
      </c>
      <c r="B35">
        <v>35798216</v>
      </c>
      <c r="C35">
        <v>35798454</v>
      </c>
      <c r="D35">
        <v>29172556</v>
      </c>
      <c r="E35">
        <v>1</v>
      </c>
      <c r="F35">
        <v>1</v>
      </c>
      <c r="G35">
        <v>1</v>
      </c>
      <c r="H35">
        <v>2</v>
      </c>
      <c r="I35" t="s">
        <v>291</v>
      </c>
      <c r="J35" t="s">
        <v>292</v>
      </c>
      <c r="K35" t="s">
        <v>293</v>
      </c>
      <c r="L35">
        <v>1368</v>
      </c>
      <c r="N35">
        <v>1011</v>
      </c>
      <c r="O35" t="s">
        <v>237</v>
      </c>
      <c r="P35" t="s">
        <v>237</v>
      </c>
      <c r="Q35">
        <v>1</v>
      </c>
      <c r="W35">
        <v>0</v>
      </c>
      <c r="X35">
        <v>-1302720870</v>
      </c>
      <c r="Y35">
        <v>0.95</v>
      </c>
      <c r="AA35">
        <v>0</v>
      </c>
      <c r="AB35">
        <v>466.71</v>
      </c>
      <c r="AC35">
        <v>446.18</v>
      </c>
      <c r="AD35">
        <v>0</v>
      </c>
      <c r="AE35">
        <v>0</v>
      </c>
      <c r="AF35">
        <v>31.26</v>
      </c>
      <c r="AG35">
        <v>13.5</v>
      </c>
      <c r="AH35">
        <v>0</v>
      </c>
      <c r="AI35">
        <v>1</v>
      </c>
      <c r="AJ35">
        <v>14.93</v>
      </c>
      <c r="AK35">
        <v>33.049999999999997</v>
      </c>
      <c r="AL35">
        <v>1</v>
      </c>
      <c r="AN35">
        <v>0</v>
      </c>
      <c r="AO35">
        <v>1</v>
      </c>
      <c r="AP35">
        <v>1</v>
      </c>
      <c r="AQ35">
        <v>0</v>
      </c>
      <c r="AR35">
        <v>0</v>
      </c>
      <c r="AS35" t="s">
        <v>3</v>
      </c>
      <c r="AT35">
        <v>0.76</v>
      </c>
      <c r="AU35" t="s">
        <v>18</v>
      </c>
      <c r="AV35">
        <v>0</v>
      </c>
      <c r="AW35">
        <v>2</v>
      </c>
      <c r="AX35">
        <v>35798457</v>
      </c>
      <c r="AY35">
        <v>1</v>
      </c>
      <c r="AZ35">
        <v>0</v>
      </c>
      <c r="BA35">
        <v>33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Y35*Source!I37</f>
        <v>0.35909999999999997</v>
      </c>
      <c r="CY35">
        <f>AB35</f>
        <v>466.71</v>
      </c>
      <c r="CZ35">
        <f>AF35</f>
        <v>31.26</v>
      </c>
      <c r="DA35">
        <f>AJ35</f>
        <v>14.93</v>
      </c>
      <c r="DB35">
        <f>ROUND((ROUND(AT35*CZ35,2)*1.25),6)</f>
        <v>29.7</v>
      </c>
      <c r="DC35">
        <f>ROUND((ROUND(AT35*AG35,2)*1.25),6)</f>
        <v>12.824999999999999</v>
      </c>
    </row>
    <row r="36" spans="1:107">
      <c r="A36">
        <f>ROW(Source!A37)</f>
        <v>37</v>
      </c>
      <c r="B36">
        <v>35798216</v>
      </c>
      <c r="C36">
        <v>35798454</v>
      </c>
      <c r="D36">
        <v>29174500</v>
      </c>
      <c r="E36">
        <v>1</v>
      </c>
      <c r="F36">
        <v>1</v>
      </c>
      <c r="G36">
        <v>1</v>
      </c>
      <c r="H36">
        <v>2</v>
      </c>
      <c r="I36" t="s">
        <v>314</v>
      </c>
      <c r="J36" t="s">
        <v>315</v>
      </c>
      <c r="K36" t="s">
        <v>316</v>
      </c>
      <c r="L36">
        <v>1368</v>
      </c>
      <c r="N36">
        <v>1011</v>
      </c>
      <c r="O36" t="s">
        <v>237</v>
      </c>
      <c r="P36" t="s">
        <v>237</v>
      </c>
      <c r="Q36">
        <v>1</v>
      </c>
      <c r="W36">
        <v>0</v>
      </c>
      <c r="X36">
        <v>-239831557</v>
      </c>
      <c r="Y36">
        <v>6.6875</v>
      </c>
      <c r="AA36">
        <v>0</v>
      </c>
      <c r="AB36">
        <v>7.33</v>
      </c>
      <c r="AC36">
        <v>0</v>
      </c>
      <c r="AD36">
        <v>0</v>
      </c>
      <c r="AE36">
        <v>0</v>
      </c>
      <c r="AF36">
        <v>1.95</v>
      </c>
      <c r="AG36">
        <v>0</v>
      </c>
      <c r="AH36">
        <v>0</v>
      </c>
      <c r="AI36">
        <v>1</v>
      </c>
      <c r="AJ36">
        <v>3.76</v>
      </c>
      <c r="AK36">
        <v>33.049999999999997</v>
      </c>
      <c r="AL36">
        <v>1</v>
      </c>
      <c r="AN36">
        <v>0</v>
      </c>
      <c r="AO36">
        <v>1</v>
      </c>
      <c r="AP36">
        <v>1</v>
      </c>
      <c r="AQ36">
        <v>0</v>
      </c>
      <c r="AR36">
        <v>0</v>
      </c>
      <c r="AS36" t="s">
        <v>3</v>
      </c>
      <c r="AT36">
        <v>5.35</v>
      </c>
      <c r="AU36" t="s">
        <v>18</v>
      </c>
      <c r="AV36">
        <v>0</v>
      </c>
      <c r="AW36">
        <v>2</v>
      </c>
      <c r="AX36">
        <v>35798458</v>
      </c>
      <c r="AY36">
        <v>1</v>
      </c>
      <c r="AZ36">
        <v>0</v>
      </c>
      <c r="BA36">
        <v>34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Y36*Source!I37</f>
        <v>2.5278749999999999</v>
      </c>
      <c r="CY36">
        <f>AB36</f>
        <v>7.33</v>
      </c>
      <c r="CZ36">
        <f>AF36</f>
        <v>1.95</v>
      </c>
      <c r="DA36">
        <f>AJ36</f>
        <v>3.76</v>
      </c>
      <c r="DB36">
        <f>ROUND((ROUND(AT36*CZ36,2)*1.25),6)</f>
        <v>13.0375</v>
      </c>
      <c r="DC36">
        <f>ROUND((ROUND(AT36*AG36,2)*1.25),6)</f>
        <v>0</v>
      </c>
    </row>
    <row r="37" spans="1:107">
      <c r="A37">
        <f>ROW(Source!A37)</f>
        <v>37</v>
      </c>
      <c r="B37">
        <v>35798216</v>
      </c>
      <c r="C37">
        <v>35798454</v>
      </c>
      <c r="D37">
        <v>29174913</v>
      </c>
      <c r="E37">
        <v>1</v>
      </c>
      <c r="F37">
        <v>1</v>
      </c>
      <c r="G37">
        <v>1</v>
      </c>
      <c r="H37">
        <v>2</v>
      </c>
      <c r="I37" t="s">
        <v>294</v>
      </c>
      <c r="J37" t="s">
        <v>295</v>
      </c>
      <c r="K37" t="s">
        <v>296</v>
      </c>
      <c r="L37">
        <v>1368</v>
      </c>
      <c r="N37">
        <v>1011</v>
      </c>
      <c r="O37" t="s">
        <v>237</v>
      </c>
      <c r="P37" t="s">
        <v>237</v>
      </c>
      <c r="Q37">
        <v>1</v>
      </c>
      <c r="W37">
        <v>0</v>
      </c>
      <c r="X37">
        <v>458544584</v>
      </c>
      <c r="Y37">
        <v>5.7249999999999996</v>
      </c>
      <c r="AA37">
        <v>0</v>
      </c>
      <c r="AB37">
        <v>932.72</v>
      </c>
      <c r="AC37">
        <v>383.38</v>
      </c>
      <c r="AD37">
        <v>0</v>
      </c>
      <c r="AE37">
        <v>0</v>
      </c>
      <c r="AF37">
        <v>87.17</v>
      </c>
      <c r="AG37">
        <v>11.6</v>
      </c>
      <c r="AH37">
        <v>0</v>
      </c>
      <c r="AI37">
        <v>1</v>
      </c>
      <c r="AJ37">
        <v>10.7</v>
      </c>
      <c r="AK37">
        <v>33.049999999999997</v>
      </c>
      <c r="AL37">
        <v>1</v>
      </c>
      <c r="AN37">
        <v>0</v>
      </c>
      <c r="AO37">
        <v>1</v>
      </c>
      <c r="AP37">
        <v>1</v>
      </c>
      <c r="AQ37">
        <v>0</v>
      </c>
      <c r="AR37">
        <v>0</v>
      </c>
      <c r="AS37" t="s">
        <v>3</v>
      </c>
      <c r="AT37">
        <v>4.58</v>
      </c>
      <c r="AU37" t="s">
        <v>18</v>
      </c>
      <c r="AV37">
        <v>0</v>
      </c>
      <c r="AW37">
        <v>2</v>
      </c>
      <c r="AX37">
        <v>35798459</v>
      </c>
      <c r="AY37">
        <v>1</v>
      </c>
      <c r="AZ37">
        <v>0</v>
      </c>
      <c r="BA37">
        <v>35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Y37*Source!I37</f>
        <v>2.16405</v>
      </c>
      <c r="CY37">
        <f>AB37</f>
        <v>932.72</v>
      </c>
      <c r="CZ37">
        <f>AF37</f>
        <v>87.17</v>
      </c>
      <c r="DA37">
        <f>AJ37</f>
        <v>10.7</v>
      </c>
      <c r="DB37">
        <f>ROUND((ROUND(AT37*CZ37,2)*1.25),6)</f>
        <v>499.05</v>
      </c>
      <c r="DC37">
        <f>ROUND((ROUND(AT37*AG37,2)*1.25),6)</f>
        <v>66.412499999999994</v>
      </c>
    </row>
    <row r="38" spans="1:107">
      <c r="A38">
        <f>ROW(Source!A37)</f>
        <v>37</v>
      </c>
      <c r="B38">
        <v>35798216</v>
      </c>
      <c r="C38">
        <v>35798454</v>
      </c>
      <c r="D38">
        <v>29109671</v>
      </c>
      <c r="E38">
        <v>1</v>
      </c>
      <c r="F38">
        <v>1</v>
      </c>
      <c r="G38">
        <v>1</v>
      </c>
      <c r="H38">
        <v>3</v>
      </c>
      <c r="I38" t="s">
        <v>317</v>
      </c>
      <c r="J38" t="s">
        <v>318</v>
      </c>
      <c r="K38" t="s">
        <v>319</v>
      </c>
      <c r="L38">
        <v>1327</v>
      </c>
      <c r="N38">
        <v>1005</v>
      </c>
      <c r="O38" t="s">
        <v>36</v>
      </c>
      <c r="P38" t="s">
        <v>36</v>
      </c>
      <c r="Q38">
        <v>1</v>
      </c>
      <c r="W38">
        <v>0</v>
      </c>
      <c r="X38">
        <v>1862876160</v>
      </c>
      <c r="Y38">
        <v>103</v>
      </c>
      <c r="AA38">
        <v>246.76</v>
      </c>
      <c r="AB38">
        <v>0</v>
      </c>
      <c r="AC38">
        <v>0</v>
      </c>
      <c r="AD38">
        <v>0</v>
      </c>
      <c r="AE38">
        <v>51.95</v>
      </c>
      <c r="AF38">
        <v>0</v>
      </c>
      <c r="AG38">
        <v>0</v>
      </c>
      <c r="AH38">
        <v>0</v>
      </c>
      <c r="AI38">
        <v>4.75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103</v>
      </c>
      <c r="AU38" t="s">
        <v>3</v>
      </c>
      <c r="AV38">
        <v>0</v>
      </c>
      <c r="AW38">
        <v>2</v>
      </c>
      <c r="AX38">
        <v>35798460</v>
      </c>
      <c r="AY38">
        <v>1</v>
      </c>
      <c r="AZ38">
        <v>0</v>
      </c>
      <c r="BA38">
        <v>36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Y38*Source!I37</f>
        <v>38.933999999999997</v>
      </c>
      <c r="CY38">
        <f>AA38</f>
        <v>246.76</v>
      </c>
      <c r="CZ38">
        <f>AE38</f>
        <v>51.95</v>
      </c>
      <c r="DA38">
        <f>AI38</f>
        <v>4.75</v>
      </c>
      <c r="DB38">
        <f t="shared" ref="DB38:DB45" si="10">ROUND(ROUND(AT38*CZ38,2),6)</f>
        <v>5350.85</v>
      </c>
      <c r="DC38">
        <f t="shared" ref="DC38:DC45" si="11">ROUND(ROUND(AT38*AG38,2),6)</f>
        <v>0</v>
      </c>
    </row>
    <row r="39" spans="1:107">
      <c r="A39">
        <f>ROW(Source!A38)</f>
        <v>38</v>
      </c>
      <c r="B39">
        <v>35798216</v>
      </c>
      <c r="C39">
        <v>35798461</v>
      </c>
      <c r="D39">
        <v>29364679</v>
      </c>
      <c r="E39">
        <v>1</v>
      </c>
      <c r="F39">
        <v>1</v>
      </c>
      <c r="G39">
        <v>1</v>
      </c>
      <c r="H39">
        <v>1</v>
      </c>
      <c r="I39" t="s">
        <v>320</v>
      </c>
      <c r="J39" t="s">
        <v>3</v>
      </c>
      <c r="K39" t="s">
        <v>321</v>
      </c>
      <c r="L39">
        <v>1369</v>
      </c>
      <c r="N39">
        <v>1013</v>
      </c>
      <c r="O39" t="s">
        <v>233</v>
      </c>
      <c r="P39" t="s">
        <v>233</v>
      </c>
      <c r="Q39">
        <v>1</v>
      </c>
      <c r="W39">
        <v>0</v>
      </c>
      <c r="X39">
        <v>931378261</v>
      </c>
      <c r="Y39">
        <v>94.4</v>
      </c>
      <c r="AA39">
        <v>0</v>
      </c>
      <c r="AB39">
        <v>0</v>
      </c>
      <c r="AC39">
        <v>0</v>
      </c>
      <c r="AD39">
        <v>323.88</v>
      </c>
      <c r="AE39">
        <v>0</v>
      </c>
      <c r="AF39">
        <v>0</v>
      </c>
      <c r="AG39">
        <v>0</v>
      </c>
      <c r="AH39">
        <v>323.88</v>
      </c>
      <c r="AI39">
        <v>1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94.4</v>
      </c>
      <c r="AU39" t="s">
        <v>3</v>
      </c>
      <c r="AV39">
        <v>1</v>
      </c>
      <c r="AW39">
        <v>2</v>
      </c>
      <c r="AX39">
        <v>36144410</v>
      </c>
      <c r="AY39">
        <v>1</v>
      </c>
      <c r="AZ39">
        <v>0</v>
      </c>
      <c r="BA39">
        <v>37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Y39*Source!I38</f>
        <v>5.6639999999999997</v>
      </c>
      <c r="CY39">
        <f>AD39</f>
        <v>323.88</v>
      </c>
      <c r="CZ39">
        <f>AH39</f>
        <v>323.88</v>
      </c>
      <c r="DA39">
        <f>AL39</f>
        <v>1</v>
      </c>
      <c r="DB39">
        <f t="shared" si="10"/>
        <v>30574.27</v>
      </c>
      <c r="DC39">
        <f t="shared" si="11"/>
        <v>0</v>
      </c>
    </row>
    <row r="40" spans="1:107">
      <c r="A40">
        <f>ROW(Source!A38)</f>
        <v>38</v>
      </c>
      <c r="B40">
        <v>35798216</v>
      </c>
      <c r="C40">
        <v>35798461</v>
      </c>
      <c r="D40">
        <v>121548</v>
      </c>
      <c r="E40">
        <v>1</v>
      </c>
      <c r="F40">
        <v>1</v>
      </c>
      <c r="G40">
        <v>1</v>
      </c>
      <c r="H40">
        <v>1</v>
      </c>
      <c r="I40" t="s">
        <v>69</v>
      </c>
      <c r="J40" t="s">
        <v>3</v>
      </c>
      <c r="K40" t="s">
        <v>289</v>
      </c>
      <c r="L40">
        <v>608254</v>
      </c>
      <c r="N40">
        <v>1013</v>
      </c>
      <c r="O40" t="s">
        <v>290</v>
      </c>
      <c r="P40" t="s">
        <v>290</v>
      </c>
      <c r="Q40">
        <v>1</v>
      </c>
      <c r="W40">
        <v>0</v>
      </c>
      <c r="X40">
        <v>-185737400</v>
      </c>
      <c r="Y40">
        <v>0.2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1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3</v>
      </c>
      <c r="AT40">
        <v>0.2</v>
      </c>
      <c r="AU40" t="s">
        <v>3</v>
      </c>
      <c r="AV40">
        <v>2</v>
      </c>
      <c r="AW40">
        <v>2</v>
      </c>
      <c r="AX40">
        <v>36144411</v>
      </c>
      <c r="AY40">
        <v>1</v>
      </c>
      <c r="AZ40">
        <v>0</v>
      </c>
      <c r="BA40">
        <v>38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Y40*Source!I38</f>
        <v>1.2E-2</v>
      </c>
      <c r="CY40">
        <f>AD40</f>
        <v>0</v>
      </c>
      <c r="CZ40">
        <f>AH40</f>
        <v>0</v>
      </c>
      <c r="DA40">
        <f>AL40</f>
        <v>1</v>
      </c>
      <c r="DB40">
        <f t="shared" si="10"/>
        <v>0</v>
      </c>
      <c r="DC40">
        <f t="shared" si="11"/>
        <v>0</v>
      </c>
    </row>
    <row r="41" spans="1:107">
      <c r="A41">
        <f>ROW(Source!A38)</f>
        <v>38</v>
      </c>
      <c r="B41">
        <v>35798216</v>
      </c>
      <c r="C41">
        <v>35798461</v>
      </c>
      <c r="D41">
        <v>29172362</v>
      </c>
      <c r="E41">
        <v>1</v>
      </c>
      <c r="F41">
        <v>1</v>
      </c>
      <c r="G41">
        <v>1</v>
      </c>
      <c r="H41">
        <v>2</v>
      </c>
      <c r="I41" t="s">
        <v>322</v>
      </c>
      <c r="J41" t="s">
        <v>323</v>
      </c>
      <c r="K41" t="s">
        <v>324</v>
      </c>
      <c r="L41">
        <v>1368</v>
      </c>
      <c r="N41">
        <v>1011</v>
      </c>
      <c r="O41" t="s">
        <v>237</v>
      </c>
      <c r="P41" t="s">
        <v>237</v>
      </c>
      <c r="Q41">
        <v>1</v>
      </c>
      <c r="W41">
        <v>0</v>
      </c>
      <c r="X41">
        <v>2071614860</v>
      </c>
      <c r="Y41">
        <v>0.2</v>
      </c>
      <c r="AA41">
        <v>0</v>
      </c>
      <c r="AB41">
        <v>1113.56</v>
      </c>
      <c r="AC41">
        <v>446.18</v>
      </c>
      <c r="AD41">
        <v>0</v>
      </c>
      <c r="AE41">
        <v>0</v>
      </c>
      <c r="AF41">
        <v>134.65</v>
      </c>
      <c r="AG41">
        <v>13.5</v>
      </c>
      <c r="AH41">
        <v>0</v>
      </c>
      <c r="AI41">
        <v>1</v>
      </c>
      <c r="AJ41">
        <v>8.27</v>
      </c>
      <c r="AK41">
        <v>33.049999999999997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0.2</v>
      </c>
      <c r="AU41" t="s">
        <v>3</v>
      </c>
      <c r="AV41">
        <v>0</v>
      </c>
      <c r="AW41">
        <v>2</v>
      </c>
      <c r="AX41">
        <v>36144412</v>
      </c>
      <c r="AY41">
        <v>1</v>
      </c>
      <c r="AZ41">
        <v>0</v>
      </c>
      <c r="BA41">
        <v>39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Y41*Source!I38</f>
        <v>1.2E-2</v>
      </c>
      <c r="CY41">
        <f>AB41</f>
        <v>1113.56</v>
      </c>
      <c r="CZ41">
        <f>AF41</f>
        <v>134.65</v>
      </c>
      <c r="DA41">
        <f>AJ41</f>
        <v>8.27</v>
      </c>
      <c r="DB41">
        <f t="shared" si="10"/>
        <v>26.93</v>
      </c>
      <c r="DC41">
        <f t="shared" si="11"/>
        <v>2.7</v>
      </c>
    </row>
    <row r="42" spans="1:107">
      <c r="A42">
        <f>ROW(Source!A38)</f>
        <v>38</v>
      </c>
      <c r="B42">
        <v>35798216</v>
      </c>
      <c r="C42">
        <v>35798461</v>
      </c>
      <c r="D42">
        <v>29174913</v>
      </c>
      <c r="E42">
        <v>1</v>
      </c>
      <c r="F42">
        <v>1</v>
      </c>
      <c r="G42">
        <v>1</v>
      </c>
      <c r="H42">
        <v>2</v>
      </c>
      <c r="I42" t="s">
        <v>294</v>
      </c>
      <c r="J42" t="s">
        <v>295</v>
      </c>
      <c r="K42" t="s">
        <v>296</v>
      </c>
      <c r="L42">
        <v>1368</v>
      </c>
      <c r="N42">
        <v>1011</v>
      </c>
      <c r="O42" t="s">
        <v>237</v>
      </c>
      <c r="P42" t="s">
        <v>237</v>
      </c>
      <c r="Q42">
        <v>1</v>
      </c>
      <c r="W42">
        <v>0</v>
      </c>
      <c r="X42">
        <v>458544584</v>
      </c>
      <c r="Y42">
        <v>0.2</v>
      </c>
      <c r="AA42">
        <v>0</v>
      </c>
      <c r="AB42">
        <v>932.72</v>
      </c>
      <c r="AC42">
        <v>383.38</v>
      </c>
      <c r="AD42">
        <v>0</v>
      </c>
      <c r="AE42">
        <v>0</v>
      </c>
      <c r="AF42">
        <v>87.17</v>
      </c>
      <c r="AG42">
        <v>11.6</v>
      </c>
      <c r="AH42">
        <v>0</v>
      </c>
      <c r="AI42">
        <v>1</v>
      </c>
      <c r="AJ42">
        <v>10.7</v>
      </c>
      <c r="AK42">
        <v>33.049999999999997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0.2</v>
      </c>
      <c r="AU42" t="s">
        <v>3</v>
      </c>
      <c r="AV42">
        <v>0</v>
      </c>
      <c r="AW42">
        <v>2</v>
      </c>
      <c r="AX42">
        <v>36144413</v>
      </c>
      <c r="AY42">
        <v>1</v>
      </c>
      <c r="AZ42">
        <v>0</v>
      </c>
      <c r="BA42">
        <v>40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Y42*Source!I38</f>
        <v>1.2E-2</v>
      </c>
      <c r="CY42">
        <f>AB42</f>
        <v>932.72</v>
      </c>
      <c r="CZ42">
        <f>AF42</f>
        <v>87.17</v>
      </c>
      <c r="DA42">
        <f>AJ42</f>
        <v>10.7</v>
      </c>
      <c r="DB42">
        <f t="shared" si="10"/>
        <v>17.43</v>
      </c>
      <c r="DC42">
        <f t="shared" si="11"/>
        <v>2.3199999999999998</v>
      </c>
    </row>
    <row r="43" spans="1:107">
      <c r="A43">
        <f>ROW(Source!A38)</f>
        <v>38</v>
      </c>
      <c r="B43">
        <v>35798216</v>
      </c>
      <c r="C43">
        <v>35798461</v>
      </c>
      <c r="D43">
        <v>29164111</v>
      </c>
      <c r="E43">
        <v>1</v>
      </c>
      <c r="F43">
        <v>1</v>
      </c>
      <c r="G43">
        <v>1</v>
      </c>
      <c r="H43">
        <v>3</v>
      </c>
      <c r="I43" t="s">
        <v>325</v>
      </c>
      <c r="J43" t="s">
        <v>326</v>
      </c>
      <c r="K43" t="s">
        <v>327</v>
      </c>
      <c r="L43">
        <v>1355</v>
      </c>
      <c r="N43">
        <v>1010</v>
      </c>
      <c r="O43" t="s">
        <v>72</v>
      </c>
      <c r="P43" t="s">
        <v>72</v>
      </c>
      <c r="Q43">
        <v>100</v>
      </c>
      <c r="W43">
        <v>0</v>
      </c>
      <c r="X43">
        <v>-1689080274</v>
      </c>
      <c r="Y43">
        <v>1.02</v>
      </c>
      <c r="AA43">
        <v>783</v>
      </c>
      <c r="AB43">
        <v>0</v>
      </c>
      <c r="AC43">
        <v>0</v>
      </c>
      <c r="AD43">
        <v>0</v>
      </c>
      <c r="AE43">
        <v>100</v>
      </c>
      <c r="AF43">
        <v>0</v>
      </c>
      <c r="AG43">
        <v>0</v>
      </c>
      <c r="AH43">
        <v>0</v>
      </c>
      <c r="AI43">
        <v>7.83</v>
      </c>
      <c r="AJ43">
        <v>1</v>
      </c>
      <c r="AK43">
        <v>1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1.02</v>
      </c>
      <c r="AU43" t="s">
        <v>3</v>
      </c>
      <c r="AV43">
        <v>0</v>
      </c>
      <c r="AW43">
        <v>2</v>
      </c>
      <c r="AX43">
        <v>36144414</v>
      </c>
      <c r="AY43">
        <v>1</v>
      </c>
      <c r="AZ43">
        <v>0</v>
      </c>
      <c r="BA43">
        <v>41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Y43*Source!I38</f>
        <v>6.1199999999999997E-2</v>
      </c>
      <c r="CY43">
        <f>AA43</f>
        <v>783</v>
      </c>
      <c r="CZ43">
        <f>AE43</f>
        <v>100</v>
      </c>
      <c r="DA43">
        <f>AI43</f>
        <v>7.83</v>
      </c>
      <c r="DB43">
        <f t="shared" si="10"/>
        <v>102</v>
      </c>
      <c r="DC43">
        <f t="shared" si="11"/>
        <v>0</v>
      </c>
    </row>
    <row r="44" spans="1:107">
      <c r="A44">
        <f>ROW(Source!A38)</f>
        <v>38</v>
      </c>
      <c r="B44">
        <v>35798216</v>
      </c>
      <c r="C44">
        <v>35798461</v>
      </c>
      <c r="D44">
        <v>29170536</v>
      </c>
      <c r="E44">
        <v>1</v>
      </c>
      <c r="F44">
        <v>1</v>
      </c>
      <c r="G44">
        <v>1</v>
      </c>
      <c r="H44">
        <v>3</v>
      </c>
      <c r="I44" t="s">
        <v>78</v>
      </c>
      <c r="J44" t="s">
        <v>81</v>
      </c>
      <c r="K44" t="s">
        <v>79</v>
      </c>
      <c r="L44">
        <v>1354</v>
      </c>
      <c r="N44">
        <v>1010</v>
      </c>
      <c r="O44" t="s">
        <v>80</v>
      </c>
      <c r="P44" t="s">
        <v>80</v>
      </c>
      <c r="Q44">
        <v>1</v>
      </c>
      <c r="W44">
        <v>0</v>
      </c>
      <c r="X44">
        <v>1401979595</v>
      </c>
      <c r="Y44">
        <v>100</v>
      </c>
      <c r="AA44">
        <v>392.48</v>
      </c>
      <c r="AB44">
        <v>0</v>
      </c>
      <c r="AC44">
        <v>0</v>
      </c>
      <c r="AD44">
        <v>0</v>
      </c>
      <c r="AE44">
        <v>162.18</v>
      </c>
      <c r="AF44">
        <v>0</v>
      </c>
      <c r="AG44">
        <v>0</v>
      </c>
      <c r="AH44">
        <v>0</v>
      </c>
      <c r="AI44">
        <v>2.42</v>
      </c>
      <c r="AJ44">
        <v>1</v>
      </c>
      <c r="AK44">
        <v>1</v>
      </c>
      <c r="AL44">
        <v>1</v>
      </c>
      <c r="AN44">
        <v>0</v>
      </c>
      <c r="AO44">
        <v>0</v>
      </c>
      <c r="AP44">
        <v>0</v>
      </c>
      <c r="AQ44">
        <v>0</v>
      </c>
      <c r="AR44">
        <v>0</v>
      </c>
      <c r="AS44" t="s">
        <v>3</v>
      </c>
      <c r="AT44">
        <v>100</v>
      </c>
      <c r="AU44" t="s">
        <v>3</v>
      </c>
      <c r="AV44">
        <v>0</v>
      </c>
      <c r="AW44">
        <v>1</v>
      </c>
      <c r="AX44">
        <v>-1</v>
      </c>
      <c r="AY44">
        <v>0</v>
      </c>
      <c r="AZ44">
        <v>0</v>
      </c>
      <c r="BA44" t="s">
        <v>3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Y44*Source!I38</f>
        <v>6</v>
      </c>
      <c r="CY44">
        <f>AA44</f>
        <v>392.48</v>
      </c>
      <c r="CZ44">
        <f>AE44</f>
        <v>162.18</v>
      </c>
      <c r="DA44">
        <f>AI44</f>
        <v>2.42</v>
      </c>
      <c r="DB44">
        <f t="shared" si="10"/>
        <v>16218</v>
      </c>
      <c r="DC44">
        <f t="shared" si="11"/>
        <v>0</v>
      </c>
    </row>
    <row r="45" spans="1:107">
      <c r="A45">
        <f>ROW(Source!A38)</f>
        <v>38</v>
      </c>
      <c r="B45">
        <v>35798216</v>
      </c>
      <c r="C45">
        <v>35798461</v>
      </c>
      <c r="D45">
        <v>29171808</v>
      </c>
      <c r="E45">
        <v>1</v>
      </c>
      <c r="F45">
        <v>1</v>
      </c>
      <c r="G45">
        <v>1</v>
      </c>
      <c r="H45">
        <v>3</v>
      </c>
      <c r="I45" t="s">
        <v>328</v>
      </c>
      <c r="J45" t="s">
        <v>329</v>
      </c>
      <c r="K45" t="s">
        <v>330</v>
      </c>
      <c r="L45">
        <v>1374</v>
      </c>
      <c r="N45">
        <v>1013</v>
      </c>
      <c r="O45" t="s">
        <v>331</v>
      </c>
      <c r="P45" t="s">
        <v>331</v>
      </c>
      <c r="Q45">
        <v>1</v>
      </c>
      <c r="W45">
        <v>0</v>
      </c>
      <c r="X45">
        <v>-915781824</v>
      </c>
      <c r="Y45">
        <v>18.73</v>
      </c>
      <c r="AA45">
        <v>1</v>
      </c>
      <c r="AB45">
        <v>0</v>
      </c>
      <c r="AC45">
        <v>0</v>
      </c>
      <c r="AD45">
        <v>0</v>
      </c>
      <c r="AE45">
        <v>1</v>
      </c>
      <c r="AF45">
        <v>0</v>
      </c>
      <c r="AG45">
        <v>0</v>
      </c>
      <c r="AH45">
        <v>0</v>
      </c>
      <c r="AI45">
        <v>1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18.73</v>
      </c>
      <c r="AU45" t="s">
        <v>3</v>
      </c>
      <c r="AV45">
        <v>0</v>
      </c>
      <c r="AW45">
        <v>2</v>
      </c>
      <c r="AX45">
        <v>36144415</v>
      </c>
      <c r="AY45">
        <v>1</v>
      </c>
      <c r="AZ45">
        <v>0</v>
      </c>
      <c r="BA45">
        <v>42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Y45*Source!I38</f>
        <v>1.1237999999999999</v>
      </c>
      <c r="CY45">
        <f>AA45</f>
        <v>1</v>
      </c>
      <c r="CZ45">
        <f>AE45</f>
        <v>1</v>
      </c>
      <c r="DA45">
        <f>AI45</f>
        <v>1</v>
      </c>
      <c r="DB45">
        <f t="shared" si="10"/>
        <v>18.73</v>
      </c>
      <c r="DC45">
        <f t="shared" si="11"/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R42"/>
  <sheetViews>
    <sheetView workbookViewId="0"/>
  </sheetViews>
  <sheetFormatPr defaultColWidth="9.140625" defaultRowHeight="12.75"/>
  <cols>
    <col min="1" max="256" width="9.140625" customWidth="1"/>
  </cols>
  <sheetData>
    <row r="1" spans="1:44">
      <c r="A1">
        <f>ROW(Source!A24)</f>
        <v>24</v>
      </c>
      <c r="B1">
        <v>35798354</v>
      </c>
      <c r="C1">
        <v>35798353</v>
      </c>
      <c r="D1">
        <v>18409850</v>
      </c>
      <c r="E1">
        <v>1</v>
      </c>
      <c r="F1">
        <v>1</v>
      </c>
      <c r="G1">
        <v>1</v>
      </c>
      <c r="H1">
        <v>1</v>
      </c>
      <c r="I1" t="s">
        <v>231</v>
      </c>
      <c r="J1" t="s">
        <v>3</v>
      </c>
      <c r="K1" t="s">
        <v>232</v>
      </c>
      <c r="L1">
        <v>1369</v>
      </c>
      <c r="N1">
        <v>1013</v>
      </c>
      <c r="O1" t="s">
        <v>233</v>
      </c>
      <c r="P1" t="s">
        <v>233</v>
      </c>
      <c r="Q1">
        <v>1</v>
      </c>
      <c r="X1">
        <v>71</v>
      </c>
      <c r="Y1">
        <v>0</v>
      </c>
      <c r="Z1">
        <v>0</v>
      </c>
      <c r="AA1">
        <v>0</v>
      </c>
      <c r="AB1">
        <v>296.13</v>
      </c>
      <c r="AC1">
        <v>0</v>
      </c>
      <c r="AD1">
        <v>1</v>
      </c>
      <c r="AE1">
        <v>1</v>
      </c>
      <c r="AF1" t="s">
        <v>19</v>
      </c>
      <c r="AG1">
        <v>81.649999999999991</v>
      </c>
      <c r="AH1">
        <v>2</v>
      </c>
      <c r="AI1">
        <v>35798354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ROW(Source!A24)</f>
        <v>24</v>
      </c>
      <c r="B2">
        <v>35798355</v>
      </c>
      <c r="C2">
        <v>35798353</v>
      </c>
      <c r="D2">
        <v>29173472</v>
      </c>
      <c r="E2">
        <v>1</v>
      </c>
      <c r="F2">
        <v>1</v>
      </c>
      <c r="G2">
        <v>1</v>
      </c>
      <c r="H2">
        <v>2</v>
      </c>
      <c r="I2" t="s">
        <v>234</v>
      </c>
      <c r="J2" t="s">
        <v>235</v>
      </c>
      <c r="K2" t="s">
        <v>236</v>
      </c>
      <c r="L2">
        <v>1368</v>
      </c>
      <c r="N2">
        <v>1011</v>
      </c>
      <c r="O2" t="s">
        <v>237</v>
      </c>
      <c r="P2" t="s">
        <v>237</v>
      </c>
      <c r="Q2">
        <v>1</v>
      </c>
      <c r="X2">
        <v>1.55</v>
      </c>
      <c r="Y2">
        <v>0</v>
      </c>
      <c r="Z2">
        <v>3</v>
      </c>
      <c r="AA2">
        <v>0</v>
      </c>
      <c r="AB2">
        <v>0</v>
      </c>
      <c r="AC2">
        <v>0</v>
      </c>
      <c r="AD2">
        <v>1</v>
      </c>
      <c r="AE2">
        <v>0</v>
      </c>
      <c r="AF2" t="s">
        <v>18</v>
      </c>
      <c r="AG2">
        <v>1.9375</v>
      </c>
      <c r="AH2">
        <v>2</v>
      </c>
      <c r="AI2">
        <v>35798355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ROW(Source!A24)</f>
        <v>24</v>
      </c>
      <c r="B3">
        <v>35798356</v>
      </c>
      <c r="C3">
        <v>35798353</v>
      </c>
      <c r="D3">
        <v>29174538</v>
      </c>
      <c r="E3">
        <v>1</v>
      </c>
      <c r="F3">
        <v>1</v>
      </c>
      <c r="G3">
        <v>1</v>
      </c>
      <c r="H3">
        <v>2</v>
      </c>
      <c r="I3" t="s">
        <v>238</v>
      </c>
      <c r="J3" t="s">
        <v>239</v>
      </c>
      <c r="K3" t="s">
        <v>240</v>
      </c>
      <c r="L3">
        <v>1368</v>
      </c>
      <c r="N3">
        <v>1011</v>
      </c>
      <c r="O3" t="s">
        <v>237</v>
      </c>
      <c r="P3" t="s">
        <v>237</v>
      </c>
      <c r="Q3">
        <v>1</v>
      </c>
      <c r="X3">
        <v>0.38</v>
      </c>
      <c r="Y3">
        <v>0</v>
      </c>
      <c r="Z3">
        <v>33.590000000000003</v>
      </c>
      <c r="AA3">
        <v>0</v>
      </c>
      <c r="AB3">
        <v>0</v>
      </c>
      <c r="AC3">
        <v>0</v>
      </c>
      <c r="AD3">
        <v>1</v>
      </c>
      <c r="AE3">
        <v>0</v>
      </c>
      <c r="AF3" t="s">
        <v>18</v>
      </c>
      <c r="AG3">
        <v>0.47499999999999998</v>
      </c>
      <c r="AH3">
        <v>2</v>
      </c>
      <c r="AI3">
        <v>35798356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ROW(Source!A24)</f>
        <v>24</v>
      </c>
      <c r="B4">
        <v>35798357</v>
      </c>
      <c r="C4">
        <v>35798353</v>
      </c>
      <c r="D4">
        <v>29174580</v>
      </c>
      <c r="E4">
        <v>1</v>
      </c>
      <c r="F4">
        <v>1</v>
      </c>
      <c r="G4">
        <v>1</v>
      </c>
      <c r="H4">
        <v>2</v>
      </c>
      <c r="I4" t="s">
        <v>241</v>
      </c>
      <c r="J4" t="s">
        <v>242</v>
      </c>
      <c r="K4" t="s">
        <v>243</v>
      </c>
      <c r="L4">
        <v>1368</v>
      </c>
      <c r="N4">
        <v>1011</v>
      </c>
      <c r="O4" t="s">
        <v>237</v>
      </c>
      <c r="P4" t="s">
        <v>237</v>
      </c>
      <c r="Q4">
        <v>1</v>
      </c>
      <c r="X4">
        <v>0.51</v>
      </c>
      <c r="Y4">
        <v>0</v>
      </c>
      <c r="Z4">
        <v>2.08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18</v>
      </c>
      <c r="AG4">
        <v>0.63749999999999996</v>
      </c>
      <c r="AH4">
        <v>2</v>
      </c>
      <c r="AI4">
        <v>35798357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ROW(Source!A24)</f>
        <v>24</v>
      </c>
      <c r="B5">
        <v>35798358</v>
      </c>
      <c r="C5">
        <v>35798353</v>
      </c>
      <c r="D5">
        <v>29108656</v>
      </c>
      <c r="E5">
        <v>1</v>
      </c>
      <c r="F5">
        <v>1</v>
      </c>
      <c r="G5">
        <v>1</v>
      </c>
      <c r="H5">
        <v>3</v>
      </c>
      <c r="I5" t="s">
        <v>244</v>
      </c>
      <c r="J5" t="s">
        <v>245</v>
      </c>
      <c r="K5" t="s">
        <v>246</v>
      </c>
      <c r="L5">
        <v>1354</v>
      </c>
      <c r="N5">
        <v>1010</v>
      </c>
      <c r="O5" t="s">
        <v>80</v>
      </c>
      <c r="P5" t="s">
        <v>80</v>
      </c>
      <c r="Q5">
        <v>1</v>
      </c>
      <c r="X5">
        <v>7</v>
      </c>
      <c r="Y5">
        <v>13.87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7</v>
      </c>
      <c r="AH5">
        <v>2</v>
      </c>
      <c r="AI5">
        <v>35798358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ROW(Source!A24)</f>
        <v>24</v>
      </c>
      <c r="B6">
        <v>35798359</v>
      </c>
      <c r="C6">
        <v>35798353</v>
      </c>
      <c r="D6">
        <v>29109354</v>
      </c>
      <c r="E6">
        <v>1</v>
      </c>
      <c r="F6">
        <v>1</v>
      </c>
      <c r="G6">
        <v>1</v>
      </c>
      <c r="H6">
        <v>3</v>
      </c>
      <c r="I6" t="s">
        <v>247</v>
      </c>
      <c r="J6" t="s">
        <v>248</v>
      </c>
      <c r="K6" t="s">
        <v>249</v>
      </c>
      <c r="L6">
        <v>1346</v>
      </c>
      <c r="N6">
        <v>1009</v>
      </c>
      <c r="O6" t="s">
        <v>41</v>
      </c>
      <c r="P6" t="s">
        <v>41</v>
      </c>
      <c r="Q6">
        <v>1</v>
      </c>
      <c r="X6">
        <v>10</v>
      </c>
      <c r="Y6">
        <v>46.72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10</v>
      </c>
      <c r="AH6">
        <v>2</v>
      </c>
      <c r="AI6">
        <v>35798359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ROW(Source!A24)</f>
        <v>24</v>
      </c>
      <c r="B7">
        <v>35798360</v>
      </c>
      <c r="C7">
        <v>35798353</v>
      </c>
      <c r="D7">
        <v>29109414</v>
      </c>
      <c r="E7">
        <v>1</v>
      </c>
      <c r="F7">
        <v>1</v>
      </c>
      <c r="G7">
        <v>1</v>
      </c>
      <c r="H7">
        <v>3</v>
      </c>
      <c r="I7" t="s">
        <v>250</v>
      </c>
      <c r="J7" t="s">
        <v>251</v>
      </c>
      <c r="K7" t="s">
        <v>252</v>
      </c>
      <c r="L7">
        <v>1346</v>
      </c>
      <c r="N7">
        <v>1009</v>
      </c>
      <c r="O7" t="s">
        <v>41</v>
      </c>
      <c r="P7" t="s">
        <v>41</v>
      </c>
      <c r="Q7">
        <v>1</v>
      </c>
      <c r="X7">
        <v>60</v>
      </c>
      <c r="Y7">
        <v>1.58</v>
      </c>
      <c r="Z7">
        <v>0</v>
      </c>
      <c r="AA7">
        <v>0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60</v>
      </c>
      <c r="AH7">
        <v>2</v>
      </c>
      <c r="AI7">
        <v>35798360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ROW(Source!A24)</f>
        <v>24</v>
      </c>
      <c r="B8">
        <v>35798361</v>
      </c>
      <c r="C8">
        <v>35798353</v>
      </c>
      <c r="D8">
        <v>29109781</v>
      </c>
      <c r="E8">
        <v>1</v>
      </c>
      <c r="F8">
        <v>1</v>
      </c>
      <c r="G8">
        <v>1</v>
      </c>
      <c r="H8">
        <v>3</v>
      </c>
      <c r="I8" t="s">
        <v>253</v>
      </c>
      <c r="J8" t="s">
        <v>254</v>
      </c>
      <c r="K8" t="s">
        <v>255</v>
      </c>
      <c r="L8">
        <v>1346</v>
      </c>
      <c r="N8">
        <v>1009</v>
      </c>
      <c r="O8" t="s">
        <v>41</v>
      </c>
      <c r="P8" t="s">
        <v>41</v>
      </c>
      <c r="Q8">
        <v>1</v>
      </c>
      <c r="X8">
        <v>4</v>
      </c>
      <c r="Y8">
        <v>11.12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4</v>
      </c>
      <c r="AH8">
        <v>2</v>
      </c>
      <c r="AI8">
        <v>35798361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ROW(Source!A24)</f>
        <v>24</v>
      </c>
      <c r="B9">
        <v>35798362</v>
      </c>
      <c r="C9">
        <v>35798353</v>
      </c>
      <c r="D9">
        <v>29109782</v>
      </c>
      <c r="E9">
        <v>1</v>
      </c>
      <c r="F9">
        <v>1</v>
      </c>
      <c r="G9">
        <v>1</v>
      </c>
      <c r="H9">
        <v>3</v>
      </c>
      <c r="I9" t="s">
        <v>256</v>
      </c>
      <c r="J9" t="s">
        <v>257</v>
      </c>
      <c r="K9" t="s">
        <v>258</v>
      </c>
      <c r="L9">
        <v>1346</v>
      </c>
      <c r="N9">
        <v>1009</v>
      </c>
      <c r="O9" t="s">
        <v>41</v>
      </c>
      <c r="P9" t="s">
        <v>41</v>
      </c>
      <c r="Q9">
        <v>1</v>
      </c>
      <c r="X9">
        <v>37</v>
      </c>
      <c r="Y9">
        <v>4.3600000000000003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37</v>
      </c>
      <c r="AH9">
        <v>2</v>
      </c>
      <c r="AI9">
        <v>35798362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ROW(Source!A24)</f>
        <v>24</v>
      </c>
      <c r="B10">
        <v>35798363</v>
      </c>
      <c r="C10">
        <v>35798353</v>
      </c>
      <c r="D10">
        <v>29110699</v>
      </c>
      <c r="E10">
        <v>1</v>
      </c>
      <c r="F10">
        <v>1</v>
      </c>
      <c r="G10">
        <v>1</v>
      </c>
      <c r="H10">
        <v>3</v>
      </c>
      <c r="I10" t="s">
        <v>259</v>
      </c>
      <c r="J10" t="s">
        <v>260</v>
      </c>
      <c r="K10" t="s">
        <v>261</v>
      </c>
      <c r="L10">
        <v>1301</v>
      </c>
      <c r="N10">
        <v>1003</v>
      </c>
      <c r="O10" t="s">
        <v>262</v>
      </c>
      <c r="P10" t="s">
        <v>262</v>
      </c>
      <c r="Q10">
        <v>1</v>
      </c>
      <c r="X10">
        <v>83</v>
      </c>
      <c r="Y10">
        <v>0.17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83</v>
      </c>
      <c r="AH10">
        <v>2</v>
      </c>
      <c r="AI10">
        <v>35798363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ROW(Source!A24)</f>
        <v>24</v>
      </c>
      <c r="B11">
        <v>35798364</v>
      </c>
      <c r="C11">
        <v>35798353</v>
      </c>
      <c r="D11">
        <v>29110797</v>
      </c>
      <c r="E11">
        <v>1</v>
      </c>
      <c r="F11">
        <v>1</v>
      </c>
      <c r="G11">
        <v>1</v>
      </c>
      <c r="H11">
        <v>3</v>
      </c>
      <c r="I11" t="s">
        <v>263</v>
      </c>
      <c r="J11" t="s">
        <v>264</v>
      </c>
      <c r="K11" t="s">
        <v>265</v>
      </c>
      <c r="L11">
        <v>1301</v>
      </c>
      <c r="N11">
        <v>1003</v>
      </c>
      <c r="O11" t="s">
        <v>262</v>
      </c>
      <c r="P11" t="s">
        <v>262</v>
      </c>
      <c r="Q11">
        <v>1</v>
      </c>
      <c r="X11">
        <v>82</v>
      </c>
      <c r="Y11">
        <v>1.74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82</v>
      </c>
      <c r="AH11">
        <v>2</v>
      </c>
      <c r="AI11">
        <v>35798364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ROW(Source!A24)</f>
        <v>24</v>
      </c>
      <c r="B12">
        <v>35798365</v>
      </c>
      <c r="C12">
        <v>35798353</v>
      </c>
      <c r="D12">
        <v>29110815</v>
      </c>
      <c r="E12">
        <v>1</v>
      </c>
      <c r="F12">
        <v>1</v>
      </c>
      <c r="G12">
        <v>1</v>
      </c>
      <c r="H12">
        <v>3</v>
      </c>
      <c r="I12" t="s">
        <v>266</v>
      </c>
      <c r="J12" t="s">
        <v>267</v>
      </c>
      <c r="K12" t="s">
        <v>268</v>
      </c>
      <c r="L12">
        <v>1301</v>
      </c>
      <c r="N12">
        <v>1003</v>
      </c>
      <c r="O12" t="s">
        <v>262</v>
      </c>
      <c r="P12" t="s">
        <v>262</v>
      </c>
      <c r="Q12">
        <v>1</v>
      </c>
      <c r="X12">
        <v>116</v>
      </c>
      <c r="Y12">
        <v>0.85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116</v>
      </c>
      <c r="AH12">
        <v>2</v>
      </c>
      <c r="AI12">
        <v>35798365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ROW(Source!A24)</f>
        <v>24</v>
      </c>
      <c r="B13">
        <v>35798366</v>
      </c>
      <c r="C13">
        <v>35798353</v>
      </c>
      <c r="D13">
        <v>29111455</v>
      </c>
      <c r="E13">
        <v>1</v>
      </c>
      <c r="F13">
        <v>1</v>
      </c>
      <c r="G13">
        <v>1</v>
      </c>
      <c r="H13">
        <v>3</v>
      </c>
      <c r="I13" t="s">
        <v>269</v>
      </c>
      <c r="J13" t="s">
        <v>270</v>
      </c>
      <c r="K13" t="s">
        <v>271</v>
      </c>
      <c r="L13">
        <v>1327</v>
      </c>
      <c r="N13">
        <v>1005</v>
      </c>
      <c r="O13" t="s">
        <v>36</v>
      </c>
      <c r="P13" t="s">
        <v>36</v>
      </c>
      <c r="Q13">
        <v>1</v>
      </c>
      <c r="X13">
        <v>107</v>
      </c>
      <c r="Y13">
        <v>15.06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107</v>
      </c>
      <c r="AH13">
        <v>2</v>
      </c>
      <c r="AI13">
        <v>35798366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ROW(Source!A24)</f>
        <v>24</v>
      </c>
      <c r="B14">
        <v>35798367</v>
      </c>
      <c r="C14">
        <v>35798353</v>
      </c>
      <c r="D14">
        <v>29114733</v>
      </c>
      <c r="E14">
        <v>1</v>
      </c>
      <c r="F14">
        <v>1</v>
      </c>
      <c r="G14">
        <v>1</v>
      </c>
      <c r="H14">
        <v>3</v>
      </c>
      <c r="I14" t="s">
        <v>272</v>
      </c>
      <c r="J14" t="s">
        <v>273</v>
      </c>
      <c r="K14" t="s">
        <v>274</v>
      </c>
      <c r="L14">
        <v>1354</v>
      </c>
      <c r="N14">
        <v>1010</v>
      </c>
      <c r="O14" t="s">
        <v>80</v>
      </c>
      <c r="P14" t="s">
        <v>80</v>
      </c>
      <c r="Q14">
        <v>1</v>
      </c>
      <c r="X14">
        <v>1855</v>
      </c>
      <c r="Y14">
        <v>0.02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1855</v>
      </c>
      <c r="AH14">
        <v>2</v>
      </c>
      <c r="AI14">
        <v>35798367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ROW(Source!A24)</f>
        <v>24</v>
      </c>
      <c r="B15">
        <v>35798368</v>
      </c>
      <c r="C15">
        <v>35798353</v>
      </c>
      <c r="D15">
        <v>29114482</v>
      </c>
      <c r="E15">
        <v>1</v>
      </c>
      <c r="F15">
        <v>1</v>
      </c>
      <c r="G15">
        <v>1</v>
      </c>
      <c r="H15">
        <v>3</v>
      </c>
      <c r="I15" t="s">
        <v>275</v>
      </c>
      <c r="J15" t="s">
        <v>276</v>
      </c>
      <c r="K15" t="s">
        <v>277</v>
      </c>
      <c r="L15">
        <v>1354</v>
      </c>
      <c r="N15">
        <v>1010</v>
      </c>
      <c r="O15" t="s">
        <v>80</v>
      </c>
      <c r="P15" t="s">
        <v>80</v>
      </c>
      <c r="Q15">
        <v>1</v>
      </c>
      <c r="X15">
        <v>153</v>
      </c>
      <c r="Y15">
        <v>7.0000000000000007E-2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3</v>
      </c>
      <c r="AG15">
        <v>153</v>
      </c>
      <c r="AH15">
        <v>2</v>
      </c>
      <c r="AI15">
        <v>35798368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ROW(Source!A24)</f>
        <v>24</v>
      </c>
      <c r="B16">
        <v>35798369</v>
      </c>
      <c r="C16">
        <v>35798353</v>
      </c>
      <c r="D16">
        <v>29129584</v>
      </c>
      <c r="E16">
        <v>1</v>
      </c>
      <c r="F16">
        <v>1</v>
      </c>
      <c r="G16">
        <v>1</v>
      </c>
      <c r="H16">
        <v>3</v>
      </c>
      <c r="I16" t="s">
        <v>278</v>
      </c>
      <c r="J16" t="s">
        <v>279</v>
      </c>
      <c r="K16" t="s">
        <v>280</v>
      </c>
      <c r="L16">
        <v>1301</v>
      </c>
      <c r="N16">
        <v>1003</v>
      </c>
      <c r="O16" t="s">
        <v>262</v>
      </c>
      <c r="P16" t="s">
        <v>262</v>
      </c>
      <c r="Q16">
        <v>1</v>
      </c>
      <c r="X16">
        <v>121</v>
      </c>
      <c r="Y16">
        <v>7.22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121</v>
      </c>
      <c r="AH16">
        <v>2</v>
      </c>
      <c r="AI16">
        <v>35798369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ROW(Source!A24)</f>
        <v>24</v>
      </c>
      <c r="B17">
        <v>35798370</v>
      </c>
      <c r="C17">
        <v>35798353</v>
      </c>
      <c r="D17">
        <v>29129619</v>
      </c>
      <c r="E17">
        <v>1</v>
      </c>
      <c r="F17">
        <v>1</v>
      </c>
      <c r="G17">
        <v>1</v>
      </c>
      <c r="H17">
        <v>3</v>
      </c>
      <c r="I17" t="s">
        <v>281</v>
      </c>
      <c r="J17" t="s">
        <v>282</v>
      </c>
      <c r="K17" t="s">
        <v>283</v>
      </c>
      <c r="L17">
        <v>1301</v>
      </c>
      <c r="N17">
        <v>1003</v>
      </c>
      <c r="O17" t="s">
        <v>262</v>
      </c>
      <c r="P17" t="s">
        <v>262</v>
      </c>
      <c r="Q17">
        <v>1</v>
      </c>
      <c r="X17">
        <v>225</v>
      </c>
      <c r="Y17">
        <v>8.44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225</v>
      </c>
      <c r="AH17">
        <v>2</v>
      </c>
      <c r="AI17">
        <v>35798370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ROW(Source!A24)</f>
        <v>24</v>
      </c>
      <c r="B18">
        <v>35798371</v>
      </c>
      <c r="C18">
        <v>35798353</v>
      </c>
      <c r="D18">
        <v>29129634</v>
      </c>
      <c r="E18">
        <v>1</v>
      </c>
      <c r="F18">
        <v>1</v>
      </c>
      <c r="G18">
        <v>1</v>
      </c>
      <c r="H18">
        <v>3</v>
      </c>
      <c r="I18" t="s">
        <v>284</v>
      </c>
      <c r="J18" t="s">
        <v>285</v>
      </c>
      <c r="K18" t="s">
        <v>286</v>
      </c>
      <c r="L18">
        <v>1301</v>
      </c>
      <c r="N18">
        <v>1003</v>
      </c>
      <c r="O18" t="s">
        <v>262</v>
      </c>
      <c r="P18" t="s">
        <v>262</v>
      </c>
      <c r="Q18">
        <v>1</v>
      </c>
      <c r="X18">
        <v>46</v>
      </c>
      <c r="Y18">
        <v>3.32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46</v>
      </c>
      <c r="AH18">
        <v>2</v>
      </c>
      <c r="AI18">
        <v>35798371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ROW(Source!A25)</f>
        <v>25</v>
      </c>
      <c r="B19">
        <v>35798373</v>
      </c>
      <c r="C19">
        <v>35798372</v>
      </c>
      <c r="D19">
        <v>18406785</v>
      </c>
      <c r="E19">
        <v>1</v>
      </c>
      <c r="F19">
        <v>1</v>
      </c>
      <c r="G19">
        <v>1</v>
      </c>
      <c r="H19">
        <v>1</v>
      </c>
      <c r="I19" t="s">
        <v>287</v>
      </c>
      <c r="J19" t="s">
        <v>3</v>
      </c>
      <c r="K19" t="s">
        <v>288</v>
      </c>
      <c r="L19">
        <v>1369</v>
      </c>
      <c r="N19">
        <v>1013</v>
      </c>
      <c r="O19" t="s">
        <v>233</v>
      </c>
      <c r="P19" t="s">
        <v>233</v>
      </c>
      <c r="Q19">
        <v>1</v>
      </c>
      <c r="X19">
        <v>27.64</v>
      </c>
      <c r="Y19">
        <v>0</v>
      </c>
      <c r="Z19">
        <v>0</v>
      </c>
      <c r="AA19">
        <v>0</v>
      </c>
      <c r="AB19">
        <v>289.27999999999997</v>
      </c>
      <c r="AC19">
        <v>0</v>
      </c>
      <c r="AD19">
        <v>1</v>
      </c>
      <c r="AE19">
        <v>1</v>
      </c>
      <c r="AF19" t="s">
        <v>19</v>
      </c>
      <c r="AG19">
        <v>31.785999999999998</v>
      </c>
      <c r="AH19">
        <v>2</v>
      </c>
      <c r="AI19">
        <v>35798373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ROW(Source!A25)</f>
        <v>25</v>
      </c>
      <c r="B20">
        <v>35798374</v>
      </c>
      <c r="C20">
        <v>35798372</v>
      </c>
      <c r="D20">
        <v>121548</v>
      </c>
      <c r="E20">
        <v>1</v>
      </c>
      <c r="F20">
        <v>1</v>
      </c>
      <c r="G20">
        <v>1</v>
      </c>
      <c r="H20">
        <v>1</v>
      </c>
      <c r="I20" t="s">
        <v>69</v>
      </c>
      <c r="J20" t="s">
        <v>3</v>
      </c>
      <c r="K20" t="s">
        <v>289</v>
      </c>
      <c r="L20">
        <v>608254</v>
      </c>
      <c r="N20">
        <v>1013</v>
      </c>
      <c r="O20" t="s">
        <v>290</v>
      </c>
      <c r="P20" t="s">
        <v>290</v>
      </c>
      <c r="Q20">
        <v>1</v>
      </c>
      <c r="X20">
        <v>0.01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2</v>
      </c>
      <c r="AF20" t="s">
        <v>18</v>
      </c>
      <c r="AG20">
        <v>1.2500000000000001E-2</v>
      </c>
      <c r="AH20">
        <v>2</v>
      </c>
      <c r="AI20">
        <v>35798374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ROW(Source!A25)</f>
        <v>25</v>
      </c>
      <c r="B21">
        <v>35798375</v>
      </c>
      <c r="C21">
        <v>35798372</v>
      </c>
      <c r="D21">
        <v>29172556</v>
      </c>
      <c r="E21">
        <v>1</v>
      </c>
      <c r="F21">
        <v>1</v>
      </c>
      <c r="G21">
        <v>1</v>
      </c>
      <c r="H21">
        <v>2</v>
      </c>
      <c r="I21" t="s">
        <v>291</v>
      </c>
      <c r="J21" t="s">
        <v>292</v>
      </c>
      <c r="K21" t="s">
        <v>293</v>
      </c>
      <c r="L21">
        <v>1368</v>
      </c>
      <c r="N21">
        <v>1011</v>
      </c>
      <c r="O21" t="s">
        <v>237</v>
      </c>
      <c r="P21" t="s">
        <v>237</v>
      </c>
      <c r="Q21">
        <v>1</v>
      </c>
      <c r="X21">
        <v>0.01</v>
      </c>
      <c r="Y21">
        <v>0</v>
      </c>
      <c r="Z21">
        <v>31.26</v>
      </c>
      <c r="AA21">
        <v>13.5</v>
      </c>
      <c r="AB21">
        <v>0</v>
      </c>
      <c r="AC21">
        <v>0</v>
      </c>
      <c r="AD21">
        <v>1</v>
      </c>
      <c r="AE21">
        <v>0</v>
      </c>
      <c r="AF21" t="s">
        <v>18</v>
      </c>
      <c r="AG21">
        <v>1.2500000000000001E-2</v>
      </c>
      <c r="AH21">
        <v>2</v>
      </c>
      <c r="AI21">
        <v>35798375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ROW(Source!A25)</f>
        <v>25</v>
      </c>
      <c r="B22">
        <v>35798376</v>
      </c>
      <c r="C22">
        <v>35798372</v>
      </c>
      <c r="D22">
        <v>29174913</v>
      </c>
      <c r="E22">
        <v>1</v>
      </c>
      <c r="F22">
        <v>1</v>
      </c>
      <c r="G22">
        <v>1</v>
      </c>
      <c r="H22">
        <v>2</v>
      </c>
      <c r="I22" t="s">
        <v>294</v>
      </c>
      <c r="J22" t="s">
        <v>295</v>
      </c>
      <c r="K22" t="s">
        <v>296</v>
      </c>
      <c r="L22">
        <v>1368</v>
      </c>
      <c r="N22">
        <v>1011</v>
      </c>
      <c r="O22" t="s">
        <v>237</v>
      </c>
      <c r="P22" t="s">
        <v>237</v>
      </c>
      <c r="Q22">
        <v>1</v>
      </c>
      <c r="X22">
        <v>0.01</v>
      </c>
      <c r="Y22">
        <v>0</v>
      </c>
      <c r="Z22">
        <v>87.17</v>
      </c>
      <c r="AA22">
        <v>11.6</v>
      </c>
      <c r="AB22">
        <v>0</v>
      </c>
      <c r="AC22">
        <v>0</v>
      </c>
      <c r="AD22">
        <v>1</v>
      </c>
      <c r="AE22">
        <v>0</v>
      </c>
      <c r="AF22" t="s">
        <v>18</v>
      </c>
      <c r="AG22">
        <v>1.2500000000000001E-2</v>
      </c>
      <c r="AH22">
        <v>2</v>
      </c>
      <c r="AI22">
        <v>35798376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ROW(Source!A25)</f>
        <v>25</v>
      </c>
      <c r="B23">
        <v>35798377</v>
      </c>
      <c r="C23">
        <v>35798372</v>
      </c>
      <c r="D23">
        <v>29107800</v>
      </c>
      <c r="E23">
        <v>1</v>
      </c>
      <c r="F23">
        <v>1</v>
      </c>
      <c r="G23">
        <v>1</v>
      </c>
      <c r="H23">
        <v>3</v>
      </c>
      <c r="I23" t="s">
        <v>297</v>
      </c>
      <c r="J23" t="s">
        <v>298</v>
      </c>
      <c r="K23" t="s">
        <v>299</v>
      </c>
      <c r="L23">
        <v>1346</v>
      </c>
      <c r="N23">
        <v>1009</v>
      </c>
      <c r="O23" t="s">
        <v>41</v>
      </c>
      <c r="P23" t="s">
        <v>41</v>
      </c>
      <c r="Q23">
        <v>1</v>
      </c>
      <c r="X23">
        <v>0.01</v>
      </c>
      <c r="Y23">
        <v>1.81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0.01</v>
      </c>
      <c r="AH23">
        <v>2</v>
      </c>
      <c r="AI23">
        <v>35798377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ROW(Source!A25)</f>
        <v>25</v>
      </c>
      <c r="B24">
        <v>35798378</v>
      </c>
      <c r="C24">
        <v>35798372</v>
      </c>
      <c r="D24">
        <v>29109390</v>
      </c>
      <c r="E24">
        <v>1</v>
      </c>
      <c r="F24">
        <v>1</v>
      </c>
      <c r="G24">
        <v>1</v>
      </c>
      <c r="H24">
        <v>3</v>
      </c>
      <c r="I24" t="s">
        <v>49</v>
      </c>
      <c r="J24" t="s">
        <v>52</v>
      </c>
      <c r="K24" t="s">
        <v>50</v>
      </c>
      <c r="L24">
        <v>1348</v>
      </c>
      <c r="N24">
        <v>1009</v>
      </c>
      <c r="O24" t="s">
        <v>51</v>
      </c>
      <c r="P24" t="s">
        <v>51</v>
      </c>
      <c r="Q24">
        <v>1000</v>
      </c>
      <c r="X24">
        <v>1.5E-3</v>
      </c>
      <c r="Y24">
        <v>25990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1.5E-3</v>
      </c>
      <c r="AH24">
        <v>2</v>
      </c>
      <c r="AI24">
        <v>35798378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ROW(Source!A25)</f>
        <v>25</v>
      </c>
      <c r="B25">
        <v>35798379</v>
      </c>
      <c r="C25">
        <v>35798372</v>
      </c>
      <c r="D25">
        <v>29107769</v>
      </c>
      <c r="E25">
        <v>1</v>
      </c>
      <c r="F25">
        <v>1</v>
      </c>
      <c r="G25">
        <v>1</v>
      </c>
      <c r="H25">
        <v>3</v>
      </c>
      <c r="I25" t="s">
        <v>300</v>
      </c>
      <c r="J25" t="s">
        <v>301</v>
      </c>
      <c r="K25" t="s">
        <v>302</v>
      </c>
      <c r="L25">
        <v>1348</v>
      </c>
      <c r="N25">
        <v>1009</v>
      </c>
      <c r="O25" t="s">
        <v>51</v>
      </c>
      <c r="P25" t="s">
        <v>51</v>
      </c>
      <c r="Q25">
        <v>1000</v>
      </c>
      <c r="X25">
        <v>8.4999999999999995E-4</v>
      </c>
      <c r="Y25">
        <v>5649.99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8.4999999999999995E-4</v>
      </c>
      <c r="AH25">
        <v>2</v>
      </c>
      <c r="AI25">
        <v>35798379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ROW(Source!A25)</f>
        <v>25</v>
      </c>
      <c r="B26">
        <v>35798380</v>
      </c>
      <c r="C26">
        <v>35798372</v>
      </c>
      <c r="D26">
        <v>29109600</v>
      </c>
      <c r="E26">
        <v>1</v>
      </c>
      <c r="F26">
        <v>1</v>
      </c>
      <c r="G26">
        <v>1</v>
      </c>
      <c r="H26">
        <v>3</v>
      </c>
      <c r="I26" t="s">
        <v>44</v>
      </c>
      <c r="J26" t="s">
        <v>47</v>
      </c>
      <c r="K26" t="s">
        <v>45</v>
      </c>
      <c r="L26">
        <v>1328</v>
      </c>
      <c r="N26">
        <v>1005</v>
      </c>
      <c r="O26" t="s">
        <v>46</v>
      </c>
      <c r="P26" t="s">
        <v>46</v>
      </c>
      <c r="Q26">
        <v>100</v>
      </c>
      <c r="X26">
        <v>1.1299999999999999</v>
      </c>
      <c r="Y26">
        <v>458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1.1299999999999999</v>
      </c>
      <c r="AH26">
        <v>2</v>
      </c>
      <c r="AI26">
        <v>35798380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ROW(Source!A25)</f>
        <v>25</v>
      </c>
      <c r="B27">
        <v>35798381</v>
      </c>
      <c r="C27">
        <v>35798372</v>
      </c>
      <c r="D27">
        <v>29149868</v>
      </c>
      <c r="E27">
        <v>1</v>
      </c>
      <c r="F27">
        <v>1</v>
      </c>
      <c r="G27">
        <v>1</v>
      </c>
      <c r="H27">
        <v>3</v>
      </c>
      <c r="I27" t="s">
        <v>303</v>
      </c>
      <c r="J27" t="s">
        <v>304</v>
      </c>
      <c r="K27" t="s">
        <v>305</v>
      </c>
      <c r="L27">
        <v>1339</v>
      </c>
      <c r="N27">
        <v>1007</v>
      </c>
      <c r="O27" t="s">
        <v>306</v>
      </c>
      <c r="P27" t="s">
        <v>306</v>
      </c>
      <c r="Q27">
        <v>1</v>
      </c>
      <c r="X27">
        <v>4.0000000000000002E-4</v>
      </c>
      <c r="Y27">
        <v>74.59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4.0000000000000002E-4</v>
      </c>
      <c r="AH27">
        <v>2</v>
      </c>
      <c r="AI27">
        <v>35798381</v>
      </c>
      <c r="AJ27">
        <v>29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ROW(Source!A25)</f>
        <v>25</v>
      </c>
      <c r="B28">
        <v>35798382</v>
      </c>
      <c r="C28">
        <v>35798372</v>
      </c>
      <c r="D28">
        <v>29150040</v>
      </c>
      <c r="E28">
        <v>1</v>
      </c>
      <c r="F28">
        <v>1</v>
      </c>
      <c r="G28">
        <v>1</v>
      </c>
      <c r="H28">
        <v>3</v>
      </c>
      <c r="I28" t="s">
        <v>307</v>
      </c>
      <c r="J28" t="s">
        <v>308</v>
      </c>
      <c r="K28" t="s">
        <v>309</v>
      </c>
      <c r="L28">
        <v>1339</v>
      </c>
      <c r="N28">
        <v>1007</v>
      </c>
      <c r="O28" t="s">
        <v>306</v>
      </c>
      <c r="P28" t="s">
        <v>306</v>
      </c>
      <c r="Q28">
        <v>1</v>
      </c>
      <c r="X28">
        <v>0.01</v>
      </c>
      <c r="Y28">
        <v>2.44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0.01</v>
      </c>
      <c r="AH28">
        <v>2</v>
      </c>
      <c r="AI28">
        <v>35798382</v>
      </c>
      <c r="AJ28">
        <v>30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ROW(Source!A30)</f>
        <v>30</v>
      </c>
      <c r="B29">
        <v>36144407</v>
      </c>
      <c r="C29">
        <v>36144406</v>
      </c>
      <c r="D29">
        <v>18411117</v>
      </c>
      <c r="E29">
        <v>1</v>
      </c>
      <c r="F29">
        <v>1</v>
      </c>
      <c r="G29">
        <v>1</v>
      </c>
      <c r="H29">
        <v>1</v>
      </c>
      <c r="I29" t="s">
        <v>310</v>
      </c>
      <c r="J29" t="s">
        <v>3</v>
      </c>
      <c r="K29" t="s">
        <v>311</v>
      </c>
      <c r="L29">
        <v>1369</v>
      </c>
      <c r="N29">
        <v>1013</v>
      </c>
      <c r="O29" t="s">
        <v>233</v>
      </c>
      <c r="P29" t="s">
        <v>233</v>
      </c>
      <c r="Q29">
        <v>1</v>
      </c>
      <c r="X29">
        <v>8.3800000000000008</v>
      </c>
      <c r="Y29">
        <v>0</v>
      </c>
      <c r="Z29">
        <v>0</v>
      </c>
      <c r="AA29">
        <v>0</v>
      </c>
      <c r="AB29">
        <v>314.08999999999997</v>
      </c>
      <c r="AC29">
        <v>0</v>
      </c>
      <c r="AD29">
        <v>1</v>
      </c>
      <c r="AE29">
        <v>1</v>
      </c>
      <c r="AF29" t="s">
        <v>3</v>
      </c>
      <c r="AG29">
        <v>8.3800000000000008</v>
      </c>
      <c r="AH29">
        <v>2</v>
      </c>
      <c r="AI29">
        <v>36144407</v>
      </c>
      <c r="AJ29">
        <v>31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ROW(Source!A30)</f>
        <v>30</v>
      </c>
      <c r="B30">
        <v>36144408</v>
      </c>
      <c r="C30">
        <v>36144406</v>
      </c>
      <c r="D30">
        <v>29110424</v>
      </c>
      <c r="E30">
        <v>1</v>
      </c>
      <c r="F30">
        <v>1</v>
      </c>
      <c r="G30">
        <v>1</v>
      </c>
      <c r="H30">
        <v>3</v>
      </c>
      <c r="I30" t="s">
        <v>332</v>
      </c>
      <c r="J30" t="s">
        <v>333</v>
      </c>
      <c r="K30" t="s">
        <v>334</v>
      </c>
      <c r="L30">
        <v>1348</v>
      </c>
      <c r="N30">
        <v>1009</v>
      </c>
      <c r="O30" t="s">
        <v>51</v>
      </c>
      <c r="P30" t="s">
        <v>51</v>
      </c>
      <c r="Q30">
        <v>1000</v>
      </c>
      <c r="X30">
        <v>1.6E-2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 t="s">
        <v>3</v>
      </c>
      <c r="AG30">
        <v>1.6E-2</v>
      </c>
      <c r="AH30">
        <v>3</v>
      </c>
      <c r="AI30">
        <v>-1</v>
      </c>
      <c r="AJ30" t="s">
        <v>3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ROW(Source!A37)</f>
        <v>37</v>
      </c>
      <c r="B31">
        <v>35798455</v>
      </c>
      <c r="C31">
        <v>35798454</v>
      </c>
      <c r="D31">
        <v>18407546</v>
      </c>
      <c r="E31">
        <v>1</v>
      </c>
      <c r="F31">
        <v>1</v>
      </c>
      <c r="G31">
        <v>1</v>
      </c>
      <c r="H31">
        <v>1</v>
      </c>
      <c r="I31" t="s">
        <v>312</v>
      </c>
      <c r="J31" t="s">
        <v>3</v>
      </c>
      <c r="K31" t="s">
        <v>313</v>
      </c>
      <c r="L31">
        <v>1369</v>
      </c>
      <c r="N31">
        <v>1013</v>
      </c>
      <c r="O31" t="s">
        <v>233</v>
      </c>
      <c r="P31" t="s">
        <v>233</v>
      </c>
      <c r="Q31">
        <v>1</v>
      </c>
      <c r="X31">
        <v>102.46</v>
      </c>
      <c r="Y31">
        <v>0</v>
      </c>
      <c r="Z31">
        <v>0</v>
      </c>
      <c r="AA31">
        <v>0</v>
      </c>
      <c r="AB31">
        <v>306.91000000000003</v>
      </c>
      <c r="AC31">
        <v>0</v>
      </c>
      <c r="AD31">
        <v>1</v>
      </c>
      <c r="AE31">
        <v>1</v>
      </c>
      <c r="AF31" t="s">
        <v>19</v>
      </c>
      <c r="AG31">
        <v>117.82899999999998</v>
      </c>
      <c r="AH31">
        <v>2</v>
      </c>
      <c r="AI31">
        <v>35798455</v>
      </c>
      <c r="AJ31">
        <v>33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ROW(Source!A37)</f>
        <v>37</v>
      </c>
      <c r="B32">
        <v>35798456</v>
      </c>
      <c r="C32">
        <v>35798454</v>
      </c>
      <c r="D32">
        <v>121548</v>
      </c>
      <c r="E32">
        <v>1</v>
      </c>
      <c r="F32">
        <v>1</v>
      </c>
      <c r="G32">
        <v>1</v>
      </c>
      <c r="H32">
        <v>1</v>
      </c>
      <c r="I32" t="s">
        <v>69</v>
      </c>
      <c r="J32" t="s">
        <v>3</v>
      </c>
      <c r="K32" t="s">
        <v>289</v>
      </c>
      <c r="L32">
        <v>608254</v>
      </c>
      <c r="N32">
        <v>1013</v>
      </c>
      <c r="O32" t="s">
        <v>290</v>
      </c>
      <c r="P32" t="s">
        <v>290</v>
      </c>
      <c r="Q32">
        <v>1</v>
      </c>
      <c r="X32">
        <v>0.76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2</v>
      </c>
      <c r="AF32" t="s">
        <v>18</v>
      </c>
      <c r="AG32">
        <v>0.95</v>
      </c>
      <c r="AH32">
        <v>2</v>
      </c>
      <c r="AI32">
        <v>35798456</v>
      </c>
      <c r="AJ32">
        <v>34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ROW(Source!A37)</f>
        <v>37</v>
      </c>
      <c r="B33">
        <v>35798457</v>
      </c>
      <c r="C33">
        <v>35798454</v>
      </c>
      <c r="D33">
        <v>29172556</v>
      </c>
      <c r="E33">
        <v>1</v>
      </c>
      <c r="F33">
        <v>1</v>
      </c>
      <c r="G33">
        <v>1</v>
      </c>
      <c r="H33">
        <v>2</v>
      </c>
      <c r="I33" t="s">
        <v>291</v>
      </c>
      <c r="J33" t="s">
        <v>292</v>
      </c>
      <c r="K33" t="s">
        <v>293</v>
      </c>
      <c r="L33">
        <v>1368</v>
      </c>
      <c r="N33">
        <v>1011</v>
      </c>
      <c r="O33" t="s">
        <v>237</v>
      </c>
      <c r="P33" t="s">
        <v>237</v>
      </c>
      <c r="Q33">
        <v>1</v>
      </c>
      <c r="X33">
        <v>0.76</v>
      </c>
      <c r="Y33">
        <v>0</v>
      </c>
      <c r="Z33">
        <v>31.26</v>
      </c>
      <c r="AA33">
        <v>13.5</v>
      </c>
      <c r="AB33">
        <v>0</v>
      </c>
      <c r="AC33">
        <v>0</v>
      </c>
      <c r="AD33">
        <v>1</v>
      </c>
      <c r="AE33">
        <v>0</v>
      </c>
      <c r="AF33" t="s">
        <v>18</v>
      </c>
      <c r="AG33">
        <v>0.95</v>
      </c>
      <c r="AH33">
        <v>2</v>
      </c>
      <c r="AI33">
        <v>35798457</v>
      </c>
      <c r="AJ33">
        <v>35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ROW(Source!A37)</f>
        <v>37</v>
      </c>
      <c r="B34">
        <v>35798458</v>
      </c>
      <c r="C34">
        <v>35798454</v>
      </c>
      <c r="D34">
        <v>29174500</v>
      </c>
      <c r="E34">
        <v>1</v>
      </c>
      <c r="F34">
        <v>1</v>
      </c>
      <c r="G34">
        <v>1</v>
      </c>
      <c r="H34">
        <v>2</v>
      </c>
      <c r="I34" t="s">
        <v>314</v>
      </c>
      <c r="J34" t="s">
        <v>315</v>
      </c>
      <c r="K34" t="s">
        <v>316</v>
      </c>
      <c r="L34">
        <v>1368</v>
      </c>
      <c r="N34">
        <v>1011</v>
      </c>
      <c r="O34" t="s">
        <v>237</v>
      </c>
      <c r="P34" t="s">
        <v>237</v>
      </c>
      <c r="Q34">
        <v>1</v>
      </c>
      <c r="X34">
        <v>5.35</v>
      </c>
      <c r="Y34">
        <v>0</v>
      </c>
      <c r="Z34">
        <v>1.95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18</v>
      </c>
      <c r="AG34">
        <v>6.6875</v>
      </c>
      <c r="AH34">
        <v>2</v>
      </c>
      <c r="AI34">
        <v>35798458</v>
      </c>
      <c r="AJ34">
        <v>36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ROW(Source!A37)</f>
        <v>37</v>
      </c>
      <c r="B35">
        <v>35798459</v>
      </c>
      <c r="C35">
        <v>35798454</v>
      </c>
      <c r="D35">
        <v>29174913</v>
      </c>
      <c r="E35">
        <v>1</v>
      </c>
      <c r="F35">
        <v>1</v>
      </c>
      <c r="G35">
        <v>1</v>
      </c>
      <c r="H35">
        <v>2</v>
      </c>
      <c r="I35" t="s">
        <v>294</v>
      </c>
      <c r="J35" t="s">
        <v>295</v>
      </c>
      <c r="K35" t="s">
        <v>296</v>
      </c>
      <c r="L35">
        <v>1368</v>
      </c>
      <c r="N35">
        <v>1011</v>
      </c>
      <c r="O35" t="s">
        <v>237</v>
      </c>
      <c r="P35" t="s">
        <v>237</v>
      </c>
      <c r="Q35">
        <v>1</v>
      </c>
      <c r="X35">
        <v>4.58</v>
      </c>
      <c r="Y35">
        <v>0</v>
      </c>
      <c r="Z35">
        <v>87.17</v>
      </c>
      <c r="AA35">
        <v>11.6</v>
      </c>
      <c r="AB35">
        <v>0</v>
      </c>
      <c r="AC35">
        <v>0</v>
      </c>
      <c r="AD35">
        <v>1</v>
      </c>
      <c r="AE35">
        <v>0</v>
      </c>
      <c r="AF35" t="s">
        <v>18</v>
      </c>
      <c r="AG35">
        <v>5.7249999999999996</v>
      </c>
      <c r="AH35">
        <v>2</v>
      </c>
      <c r="AI35">
        <v>35798459</v>
      </c>
      <c r="AJ35">
        <v>37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ROW(Source!A37)</f>
        <v>37</v>
      </c>
      <c r="B36">
        <v>35798460</v>
      </c>
      <c r="C36">
        <v>35798454</v>
      </c>
      <c r="D36">
        <v>29109671</v>
      </c>
      <c r="E36">
        <v>1</v>
      </c>
      <c r="F36">
        <v>1</v>
      </c>
      <c r="G36">
        <v>1</v>
      </c>
      <c r="H36">
        <v>3</v>
      </c>
      <c r="I36" t="s">
        <v>317</v>
      </c>
      <c r="J36" t="s">
        <v>318</v>
      </c>
      <c r="K36" t="s">
        <v>319</v>
      </c>
      <c r="L36">
        <v>1327</v>
      </c>
      <c r="N36">
        <v>1005</v>
      </c>
      <c r="O36" t="s">
        <v>36</v>
      </c>
      <c r="P36" t="s">
        <v>36</v>
      </c>
      <c r="Q36">
        <v>1</v>
      </c>
      <c r="X36">
        <v>103</v>
      </c>
      <c r="Y36">
        <v>51.95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103</v>
      </c>
      <c r="AH36">
        <v>2</v>
      </c>
      <c r="AI36">
        <v>35798460</v>
      </c>
      <c r="AJ36">
        <v>38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ROW(Source!A38)</f>
        <v>38</v>
      </c>
      <c r="B37">
        <v>36144410</v>
      </c>
      <c r="C37">
        <v>35798461</v>
      </c>
      <c r="D37">
        <v>29364679</v>
      </c>
      <c r="E37">
        <v>1</v>
      </c>
      <c r="F37">
        <v>1</v>
      </c>
      <c r="G37">
        <v>1</v>
      </c>
      <c r="H37">
        <v>1</v>
      </c>
      <c r="I37" t="s">
        <v>320</v>
      </c>
      <c r="J37" t="s">
        <v>3</v>
      </c>
      <c r="K37" t="s">
        <v>321</v>
      </c>
      <c r="L37">
        <v>1369</v>
      </c>
      <c r="N37">
        <v>1013</v>
      </c>
      <c r="O37" t="s">
        <v>233</v>
      </c>
      <c r="P37" t="s">
        <v>233</v>
      </c>
      <c r="Q37">
        <v>1</v>
      </c>
      <c r="X37">
        <v>94.4</v>
      </c>
      <c r="Y37">
        <v>0</v>
      </c>
      <c r="Z37">
        <v>0</v>
      </c>
      <c r="AA37">
        <v>0</v>
      </c>
      <c r="AB37">
        <v>323.88</v>
      </c>
      <c r="AC37">
        <v>0</v>
      </c>
      <c r="AD37">
        <v>1</v>
      </c>
      <c r="AE37">
        <v>1</v>
      </c>
      <c r="AF37" t="s">
        <v>3</v>
      </c>
      <c r="AG37">
        <v>94.4</v>
      </c>
      <c r="AH37">
        <v>2</v>
      </c>
      <c r="AI37">
        <v>36144410</v>
      </c>
      <c r="AJ37">
        <v>39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ROW(Source!A38)</f>
        <v>38</v>
      </c>
      <c r="B38">
        <v>36144411</v>
      </c>
      <c r="C38">
        <v>35798461</v>
      </c>
      <c r="D38">
        <v>121548</v>
      </c>
      <c r="E38">
        <v>1</v>
      </c>
      <c r="F38">
        <v>1</v>
      </c>
      <c r="G38">
        <v>1</v>
      </c>
      <c r="H38">
        <v>1</v>
      </c>
      <c r="I38" t="s">
        <v>69</v>
      </c>
      <c r="J38" t="s">
        <v>3</v>
      </c>
      <c r="K38" t="s">
        <v>289</v>
      </c>
      <c r="L38">
        <v>608254</v>
      </c>
      <c r="N38">
        <v>1013</v>
      </c>
      <c r="O38" t="s">
        <v>290</v>
      </c>
      <c r="P38" t="s">
        <v>290</v>
      </c>
      <c r="Q38">
        <v>1</v>
      </c>
      <c r="X38">
        <v>0.2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2</v>
      </c>
      <c r="AF38" t="s">
        <v>3</v>
      </c>
      <c r="AG38">
        <v>0.2</v>
      </c>
      <c r="AH38">
        <v>2</v>
      </c>
      <c r="AI38">
        <v>36144411</v>
      </c>
      <c r="AJ38">
        <v>40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ROW(Source!A38)</f>
        <v>38</v>
      </c>
      <c r="B39">
        <v>36144412</v>
      </c>
      <c r="C39">
        <v>35798461</v>
      </c>
      <c r="D39">
        <v>29172362</v>
      </c>
      <c r="E39">
        <v>1</v>
      </c>
      <c r="F39">
        <v>1</v>
      </c>
      <c r="G39">
        <v>1</v>
      </c>
      <c r="H39">
        <v>2</v>
      </c>
      <c r="I39" t="s">
        <v>322</v>
      </c>
      <c r="J39" t="s">
        <v>323</v>
      </c>
      <c r="K39" t="s">
        <v>324</v>
      </c>
      <c r="L39">
        <v>1368</v>
      </c>
      <c r="N39">
        <v>1011</v>
      </c>
      <c r="O39" t="s">
        <v>237</v>
      </c>
      <c r="P39" t="s">
        <v>237</v>
      </c>
      <c r="Q39">
        <v>1</v>
      </c>
      <c r="X39">
        <v>0.2</v>
      </c>
      <c r="Y39">
        <v>0</v>
      </c>
      <c r="Z39">
        <v>134.65</v>
      </c>
      <c r="AA39">
        <v>13.5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0.2</v>
      </c>
      <c r="AH39">
        <v>2</v>
      </c>
      <c r="AI39">
        <v>36144412</v>
      </c>
      <c r="AJ39">
        <v>41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ROW(Source!A38)</f>
        <v>38</v>
      </c>
      <c r="B40">
        <v>36144413</v>
      </c>
      <c r="C40">
        <v>35798461</v>
      </c>
      <c r="D40">
        <v>29174913</v>
      </c>
      <c r="E40">
        <v>1</v>
      </c>
      <c r="F40">
        <v>1</v>
      </c>
      <c r="G40">
        <v>1</v>
      </c>
      <c r="H40">
        <v>2</v>
      </c>
      <c r="I40" t="s">
        <v>294</v>
      </c>
      <c r="J40" t="s">
        <v>295</v>
      </c>
      <c r="K40" t="s">
        <v>296</v>
      </c>
      <c r="L40">
        <v>1368</v>
      </c>
      <c r="N40">
        <v>1011</v>
      </c>
      <c r="O40" t="s">
        <v>237</v>
      </c>
      <c r="P40" t="s">
        <v>237</v>
      </c>
      <c r="Q40">
        <v>1</v>
      </c>
      <c r="X40">
        <v>0.2</v>
      </c>
      <c r="Y40">
        <v>0</v>
      </c>
      <c r="Z40">
        <v>87.17</v>
      </c>
      <c r="AA40">
        <v>11.6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0.2</v>
      </c>
      <c r="AH40">
        <v>2</v>
      </c>
      <c r="AI40">
        <v>36144413</v>
      </c>
      <c r="AJ40">
        <v>42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ROW(Source!A38)</f>
        <v>38</v>
      </c>
      <c r="B41">
        <v>36144414</v>
      </c>
      <c r="C41">
        <v>35798461</v>
      </c>
      <c r="D41">
        <v>29164111</v>
      </c>
      <c r="E41">
        <v>1</v>
      </c>
      <c r="F41">
        <v>1</v>
      </c>
      <c r="G41">
        <v>1</v>
      </c>
      <c r="H41">
        <v>3</v>
      </c>
      <c r="I41" t="s">
        <v>325</v>
      </c>
      <c r="J41" t="s">
        <v>326</v>
      </c>
      <c r="K41" t="s">
        <v>327</v>
      </c>
      <c r="L41">
        <v>1355</v>
      </c>
      <c r="N41">
        <v>1010</v>
      </c>
      <c r="O41" t="s">
        <v>72</v>
      </c>
      <c r="P41" t="s">
        <v>72</v>
      </c>
      <c r="Q41">
        <v>100</v>
      </c>
      <c r="X41">
        <v>1.02</v>
      </c>
      <c r="Y41">
        <v>100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1.02</v>
      </c>
      <c r="AH41">
        <v>2</v>
      </c>
      <c r="AI41">
        <v>36144414</v>
      </c>
      <c r="AJ41">
        <v>43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ROW(Source!A38)</f>
        <v>38</v>
      </c>
      <c r="B42">
        <v>36144415</v>
      </c>
      <c r="C42">
        <v>35798461</v>
      </c>
      <c r="D42">
        <v>29171808</v>
      </c>
      <c r="E42">
        <v>1</v>
      </c>
      <c r="F42">
        <v>1</v>
      </c>
      <c r="G42">
        <v>1</v>
      </c>
      <c r="H42">
        <v>3</v>
      </c>
      <c r="I42" t="s">
        <v>328</v>
      </c>
      <c r="J42" t="s">
        <v>329</v>
      </c>
      <c r="K42" t="s">
        <v>330</v>
      </c>
      <c r="L42">
        <v>1374</v>
      </c>
      <c r="N42">
        <v>1013</v>
      </c>
      <c r="O42" t="s">
        <v>331</v>
      </c>
      <c r="P42" t="s">
        <v>331</v>
      </c>
      <c r="Q42">
        <v>1</v>
      </c>
      <c r="X42">
        <v>18.73</v>
      </c>
      <c r="Y42">
        <v>1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18.73</v>
      </c>
      <c r="AH42">
        <v>2</v>
      </c>
      <c r="AI42">
        <v>36144415</v>
      </c>
      <c r="AJ42">
        <v>45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Смета 12 гр. ТЕР МО</vt:lpstr>
      <vt:lpstr>Дефектная ведомость</vt:lpstr>
      <vt:lpstr>Source</vt:lpstr>
      <vt:lpstr>SourceObSm</vt:lpstr>
      <vt:lpstr>SmtRes</vt:lpstr>
      <vt:lpstr>EtalonRes</vt:lpstr>
      <vt:lpstr>'Дефектная ведомость'!Заголовки_для_печати</vt:lpstr>
      <vt:lpstr>'Смета 12 гр. ТЕР МО'!Заголовки_для_печати</vt:lpstr>
      <vt:lpstr>'Дефектная ведомость'!Область_печати</vt:lpstr>
      <vt:lpstr>'Смета 12 гр. ТЕР МО'!Область_печати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Олеся</cp:lastModifiedBy>
  <cp:lastPrinted>2021-07-12T11:47:45Z</cp:lastPrinted>
  <dcterms:created xsi:type="dcterms:W3CDTF">2021-07-12T11:39:39Z</dcterms:created>
  <dcterms:modified xsi:type="dcterms:W3CDTF">2021-07-12T11:47:59Z</dcterms:modified>
</cp:coreProperties>
</file>