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12 гр. ТЕР МО'!$40:$40</definedName>
    <definedName name="_xlnm.Print_Area" localSheetId="0">'Смета 12 гр. ТЕР МО'!$A$1:$L$120</definedName>
  </definedNames>
  <calcPr calcId="125725"/>
</workbook>
</file>

<file path=xl/calcChain.xml><?xml version="1.0" encoding="utf-8"?>
<calcChain xmlns="http://schemas.openxmlformats.org/spreadsheetml/2006/main">
  <c r="AF106" i="5"/>
  <c r="I118"/>
  <c r="I115"/>
  <c r="I112"/>
  <c r="D118"/>
  <c r="D115"/>
  <c r="D112"/>
  <c r="C109"/>
  <c r="C108"/>
  <c r="A106"/>
  <c r="A102"/>
  <c r="L100"/>
  <c r="Q100" s="1"/>
  <c r="Z100"/>
  <c r="Y100"/>
  <c r="X100"/>
  <c r="K99"/>
  <c r="J100" s="1"/>
  <c r="P100" s="1"/>
  <c r="J99"/>
  <c r="H99"/>
  <c r="G100" s="1"/>
  <c r="O100" s="1"/>
  <c r="G99"/>
  <c r="F99"/>
  <c r="V98"/>
  <c r="T98"/>
  <c r="U98"/>
  <c r="S98"/>
  <c r="F98"/>
  <c r="E98"/>
  <c r="D98"/>
  <c r="I98"/>
  <c r="C98"/>
  <c r="B98"/>
  <c r="A98"/>
  <c r="L97"/>
  <c r="Q97" s="1"/>
  <c r="G97"/>
  <c r="O97" s="1"/>
  <c r="Z97"/>
  <c r="Y97"/>
  <c r="X97"/>
  <c r="K96"/>
  <c r="J97" s="1"/>
  <c r="P97" s="1"/>
  <c r="J96"/>
  <c r="H96"/>
  <c r="W97" s="1"/>
  <c r="G96"/>
  <c r="F96"/>
  <c r="V95"/>
  <c r="T95"/>
  <c r="U95"/>
  <c r="S95"/>
  <c r="F95"/>
  <c r="E95"/>
  <c r="D95"/>
  <c r="I95"/>
  <c r="C95"/>
  <c r="B95"/>
  <c r="A95"/>
  <c r="L94"/>
  <c r="Q94" s="1"/>
  <c r="Z94"/>
  <c r="Y94"/>
  <c r="X94"/>
  <c r="K93"/>
  <c r="J93"/>
  <c r="Z93"/>
  <c r="Y93"/>
  <c r="X93"/>
  <c r="H93"/>
  <c r="W93" s="1"/>
  <c r="F93"/>
  <c r="V93"/>
  <c r="T93"/>
  <c r="U93"/>
  <c r="S93"/>
  <c r="E93"/>
  <c r="D93"/>
  <c r="C93"/>
  <c r="B93"/>
  <c r="A93"/>
  <c r="K92"/>
  <c r="J92"/>
  <c r="Z92"/>
  <c r="Y92"/>
  <c r="X92"/>
  <c r="H92"/>
  <c r="W92" s="1"/>
  <c r="F92"/>
  <c r="V92"/>
  <c r="T92"/>
  <c r="U92"/>
  <c r="S92"/>
  <c r="E92"/>
  <c r="D92"/>
  <c r="C92"/>
  <c r="B92"/>
  <c r="A92"/>
  <c r="L91"/>
  <c r="G91"/>
  <c r="E91"/>
  <c r="J90"/>
  <c r="F90"/>
  <c r="E90"/>
  <c r="J89"/>
  <c r="F89"/>
  <c r="E89"/>
  <c r="K88"/>
  <c r="J88"/>
  <c r="H88"/>
  <c r="G88"/>
  <c r="F88"/>
  <c r="K87"/>
  <c r="J87"/>
  <c r="H87"/>
  <c r="R87" s="1"/>
  <c r="G87"/>
  <c r="F87"/>
  <c r="K86"/>
  <c r="J86"/>
  <c r="H86"/>
  <c r="G86"/>
  <c r="F86"/>
  <c r="K85"/>
  <c r="J85"/>
  <c r="H85"/>
  <c r="G85"/>
  <c r="F85"/>
  <c r="C84"/>
  <c r="V83"/>
  <c r="K90" s="1"/>
  <c r="T83"/>
  <c r="K89" s="1"/>
  <c r="U83"/>
  <c r="S83"/>
  <c r="H89" s="1"/>
  <c r="F83"/>
  <c r="E83"/>
  <c r="D83"/>
  <c r="I83"/>
  <c r="C83"/>
  <c r="A83"/>
  <c r="L82"/>
  <c r="Q82" s="1"/>
  <c r="Z82"/>
  <c r="Y82"/>
  <c r="X82"/>
  <c r="K81"/>
  <c r="J81"/>
  <c r="Z81"/>
  <c r="Y81"/>
  <c r="X81"/>
  <c r="H81"/>
  <c r="W81" s="1"/>
  <c r="F81"/>
  <c r="V81"/>
  <c r="T81"/>
  <c r="U81"/>
  <c r="S81"/>
  <c r="E81"/>
  <c r="D81"/>
  <c r="C81"/>
  <c r="B81"/>
  <c r="A81"/>
  <c r="K80"/>
  <c r="J80"/>
  <c r="Z80"/>
  <c r="Y80"/>
  <c r="X80"/>
  <c r="H80"/>
  <c r="W80" s="1"/>
  <c r="F80"/>
  <c r="V80"/>
  <c r="T80"/>
  <c r="U80"/>
  <c r="S80"/>
  <c r="E80"/>
  <c r="D80"/>
  <c r="C80"/>
  <c r="B80"/>
  <c r="A80"/>
  <c r="L79"/>
  <c r="G79"/>
  <c r="E79"/>
  <c r="J78"/>
  <c r="F78"/>
  <c r="E78"/>
  <c r="J77"/>
  <c r="F77"/>
  <c r="E77"/>
  <c r="K76"/>
  <c r="J76"/>
  <c r="H76"/>
  <c r="G76"/>
  <c r="F76"/>
  <c r="K75"/>
  <c r="J75"/>
  <c r="H75"/>
  <c r="R75" s="1"/>
  <c r="G75"/>
  <c r="F75"/>
  <c r="K74"/>
  <c r="J74"/>
  <c r="H74"/>
  <c r="G74"/>
  <c r="F74"/>
  <c r="K73"/>
  <c r="J73"/>
  <c r="R73"/>
  <c r="H73"/>
  <c r="G73"/>
  <c r="F73"/>
  <c r="C72"/>
  <c r="V71"/>
  <c r="K78" s="1"/>
  <c r="T71"/>
  <c r="K77" s="1"/>
  <c r="U71"/>
  <c r="H78" s="1"/>
  <c r="S71"/>
  <c r="H77" s="1"/>
  <c r="F71"/>
  <c r="E71"/>
  <c r="D71"/>
  <c r="I71"/>
  <c r="C71"/>
  <c r="A71"/>
  <c r="L70"/>
  <c r="Q70" s="1"/>
  <c r="Z70"/>
  <c r="Y70"/>
  <c r="X70"/>
  <c r="L69"/>
  <c r="G69"/>
  <c r="E69"/>
  <c r="J68"/>
  <c r="F68"/>
  <c r="E68"/>
  <c r="J67"/>
  <c r="F67"/>
  <c r="E67"/>
  <c r="K66"/>
  <c r="J66"/>
  <c r="H66"/>
  <c r="G66"/>
  <c r="F66"/>
  <c r="K65"/>
  <c r="J65"/>
  <c r="H65"/>
  <c r="G65"/>
  <c r="F65"/>
  <c r="K64"/>
  <c r="J70" s="1"/>
  <c r="P70" s="1"/>
  <c r="J64"/>
  <c r="H64"/>
  <c r="R64" s="1"/>
  <c r="G64"/>
  <c r="F64"/>
  <c r="C63"/>
  <c r="V62"/>
  <c r="K68" s="1"/>
  <c r="T62"/>
  <c r="K67" s="1"/>
  <c r="U62"/>
  <c r="H68" s="1"/>
  <c r="S62"/>
  <c r="H67" s="1"/>
  <c r="F62"/>
  <c r="E62"/>
  <c r="D62"/>
  <c r="I62"/>
  <c r="C62"/>
  <c r="A62"/>
  <c r="L61"/>
  <c r="Q61" s="1"/>
  <c r="Z61"/>
  <c r="Y61"/>
  <c r="X61"/>
  <c r="K60"/>
  <c r="J60"/>
  <c r="Z60"/>
  <c r="Y60"/>
  <c r="X60"/>
  <c r="W60"/>
  <c r="H60"/>
  <c r="F60"/>
  <c r="V60"/>
  <c r="T60"/>
  <c r="U60"/>
  <c r="S60"/>
  <c r="E60"/>
  <c r="D60"/>
  <c r="C60"/>
  <c r="B60"/>
  <c r="A60"/>
  <c r="L59"/>
  <c r="G59"/>
  <c r="E59"/>
  <c r="J58"/>
  <c r="E58"/>
  <c r="J57"/>
  <c r="E57"/>
  <c r="K56"/>
  <c r="J56"/>
  <c r="H56"/>
  <c r="G56"/>
  <c r="F56"/>
  <c r="K55"/>
  <c r="J55"/>
  <c r="H55"/>
  <c r="R55" s="1"/>
  <c r="G55"/>
  <c r="F55"/>
  <c r="K54"/>
  <c r="J54"/>
  <c r="H54"/>
  <c r="G54"/>
  <c r="F54"/>
  <c r="K53"/>
  <c r="J53"/>
  <c r="H53"/>
  <c r="R53" s="1"/>
  <c r="G53"/>
  <c r="F53"/>
  <c r="C52"/>
  <c r="V51"/>
  <c r="K58" s="1"/>
  <c r="T51"/>
  <c r="U51"/>
  <c r="H58" s="1"/>
  <c r="S51"/>
  <c r="H57" s="1"/>
  <c r="F51"/>
  <c r="E51"/>
  <c r="D51"/>
  <c r="I51"/>
  <c r="C51"/>
  <c r="B51"/>
  <c r="A51"/>
  <c r="L50"/>
  <c r="Q50" s="1"/>
  <c r="Z50"/>
  <c r="Y50"/>
  <c r="X50"/>
  <c r="G28" s="1"/>
  <c r="L49"/>
  <c r="G49"/>
  <c r="E49"/>
  <c r="J48"/>
  <c r="F48"/>
  <c r="E48"/>
  <c r="J47"/>
  <c r="F47"/>
  <c r="E47"/>
  <c r="K46"/>
  <c r="J46"/>
  <c r="H46"/>
  <c r="G46"/>
  <c r="F46"/>
  <c r="K45"/>
  <c r="J50" s="1"/>
  <c r="P50" s="1"/>
  <c r="J45"/>
  <c r="H45"/>
  <c r="R45" s="1"/>
  <c r="G45"/>
  <c r="F45"/>
  <c r="C44"/>
  <c r="V43"/>
  <c r="K48" s="1"/>
  <c r="T43"/>
  <c r="K47" s="1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B4" s="1"/>
  <c r="DA4"/>
  <c r="DC4"/>
  <c r="A5"/>
  <c r="CY5"/>
  <c r="CZ5"/>
  <c r="DA5"/>
  <c r="DB5"/>
  <c r="DC5"/>
  <c r="A6"/>
  <c r="CY6"/>
  <c r="CZ6"/>
  <c r="DA6"/>
  <c r="DB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Y12"/>
  <c r="CZ12"/>
  <c r="DB12" s="1"/>
  <c r="DA12"/>
  <c r="DC12"/>
  <c r="A13"/>
  <c r="CY13"/>
  <c r="CZ13"/>
  <c r="DA13"/>
  <c r="DB13"/>
  <c r="DC13"/>
  <c r="A14"/>
  <c r="CY14"/>
  <c r="CZ14"/>
  <c r="DA14"/>
  <c r="DB14"/>
  <c r="DC14"/>
  <c r="A15"/>
  <c r="CY15"/>
  <c r="CZ15"/>
  <c r="DB15" s="1"/>
  <c r="DA15"/>
  <c r="DC15"/>
  <c r="A16"/>
  <c r="CY16"/>
  <c r="CZ16"/>
  <c r="DB16" s="1"/>
  <c r="DA16"/>
  <c r="DC16"/>
  <c r="A17"/>
  <c r="CY17"/>
  <c r="CZ17"/>
  <c r="DA17"/>
  <c r="DB17"/>
  <c r="DC17"/>
  <c r="A18"/>
  <c r="CY18"/>
  <c r="CZ18"/>
  <c r="DA18"/>
  <c r="DB18"/>
  <c r="DC18"/>
  <c r="A19"/>
  <c r="CY19"/>
  <c r="CZ19"/>
  <c r="DB19" s="1"/>
  <c r="DA19"/>
  <c r="DC19"/>
  <c r="A20"/>
  <c r="CY20"/>
  <c r="CZ20"/>
  <c r="DB20" s="1"/>
  <c r="DA20"/>
  <c r="DC20"/>
  <c r="A21"/>
  <c r="CY21"/>
  <c r="CZ21"/>
  <c r="DA21"/>
  <c r="DB21"/>
  <c r="DC21"/>
  <c r="A22"/>
  <c r="CY22"/>
  <c r="CZ22"/>
  <c r="DA22"/>
  <c r="DB22"/>
  <c r="DC22"/>
  <c r="A23"/>
  <c r="CY23"/>
  <c r="CZ23"/>
  <c r="DB23" s="1"/>
  <c r="DA23"/>
  <c r="DC23"/>
  <c r="A24"/>
  <c r="CY24"/>
  <c r="CZ24"/>
  <c r="DB24" s="1"/>
  <c r="DA24"/>
  <c r="DC24"/>
  <c r="A25"/>
  <c r="CY25"/>
  <c r="CZ25"/>
  <c r="DA25"/>
  <c r="DB25"/>
  <c r="DC25"/>
  <c r="A26"/>
  <c r="CY26"/>
  <c r="CZ26"/>
  <c r="DA26"/>
  <c r="DB26"/>
  <c r="DC26"/>
  <c r="A27"/>
  <c r="CY27"/>
  <c r="CZ27"/>
  <c r="DB27" s="1"/>
  <c r="DA27"/>
  <c r="DC27"/>
  <c r="A28"/>
  <c r="CY28"/>
  <c r="CZ28"/>
  <c r="DB28" s="1"/>
  <c r="DA28"/>
  <c r="DC28"/>
  <c r="A29"/>
  <c r="CY29"/>
  <c r="CZ29"/>
  <c r="DA29"/>
  <c r="DB29"/>
  <c r="DC29"/>
  <c r="A30"/>
  <c r="CY30"/>
  <c r="CZ30"/>
  <c r="DA30"/>
  <c r="DB30"/>
  <c r="DC30"/>
  <c r="A31"/>
  <c r="CY31"/>
  <c r="CZ31"/>
  <c r="DB31" s="1"/>
  <c r="DA31"/>
  <c r="DC31"/>
  <c r="A32"/>
  <c r="CY32"/>
  <c r="CZ32"/>
  <c r="DB32" s="1"/>
  <c r="DA32"/>
  <c r="DC32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CX2" i="3" s="1"/>
  <c r="AC24" i="1"/>
  <c r="AB24" s="1"/>
  <c r="AE24"/>
  <c r="AD24" s="1"/>
  <c r="CR24" s="1"/>
  <c r="Q24" s="1"/>
  <c r="AF24"/>
  <c r="AG24"/>
  <c r="CU24" s="1"/>
  <c r="T24" s="1"/>
  <c r="AH24"/>
  <c r="AI24"/>
  <c r="AJ24"/>
  <c r="CS24"/>
  <c r="R24" s="1"/>
  <c r="CT24"/>
  <c r="S24" s="1"/>
  <c r="CV24"/>
  <c r="U24" s="1"/>
  <c r="CW24"/>
  <c r="V24" s="1"/>
  <c r="CX24"/>
  <c r="W24" s="1"/>
  <c r="FR24"/>
  <c r="GL24"/>
  <c r="GO24"/>
  <c r="GP24"/>
  <c r="GV24"/>
  <c r="HC24"/>
  <c r="GX24" s="1"/>
  <c r="C25"/>
  <c r="D25"/>
  <c r="I25"/>
  <c r="CX6" i="3" s="1"/>
  <c r="AC25" i="1"/>
  <c r="AB25" s="1"/>
  <c r="AD25"/>
  <c r="CR25" s="1"/>
  <c r="Q25" s="1"/>
  <c r="AE25"/>
  <c r="AF25"/>
  <c r="AG25"/>
  <c r="AH25"/>
  <c r="CV25" s="1"/>
  <c r="U25" s="1"/>
  <c r="AI25"/>
  <c r="AJ25"/>
  <c r="CQ25"/>
  <c r="P25" s="1"/>
  <c r="CP25" s="1"/>
  <c r="O25" s="1"/>
  <c r="CS25"/>
  <c r="R25" s="1"/>
  <c r="CT25"/>
  <c r="S25" s="1"/>
  <c r="CU25"/>
  <c r="T25" s="1"/>
  <c r="CW25"/>
  <c r="V25" s="1"/>
  <c r="CX25"/>
  <c r="W25" s="1"/>
  <c r="FR25"/>
  <c r="GL25"/>
  <c r="GO25"/>
  <c r="GP25"/>
  <c r="GV25"/>
  <c r="HC25" s="1"/>
  <c r="GX25" s="1"/>
  <c r="I26"/>
  <c r="AC26"/>
  <c r="AB26" s="1"/>
  <c r="AE26"/>
  <c r="AD26" s="1"/>
  <c r="CR26" s="1"/>
  <c r="Q26" s="1"/>
  <c r="AF26"/>
  <c r="AG26"/>
  <c r="CU26" s="1"/>
  <c r="T26" s="1"/>
  <c r="AH26"/>
  <c r="AI26"/>
  <c r="AJ26"/>
  <c r="CS26"/>
  <c r="R26" s="1"/>
  <c r="CT26"/>
  <c r="S26" s="1"/>
  <c r="CV26"/>
  <c r="U26" s="1"/>
  <c r="CW26"/>
  <c r="V26" s="1"/>
  <c r="CX26"/>
  <c r="W26" s="1"/>
  <c r="FR26"/>
  <c r="GL26"/>
  <c r="GO26"/>
  <c r="GP26"/>
  <c r="GV26"/>
  <c r="HC26"/>
  <c r="GX26" s="1"/>
  <c r="C27"/>
  <c r="D27"/>
  <c r="I27"/>
  <c r="CX11" i="3" s="1"/>
  <c r="AC27" i="1"/>
  <c r="AB27" s="1"/>
  <c r="AD27"/>
  <c r="CR27" s="1"/>
  <c r="Q27" s="1"/>
  <c r="AE27"/>
  <c r="AF27"/>
  <c r="AG27"/>
  <c r="AH27"/>
  <c r="CV27" s="1"/>
  <c r="U27" s="1"/>
  <c r="AI27"/>
  <c r="AJ27"/>
  <c r="CQ27"/>
  <c r="P27" s="1"/>
  <c r="CS27"/>
  <c r="R27" s="1"/>
  <c r="CT27"/>
  <c r="S27" s="1"/>
  <c r="CU27"/>
  <c r="T27" s="1"/>
  <c r="CW27"/>
  <c r="V27" s="1"/>
  <c r="CX27"/>
  <c r="W27" s="1"/>
  <c r="FR27"/>
  <c r="GL27"/>
  <c r="GO27"/>
  <c r="GP27"/>
  <c r="GV27"/>
  <c r="HC27" s="1"/>
  <c r="GX27" s="1"/>
  <c r="C28"/>
  <c r="D28"/>
  <c r="I28"/>
  <c r="CX14" i="3" s="1"/>
  <c r="AC28" i="1"/>
  <c r="AE28"/>
  <c r="AD28" s="1"/>
  <c r="CR28" s="1"/>
  <c r="Q28" s="1"/>
  <c r="AF28"/>
  <c r="AG28"/>
  <c r="AH28"/>
  <c r="AI28"/>
  <c r="CW28" s="1"/>
  <c r="V28" s="1"/>
  <c r="AJ28"/>
  <c r="CQ28"/>
  <c r="P28" s="1"/>
  <c r="CP28" s="1"/>
  <c r="O28" s="1"/>
  <c r="CT28"/>
  <c r="S28" s="1"/>
  <c r="CU28"/>
  <c r="T28" s="1"/>
  <c r="CV28"/>
  <c r="U28" s="1"/>
  <c r="CX28"/>
  <c r="W28" s="1"/>
  <c r="FR28"/>
  <c r="GL28"/>
  <c r="GO28"/>
  <c r="GP28"/>
  <c r="GV28"/>
  <c r="HC28" s="1"/>
  <c r="GX28" s="1"/>
  <c r="I29"/>
  <c r="AC29"/>
  <c r="AB29" s="1"/>
  <c r="AD29"/>
  <c r="CR29" s="1"/>
  <c r="Q29" s="1"/>
  <c r="AE29"/>
  <c r="AF29"/>
  <c r="AG29"/>
  <c r="AH29"/>
  <c r="CV29" s="1"/>
  <c r="U29" s="1"/>
  <c r="AI29"/>
  <c r="AJ29"/>
  <c r="CQ29"/>
  <c r="P29" s="1"/>
  <c r="CS29"/>
  <c r="R29" s="1"/>
  <c r="CT29"/>
  <c r="S29" s="1"/>
  <c r="CU29"/>
  <c r="T29" s="1"/>
  <c r="CW29"/>
  <c r="V29" s="1"/>
  <c r="CX29"/>
  <c r="W29" s="1"/>
  <c r="FR29"/>
  <c r="GL29"/>
  <c r="GO29"/>
  <c r="GP29"/>
  <c r="GV29"/>
  <c r="HC29" s="1"/>
  <c r="GX29" s="1"/>
  <c r="I30"/>
  <c r="AC30"/>
  <c r="AE30"/>
  <c r="AD30" s="1"/>
  <c r="CR30" s="1"/>
  <c r="Q30" s="1"/>
  <c r="AF30"/>
  <c r="AG30"/>
  <c r="CU30" s="1"/>
  <c r="T30" s="1"/>
  <c r="AH30"/>
  <c r="AI30"/>
  <c r="AJ30"/>
  <c r="CS30"/>
  <c r="R30" s="1"/>
  <c r="CT30"/>
  <c r="S30" s="1"/>
  <c r="CV30"/>
  <c r="U30" s="1"/>
  <c r="CW30"/>
  <c r="V30" s="1"/>
  <c r="CX30"/>
  <c r="W30" s="1"/>
  <c r="FR30"/>
  <c r="GL30"/>
  <c r="GO30"/>
  <c r="GP30"/>
  <c r="GV30"/>
  <c r="HC30"/>
  <c r="GX30" s="1"/>
  <c r="C31"/>
  <c r="D31"/>
  <c r="I31"/>
  <c r="CX26" i="3" s="1"/>
  <c r="AC31" i="1"/>
  <c r="AB31" s="1"/>
  <c r="AD31"/>
  <c r="CR31" s="1"/>
  <c r="Q31" s="1"/>
  <c r="AE31"/>
  <c r="AF31"/>
  <c r="AG31"/>
  <c r="AH31"/>
  <c r="CV31" s="1"/>
  <c r="U31" s="1"/>
  <c r="AI31"/>
  <c r="AJ31"/>
  <c r="CQ31"/>
  <c r="P31" s="1"/>
  <c r="CP31" s="1"/>
  <c r="O31" s="1"/>
  <c r="CS31"/>
  <c r="R31" s="1"/>
  <c r="CT31"/>
  <c r="S31" s="1"/>
  <c r="CU31"/>
  <c r="T31" s="1"/>
  <c r="CW31"/>
  <c r="V31" s="1"/>
  <c r="CX31"/>
  <c r="W31" s="1"/>
  <c r="FR31"/>
  <c r="GL31"/>
  <c r="GO31"/>
  <c r="GP31"/>
  <c r="GV31"/>
  <c r="HC31" s="1"/>
  <c r="GX31" s="1"/>
  <c r="I32"/>
  <c r="AC32"/>
  <c r="AB32" s="1"/>
  <c r="AE32"/>
  <c r="AD32" s="1"/>
  <c r="CR32" s="1"/>
  <c r="Q32" s="1"/>
  <c r="AF32"/>
  <c r="AG32"/>
  <c r="CU32" s="1"/>
  <c r="T32" s="1"/>
  <c r="AH32"/>
  <c r="AI32"/>
  <c r="AJ32"/>
  <c r="CS32"/>
  <c r="R32" s="1"/>
  <c r="CT32"/>
  <c r="S32" s="1"/>
  <c r="CV32"/>
  <c r="U32" s="1"/>
  <c r="CW32"/>
  <c r="V32" s="1"/>
  <c r="CX32"/>
  <c r="W32" s="1"/>
  <c r="FR32"/>
  <c r="GL32"/>
  <c r="GO32"/>
  <c r="GP32"/>
  <c r="GV32"/>
  <c r="HC32"/>
  <c r="GX32" s="1"/>
  <c r="I33"/>
  <c r="AC33"/>
  <c r="AE33"/>
  <c r="AD33" s="1"/>
  <c r="AF33"/>
  <c r="CT33" s="1"/>
  <c r="S33" s="1"/>
  <c r="AG33"/>
  <c r="AH33"/>
  <c r="AI33"/>
  <c r="AJ33"/>
  <c r="CX33" s="1"/>
  <c r="W33" s="1"/>
  <c r="CQ33"/>
  <c r="P33" s="1"/>
  <c r="CS33"/>
  <c r="R33" s="1"/>
  <c r="CU33"/>
  <c r="T33" s="1"/>
  <c r="CV33"/>
  <c r="U33" s="1"/>
  <c r="CW33"/>
  <c r="V33" s="1"/>
  <c r="FR33"/>
  <c r="GL33"/>
  <c r="GO33"/>
  <c r="GP33"/>
  <c r="GV33"/>
  <c r="HC33"/>
  <c r="GX33" s="1"/>
  <c r="AC34"/>
  <c r="AD34"/>
  <c r="AE34"/>
  <c r="AF34"/>
  <c r="CT34" s="1"/>
  <c r="S34" s="1"/>
  <c r="AG34"/>
  <c r="AH34"/>
  <c r="AI34"/>
  <c r="AJ34"/>
  <c r="CX34" s="1"/>
  <c r="W34" s="1"/>
  <c r="CQ34"/>
  <c r="P34" s="1"/>
  <c r="CR34"/>
  <c r="Q34" s="1"/>
  <c r="CS34"/>
  <c r="R34" s="1"/>
  <c r="CU34"/>
  <c r="T34" s="1"/>
  <c r="CV34"/>
  <c r="U34" s="1"/>
  <c r="CW34"/>
  <c r="V34" s="1"/>
  <c r="FR34"/>
  <c r="GL34"/>
  <c r="GO34"/>
  <c r="GP34"/>
  <c r="GV34"/>
  <c r="HC34"/>
  <c r="GX34" s="1"/>
  <c r="AC35"/>
  <c r="AB35" s="1"/>
  <c r="AD35"/>
  <c r="AE35"/>
  <c r="CS35" s="1"/>
  <c r="R35" s="1"/>
  <c r="AF35"/>
  <c r="AG35"/>
  <c r="AH35"/>
  <c r="AI35"/>
  <c r="CW35" s="1"/>
  <c r="V35" s="1"/>
  <c r="AJ35"/>
  <c r="CQ35"/>
  <c r="P35" s="1"/>
  <c r="CR35"/>
  <c r="Q35" s="1"/>
  <c r="CT35"/>
  <c r="S35" s="1"/>
  <c r="CU35"/>
  <c r="T35" s="1"/>
  <c r="CV35"/>
  <c r="U35" s="1"/>
  <c r="CX35"/>
  <c r="W35" s="1"/>
  <c r="FR35"/>
  <c r="GL35"/>
  <c r="GO35"/>
  <c r="GP35"/>
  <c r="GV35"/>
  <c r="HC35" s="1"/>
  <c r="GX35" s="1"/>
  <c r="B37"/>
  <c r="B22" s="1"/>
  <c r="C37"/>
  <c r="C22" s="1"/>
  <c r="D37"/>
  <c r="D22" s="1"/>
  <c r="F37"/>
  <c r="F22" s="1"/>
  <c r="G37"/>
  <c r="G22" s="1"/>
  <c r="BX37"/>
  <c r="BX22" s="1"/>
  <c r="BY37"/>
  <c r="BY22" s="1"/>
  <c r="BZ37"/>
  <c r="BZ22" s="1"/>
  <c r="CC37"/>
  <c r="CC22" s="1"/>
  <c r="CD37"/>
  <c r="CD22" s="1"/>
  <c r="CG37"/>
  <c r="CG22" s="1"/>
  <c r="CK37"/>
  <c r="CK22" s="1"/>
  <c r="CL37"/>
  <c r="CL22" s="1"/>
  <c r="B67"/>
  <c r="B18" s="1"/>
  <c r="C67"/>
  <c r="C18" s="1"/>
  <c r="D67"/>
  <c r="D18" s="1"/>
  <c r="F67"/>
  <c r="F18" s="1"/>
  <c r="G67"/>
  <c r="G18" s="1"/>
  <c r="J61" i="5" l="1"/>
  <c r="P61" s="1"/>
  <c r="W100"/>
  <c r="G30"/>
  <c r="G29"/>
  <c r="H90"/>
  <c r="G94" s="1"/>
  <c r="O94" s="1"/>
  <c r="K57"/>
  <c r="L106"/>
  <c r="L102"/>
  <c r="G82"/>
  <c r="O82" s="1"/>
  <c r="J94"/>
  <c r="P94" s="1"/>
  <c r="G32"/>
  <c r="J82"/>
  <c r="P82" s="1"/>
  <c r="G70"/>
  <c r="O70" s="1"/>
  <c r="W50"/>
  <c r="G50"/>
  <c r="O50" s="1"/>
  <c r="W61"/>
  <c r="G61"/>
  <c r="O61" s="1"/>
  <c r="W82"/>
  <c r="R85"/>
  <c r="W70"/>
  <c r="W94"/>
  <c r="CZ32" i="1"/>
  <c r="Y32" s="1"/>
  <c r="CY32"/>
  <c r="X32" s="1"/>
  <c r="CZ25"/>
  <c r="Y25" s="1"/>
  <c r="CY25"/>
  <c r="X25" s="1"/>
  <c r="GM25" s="1"/>
  <c r="AJ37"/>
  <c r="AG37"/>
  <c r="CZ34"/>
  <c r="Y34" s="1"/>
  <c r="CY34"/>
  <c r="X34" s="1"/>
  <c r="CR33"/>
  <c r="Q33" s="1"/>
  <c r="AB33"/>
  <c r="CZ33"/>
  <c r="Y33" s="1"/>
  <c r="CY33"/>
  <c r="X33" s="1"/>
  <c r="CZ29"/>
  <c r="Y29" s="1"/>
  <c r="CY29"/>
  <c r="X29" s="1"/>
  <c r="CZ28"/>
  <c r="Y28" s="1"/>
  <c r="CZ27"/>
  <c r="Y27" s="1"/>
  <c r="CY27"/>
  <c r="X27" s="1"/>
  <c r="AF37"/>
  <c r="CZ24"/>
  <c r="Y24" s="1"/>
  <c r="AL37" s="1"/>
  <c r="CY24"/>
  <c r="X24" s="1"/>
  <c r="CP35"/>
  <c r="O35" s="1"/>
  <c r="CP34"/>
  <c r="O34" s="1"/>
  <c r="AB28"/>
  <c r="CZ31"/>
  <c r="Y31" s="1"/>
  <c r="GN31" s="1"/>
  <c r="CY31"/>
  <c r="X31" s="1"/>
  <c r="GM31" s="1"/>
  <c r="CZ26"/>
  <c r="Y26" s="1"/>
  <c r="CY26"/>
  <c r="X26" s="1"/>
  <c r="GN25"/>
  <c r="CP33"/>
  <c r="O33" s="1"/>
  <c r="CJ37"/>
  <c r="AH37"/>
  <c r="AD37"/>
  <c r="CY35"/>
  <c r="X35" s="1"/>
  <c r="CZ35"/>
  <c r="Y35" s="1"/>
  <c r="CZ30"/>
  <c r="Y30" s="1"/>
  <c r="CY30"/>
  <c r="X30" s="1"/>
  <c r="AB30"/>
  <c r="CP29"/>
  <c r="O29" s="1"/>
  <c r="CP27"/>
  <c r="O27" s="1"/>
  <c r="AI37"/>
  <c r="BC37"/>
  <c r="AU37"/>
  <c r="AQ37"/>
  <c r="AB34"/>
  <c r="CX29" i="3"/>
  <c r="CX25"/>
  <c r="CX21"/>
  <c r="CX17"/>
  <c r="CX13"/>
  <c r="CX9"/>
  <c r="CX5"/>
  <c r="CX1"/>
  <c r="CI37" i="1"/>
  <c r="CQ32"/>
  <c r="P32" s="1"/>
  <c r="CP32" s="1"/>
  <c r="O32" s="1"/>
  <c r="CQ30"/>
  <c r="P30" s="1"/>
  <c r="CP30" s="1"/>
  <c r="O30" s="1"/>
  <c r="CS28"/>
  <c r="R28" s="1"/>
  <c r="AE37" s="1"/>
  <c r="CQ26"/>
  <c r="P26" s="1"/>
  <c r="CP26" s="1"/>
  <c r="O26" s="1"/>
  <c r="CQ24"/>
  <c r="P24" s="1"/>
  <c r="CX32" i="3"/>
  <c r="CX28"/>
  <c r="CX24"/>
  <c r="CX20"/>
  <c r="CX16"/>
  <c r="CX12"/>
  <c r="CX8"/>
  <c r="CX4"/>
  <c r="AO37" i="1"/>
  <c r="CX31" i="3"/>
  <c r="CX27"/>
  <c r="CX23"/>
  <c r="CX19"/>
  <c r="CX15"/>
  <c r="CX7"/>
  <c r="CX3"/>
  <c r="BB37" i="1"/>
  <c r="AX37"/>
  <c r="AT37"/>
  <c r="AP37"/>
  <c r="CX30" i="3"/>
  <c r="CX22"/>
  <c r="CX18"/>
  <c r="CX10"/>
  <c r="J102" i="5" l="1"/>
  <c r="G27"/>
  <c r="J106"/>
  <c r="G106"/>
  <c r="G102"/>
  <c r="G26"/>
  <c r="R37" i="1"/>
  <c r="AE22"/>
  <c r="AP67"/>
  <c r="F46"/>
  <c r="G16" i="2" s="1"/>
  <c r="G18" s="1"/>
  <c r="AP22" i="1"/>
  <c r="CJ22"/>
  <c r="BA37"/>
  <c r="AG22"/>
  <c r="T37"/>
  <c r="CP24"/>
  <c r="O24" s="1"/>
  <c r="AC37"/>
  <c r="GN29"/>
  <c r="GM29"/>
  <c r="U37"/>
  <c r="AH22"/>
  <c r="GN32"/>
  <c r="GM32"/>
  <c r="F56"/>
  <c r="AU67"/>
  <c r="AU22"/>
  <c r="GN30"/>
  <c r="GM30"/>
  <c r="GN27"/>
  <c r="GM27"/>
  <c r="F44"/>
  <c r="AX67"/>
  <c r="AX22"/>
  <c r="Q37"/>
  <c r="AD22"/>
  <c r="GM35"/>
  <c r="HD35" s="1"/>
  <c r="GN35"/>
  <c r="AJ22"/>
  <c r="W37"/>
  <c r="Y37"/>
  <c r="AL22"/>
  <c r="BB67"/>
  <c r="F50"/>
  <c r="BB22"/>
  <c r="AO22"/>
  <c r="AO67"/>
  <c r="F41"/>
  <c r="AQ67"/>
  <c r="F47"/>
  <c r="AQ22"/>
  <c r="V37"/>
  <c r="AI22"/>
  <c r="F55"/>
  <c r="F16" i="2" s="1"/>
  <c r="F18" s="1"/>
  <c r="AT67" i="1"/>
  <c r="AT22"/>
  <c r="GN26"/>
  <c r="GM26"/>
  <c r="CI22"/>
  <c r="AZ37"/>
  <c r="BC67"/>
  <c r="BC22"/>
  <c r="F53"/>
  <c r="GN33"/>
  <c r="GM33"/>
  <c r="GN34"/>
  <c r="GM34"/>
  <c r="HD34" s="1"/>
  <c r="CM37" s="1"/>
  <c r="AF22"/>
  <c r="S37"/>
  <c r="CY28"/>
  <c r="X28" s="1"/>
  <c r="AK37" s="1"/>
  <c r="AK22" l="1"/>
  <c r="X37"/>
  <c r="CM22"/>
  <c r="BD37"/>
  <c r="AT18"/>
  <c r="F85"/>
  <c r="I28" i="5" s="1"/>
  <c r="F71" i="1"/>
  <c r="AO18"/>
  <c r="BB18"/>
  <c r="F80"/>
  <c r="W67"/>
  <c r="W22"/>
  <c r="F61"/>
  <c r="T67"/>
  <c r="T22"/>
  <c r="F58"/>
  <c r="F51"/>
  <c r="R67"/>
  <c r="R22"/>
  <c r="F60"/>
  <c r="V67"/>
  <c r="V22"/>
  <c r="F74"/>
  <c r="AX18"/>
  <c r="U22"/>
  <c r="F59"/>
  <c r="U67"/>
  <c r="AB37"/>
  <c r="GN24"/>
  <c r="GM24"/>
  <c r="CA37" s="1"/>
  <c r="F52"/>
  <c r="J16" i="2" s="1"/>
  <c r="J18" s="1"/>
  <c r="S67" i="1"/>
  <c r="S22"/>
  <c r="F83"/>
  <c r="BC18"/>
  <c r="AQ18"/>
  <c r="F77"/>
  <c r="Y22"/>
  <c r="F64"/>
  <c r="Y67"/>
  <c r="AU18"/>
  <c r="F86"/>
  <c r="AC22"/>
  <c r="CF37"/>
  <c r="P37"/>
  <c r="CE37"/>
  <c r="CH37"/>
  <c r="BA22"/>
  <c r="BA67"/>
  <c r="F57"/>
  <c r="H16" i="2" s="1"/>
  <c r="H18" s="1"/>
  <c r="AP18" i="1"/>
  <c r="F76"/>
  <c r="I29" i="5" s="1"/>
  <c r="F48" i="1"/>
  <c r="AZ22"/>
  <c r="AZ67"/>
  <c r="GN28"/>
  <c r="GM28"/>
  <c r="Q22"/>
  <c r="F49"/>
  <c r="Q67"/>
  <c r="I30" i="5" l="1"/>
  <c r="F94" i="1"/>
  <c r="Y18"/>
  <c r="CA22"/>
  <c r="AR37"/>
  <c r="R18"/>
  <c r="F81"/>
  <c r="T18"/>
  <c r="F88"/>
  <c r="X67"/>
  <c r="X22"/>
  <c r="F63"/>
  <c r="CE22"/>
  <c r="AV37"/>
  <c r="F89"/>
  <c r="U18"/>
  <c r="F91"/>
  <c r="W18"/>
  <c r="F79"/>
  <c r="Q18"/>
  <c r="CF22"/>
  <c r="AW37"/>
  <c r="S18"/>
  <c r="F82"/>
  <c r="F90"/>
  <c r="V18"/>
  <c r="F87"/>
  <c r="BA18"/>
  <c r="F40"/>
  <c r="P67"/>
  <c r="P22"/>
  <c r="AZ18"/>
  <c r="F78"/>
  <c r="CH22"/>
  <c r="AY37"/>
  <c r="AB22"/>
  <c r="O37"/>
  <c r="BD22"/>
  <c r="BD67"/>
  <c r="F62"/>
  <c r="CB37"/>
  <c r="I31" i="5" l="1"/>
  <c r="G31" s="1"/>
  <c r="I32"/>
  <c r="AW22" i="1"/>
  <c r="F43"/>
  <c r="AW67"/>
  <c r="AV22"/>
  <c r="F42"/>
  <c r="AV67"/>
  <c r="AY67"/>
  <c r="AY22"/>
  <c r="F45"/>
  <c r="P18"/>
  <c r="F70"/>
  <c r="X18"/>
  <c r="F93"/>
  <c r="BD18"/>
  <c r="F92"/>
  <c r="CB22"/>
  <c r="AS37"/>
  <c r="F39"/>
  <c r="O67"/>
  <c r="O22"/>
  <c r="AR22"/>
  <c r="F65"/>
  <c r="AR67"/>
  <c r="AS22" l="1"/>
  <c r="F54"/>
  <c r="E16" i="2" s="1"/>
  <c r="AS67" i="1"/>
  <c r="AV18"/>
  <c r="F72"/>
  <c r="O18"/>
  <c r="F69"/>
  <c r="F75"/>
  <c r="AY18"/>
  <c r="AR18"/>
  <c r="F95"/>
  <c r="F73"/>
  <c r="AW18"/>
  <c r="I16" i="2" l="1"/>
  <c r="I18" s="1"/>
  <c r="E18"/>
  <c r="F84" i="1"/>
  <c r="I27" i="5" s="1"/>
  <c r="AS18" i="1"/>
  <c r="F96"/>
  <c r="J108" i="5" s="1"/>
  <c r="F97" i="1"/>
  <c r="J109" i="5" l="1"/>
  <c r="I26"/>
</calcChain>
</file>

<file path=xl/sharedStrings.xml><?xml version="1.0" encoding="utf-8"?>
<sst xmlns="http://schemas.openxmlformats.org/spreadsheetml/2006/main" count="1528" uniqueCount="318">
  <si>
    <t>Smeta.RU  (495) 974-1589</t>
  </si>
  <si>
    <t>_PS_</t>
  </si>
  <si>
    <t>Smeta.RU</t>
  </si>
  <si>
    <t/>
  </si>
  <si>
    <t>Новый объект</t>
  </si>
  <si>
    <t>Ремонт мягкой кровли в Куровском 2021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</si>
  <si>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</si>
  <si>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</si>
  <si>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</si>
  <si>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</si>
  <si>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</si>
  <si>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для НБ 2014 года от 02.12.2020</t>
  </si>
  <si>
    <t>Новая локальная смета</t>
  </si>
  <si>
    <t>2</t>
  </si>
  <si>
    <t>46-04-008-1</t>
  </si>
  <si>
    <t>Разборка покрытий кровель из рулонных материалов</t>
  </si>
  <si>
    <t>100 м2 покрытия</t>
  </si>
  <si>
    <t>ТЕР Московской обл., 46-04-008-1, приказ Минстроя России №675/пр от 21.09.2015 г.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</si>
  <si>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</si>
  <si>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</si>
  <si>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</si>
  <si>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</si>
  <si>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</si>
  <si>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4</t>
  </si>
  <si>
    <t>58-16-2</t>
  </si>
  <si>
    <t>Ремонт цементной стяжки площадью заделки до 0,5 м2</t>
  </si>
  <si>
    <t>100 мест</t>
  </si>
  <si>
    <t>ТЕРр Московской обл., 58-16-2, приказ Минстроя России №675/пр от 21.09.2015 г.</t>
  </si>
  <si>
    <t>Ремонтно-строительные работы</t>
  </si>
  <si>
    <t>Крыши, кровля</t>
  </si>
  <si>
    <t>рФЕР-58</t>
  </si>
  <si>
    <t>4,1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</si>
  <si>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</si>
  <si>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</si>
  <si>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</si>
  <si>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</si>
  <si>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5</t>
  </si>
  <si>
    <t>12-01-016-2</t>
  </si>
  <si>
    <t>Огрунтовка оснований из бетона или раствора под водоизоляционный кровельный ковер готовой эмульсией битумной</t>
  </si>
  <si>
    <t>100 м2 кровли</t>
  </si>
  <si>
    <t>ТЕР Московской обл., 12-01-016-2, приказ Минстроя России №675/пр от 28.02.2017 № 260/пр</t>
  </si>
  <si>
    <t>)*1,25</t>
  </si>
  <si>
    <t>)*1,15</t>
  </si>
  <si>
    <t>Кровли</t>
  </si>
  <si>
    <t>ФЕР-12</t>
  </si>
  <si>
    <t>Поправка: МДС 81-35.2004, п.4.7</t>
  </si>
  <si>
    <t>9</t>
  </si>
  <si>
    <t>12-01-004-4</t>
  </si>
  <si>
    <t>Устройство примыканий кровель из наплавляемых материалов к стенам и парапетам высотой до 600 мм без фартуков</t>
  </si>
  <si>
    <t>100 м примыканий</t>
  </si>
  <si>
    <t>ТЕР Московской обл., 12-01-004-4, приказ Минстроя России №675/пр от 21.09.2015 г.</t>
  </si>
  <si>
    <t>9,1</t>
  </si>
  <si>
    <t>101-9123</t>
  </si>
  <si>
    <t>Материалы рулонные кровельные</t>
  </si>
  <si>
    <t>м2</t>
  </si>
  <si>
    <t>ТССЦ Московской обл., 101-9123, приказ Минстроя России №675/пр от 21.09.2015 г.</t>
  </si>
  <si>
    <t>9,2</t>
  </si>
  <si>
    <t>цена постовщика</t>
  </si>
  <si>
    <t>рулонный кровельный материал техниколь</t>
  </si>
  <si>
    <t>1 м2</t>
  </si>
  <si>
    <t>1 м2 покрытия</t>
  </si>
  <si>
    <t>занесена вручную</t>
  </si>
  <si>
    <t>10</t>
  </si>
  <si>
    <t>12-01-002-9</t>
  </si>
  <si>
    <t>Устройство кровель плоских из наплавляемых материалов в два слоя</t>
  </si>
  <si>
    <t>ТЕР Московской обл., 12-01-002-9, приказ Минстроя России №675/пр от 21.09.2015 г.</t>
  </si>
  <si>
    <t>10,3</t>
  </si>
  <si>
    <t>материал рулонные кровельные для нижнего слоя техниколь</t>
  </si>
  <si>
    <t>10,4</t>
  </si>
  <si>
    <t>материал рулонные кровельные для верхнего слоя техниколь</t>
  </si>
  <si>
    <t>21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</si>
  <si>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</si>
  <si>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</si>
  <si>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</si>
  <si>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</si>
  <si>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</si>
  <si>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</si>
  <si>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</si>
  <si>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22</t>
  </si>
  <si>
    <t>т03-01-01-040</t>
  </si>
  <si>
    <t>Перевозка грузов I класса автомобилями бортовыми грузоподъемностью до 15 т на расстояние до 40 км</t>
  </si>
  <si>
    <t>ТССЦпг Московской обл., т03-01-001-40,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</si>
  <si>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</si>
  <si>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</si>
  <si>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</si>
  <si>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</si>
  <si>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</si>
  <si>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</si>
  <si>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</si>
  <si>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</si>
  <si>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</si>
  <si>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</si>
  <si>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</si>
  <si>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</si>
  <si>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</si>
  <si>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</si>
  <si>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</si>
  <si>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</si>
  <si>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</si>
  <si>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</si>
  <si>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</si>
  <si>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</si>
  <si>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</si>
  <si>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</si>
  <si>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</si>
  <si>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</si>
  <si>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</si>
  <si>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</si>
  <si>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</si>
  <si>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</si>
  <si>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</si>
  <si>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</si>
  <si>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</si>
  <si>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</si>
  <si>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</si>
  <si>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</si>
  <si>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</si>
  <si>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</si>
  <si>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</si>
  <si>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</si>
  <si>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</si>
  <si>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</si>
  <si>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</si>
  <si>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</si>
  <si>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</si>
  <si>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</si>
  <si>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</si>
  <si>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</si>
  <si>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</si>
  <si>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</si>
  <si>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</si>
  <si>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</si>
  <si>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</si>
  <si>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</si>
  <si>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</si>
  <si>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</si>
  <si>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</si>
  <si>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</si>
  <si>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</si>
  <si>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</si>
  <si>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</si>
  <si>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</si>
  <si>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</si>
  <si>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</si>
  <si>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</si>
  <si>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</si>
  <si>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</si>
  <si>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</si>
  <si>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</si>
  <si>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</si>
  <si>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</si>
  <si>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</si>
  <si>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</si>
  <si>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</si>
  <si>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</si>
  <si>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</si>
  <si>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</si>
  <si>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</si>
  <si>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</si>
  <si>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</si>
  <si>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</si>
  <si>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</si>
  <si>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</si>
  <si>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</si>
  <si>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</si>
  <si>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</si>
  <si>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</si>
  <si>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</si>
  <si>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</si>
  <si>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</si>
  <si>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</si>
  <si>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</si>
  <si>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</si>
  <si>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</si>
  <si>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</si>
  <si>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</si>
  <si>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</si>
  <si>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</si>
  <si>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</si>
  <si>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</si>
  <si>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</si>
  <si>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</si>
  <si>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</si>
  <si>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</si>
  <si>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</si>
  <si>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</si>
  <si>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</si>
  <si>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</si>
  <si>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</si>
  <si>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</si>
  <si>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</si>
  <si>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</si>
  <si>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</si>
  <si>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</si>
  <si>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</si>
  <si>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</si>
  <si>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</si>
  <si>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</si>
  <si>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</si>
  <si>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</si>
  <si>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</si>
  <si>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</si>
  <si>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</si>
  <si>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</si>
  <si>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</si>
  <si>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</si>
  <si>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</si>
  <si>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</si>
  <si>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</si>
  <si>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</si>
  <si>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1-1020-90</t>
  </si>
  <si>
    <t>Рабочий строитель среднего разряда 2</t>
  </si>
  <si>
    <t>чел.-ч</t>
  </si>
  <si>
    <t>030403</t>
  </si>
  <si>
    <t>ТСЭМ Московской обл., 030403, приказ Минстроя России №675/пр от 21.09.2015 г.</t>
  </si>
  <si>
    <t>Лебедки электрические тяговым усилием 19,62 кН (2 т)</t>
  </si>
  <si>
    <t>маш.-ч</t>
  </si>
  <si>
    <t>1-1033-90</t>
  </si>
  <si>
    <t>Рабочий строитель среднего разряда 3,3</t>
  </si>
  <si>
    <t>Затраты труда машинистов</t>
  </si>
  <si>
    <t>чел.час</t>
  </si>
  <si>
    <t>030401</t>
  </si>
  <si>
    <t>ТСЭМ Московской обл., 030401, приказ Минстроя России №675/пр от 21.09.2015 г.</t>
  </si>
  <si>
    <t>Лебедки электрические тяговым усилием до 5,79 кН (0,59 т)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</si>
  <si>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</si>
  <si>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</si>
  <si>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</si>
  <si>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</si>
  <si>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</si>
  <si>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</si>
  <si>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101-1305</t>
  </si>
  <si>
    <t>ТССЦ Московской обл., 101-1305, приказ Минстроя России №675/пр от 21.09.2015 г.</t>
  </si>
  <si>
    <t>Портландцемент общестроительного назначения бездобавочный, марки 400</t>
  </si>
  <si>
    <t>402-0004</t>
  </si>
  <si>
    <t>ТССЦ Московской обл., 402-0004, приказ Минстроя России №675/пр от 21.09.2015 г.</t>
  </si>
  <si>
    <t>Раствор готовый кладочный цементный марки 100</t>
  </si>
  <si>
    <t>м3</t>
  </si>
  <si>
    <t>1-1032-90</t>
  </si>
  <si>
    <t>Рабочий строитель среднего разряда 3,2</t>
  </si>
  <si>
    <t>400001</t>
  </si>
  <si>
    <t>ТСЭМ Московской обл., 400001, приказ Минстроя России №675/пр от 28.02.2017 № 264/пр</t>
  </si>
  <si>
    <t>Автомобили бортовые, грузоподъемность до 5 т</t>
  </si>
  <si>
    <t>101-1780</t>
  </si>
  <si>
    <t>ТССЦ Московской обл., 101-1780, приказ Минстроя России №675/пр от 28.02.2017 № 254/пр</t>
  </si>
  <si>
    <t>Эмульсия битумная для гидроизоляционных работ</t>
  </si>
  <si>
    <t>1-1036-90</t>
  </si>
  <si>
    <t>Рабочий строитель среднего разряда 3,6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</si>
  <si>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</si>
  <si>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</si>
  <si>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</si>
  <si>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</si>
  <si>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</si>
  <si>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</si>
  <si>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150401</t>
  </si>
  <si>
    <t>ТСЭМ Московской обл., 150401, приказ Минстроя России №675/пр от 21.09.2015 г.</t>
  </si>
  <si>
    <t>Горелки газопламенные</t>
  </si>
  <si>
    <t>ТСЭМ Московской обл., 400001, приказ Минстроя России №675/пр от 21.09.2015 г.</t>
  </si>
  <si>
    <t>101-2278</t>
  </si>
  <si>
    <t>ТССЦ Московской обл., 101-2278, приказ Минстроя России №675/пр от 21.09.2015 г.</t>
  </si>
  <si>
    <t>Пропан-бутан, смесь техническая</t>
  </si>
  <si>
    <t>кг</t>
  </si>
  <si>
    <t>1-1038-90</t>
  </si>
  <si>
    <t>Рабочий строитель среднего разряда 3,8</t>
  </si>
  <si>
    <t>101-9121</t>
  </si>
  <si>
    <t>ТССЦ Московской обл., 101-9121, приказ Минстроя России №675/пр от 21.09.2015 г.</t>
  </si>
  <si>
    <t>Материалы рулонные кровельные для верхнего слоя</t>
  </si>
  <si>
    <t>101-9122</t>
  </si>
  <si>
    <t>ТССЦ Московской обл., 101-9122, приказ Минстроя России №675/пр от 21.09.2015 г.</t>
  </si>
  <si>
    <t>Материалы рулонные кровельные для нижних слоев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</si>
  <si>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</si>
  <si>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</si>
  <si>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</si>
  <si>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</si>
  <si>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</si>
  <si>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</si>
  <si>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</si>
  <si>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</si>
  <si>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</si>
  <si>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</si>
  <si>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</si>
  <si>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</si>
  <si>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</si>
  <si>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</si>
  <si>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</si>
  <si>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</si>
  <si>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</si>
  <si>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</si>
  <si>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</si>
  <si>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</si>
  <si>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</si>
  <si>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</si>
  <si>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</si>
  <si>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</si>
  <si>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</si>
  <si>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</si>
  <si>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</si>
  <si>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</si>
  <si>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</si>
  <si>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</si>
  <si>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</si>
  <si>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</si>
  <si>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</si>
  <si>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</si>
  <si>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</si>
  <si>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</si>
  <si>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</si>
  <si>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</si>
  <si>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</si>
  <si>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</si>
  <si>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>Материальные ресурсы</t>
  </si>
  <si>
    <r>
      <t>12-01-016-2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</si>
  <si>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12-01-004-4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</si>
  <si>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12-01-002-9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</si>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</sst>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9"/>
  <sheetViews>
    <sheetView tabSelected="1" topLeftCell="A10" zoomScaleNormal="100" workbookViewId="0">
      <selection activeCell="A47" sqref="A47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1" t="s">
        <v>270</v>
      </c>
      <c r="C3" s="81"/>
      <c r="D3" s="81"/>
      <c r="E3" s="81"/>
      <c r="F3" s="11"/>
      <c r="G3" s="11"/>
      <c r="H3" s="81" t="s">
        <v>271</v>
      </c>
      <c r="I3" s="81"/>
      <c r="J3" s="81"/>
      <c r="K3" s="81"/>
      <c r="L3" s="81"/>
    </row>
    <row r="4" spans="1:12" ht="14.25">
      <c r="A4" s="11"/>
      <c r="B4" s="61"/>
      <c r="C4" s="61"/>
      <c r="D4" s="61"/>
      <c r="E4" s="61"/>
      <c r="F4" s="11"/>
      <c r="G4" s="11"/>
      <c r="H4" s="61"/>
      <c r="I4" s="61"/>
      <c r="J4" s="61"/>
      <c r="K4" s="61"/>
      <c r="L4" s="61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1" t="str">
        <f>CONCATENATE("______________________ ", IF(Source!AL12&lt;&gt;"", Source!AL12, ""))</f>
        <v xml:space="preserve">______________________ </v>
      </c>
      <c r="C6" s="61"/>
      <c r="D6" s="61"/>
      <c r="E6" s="61"/>
      <c r="F6" s="11"/>
      <c r="G6" s="11"/>
      <c r="H6" s="61" t="str">
        <f>CONCATENATE("______________________ ", IF(Source!AH12&lt;&gt;"", Source!AH12, ""))</f>
        <v xml:space="preserve">______________________ </v>
      </c>
      <c r="I6" s="61"/>
      <c r="J6" s="61"/>
      <c r="K6" s="61"/>
      <c r="L6" s="61"/>
    </row>
    <row r="7" spans="1:12" ht="14.25">
      <c r="A7" s="16"/>
      <c r="B7" s="79" t="s">
        <v>272</v>
      </c>
      <c r="C7" s="79"/>
      <c r="D7" s="79"/>
      <c r="E7" s="79"/>
      <c r="F7" s="11"/>
      <c r="G7" s="11"/>
      <c r="H7" s="79" t="s">
        <v>272</v>
      </c>
      <c r="I7" s="79"/>
      <c r="J7" s="79"/>
      <c r="K7" s="79"/>
      <c r="L7" s="79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0" t="s">
        <v>273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2" t="s">
        <v>274</v>
      </c>
      <c r="G13" s="62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Ремонт мягкой кровли в Куровском 2021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275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276</v>
      </c>
      <c r="H25" s="78"/>
      <c r="I25" s="78" t="s">
        <v>277</v>
      </c>
      <c r="J25" s="78"/>
      <c r="K25" s="11"/>
      <c r="L25" s="11"/>
    </row>
    <row r="26" spans="1:12" ht="15">
      <c r="A26" s="11"/>
      <c r="B26" s="11"/>
      <c r="C26" s="70" t="s">
        <v>278</v>
      </c>
      <c r="D26" s="70"/>
      <c r="E26" s="70"/>
      <c r="F26" s="70"/>
      <c r="G26" s="71">
        <f>SUM(O1:O107)/1000</f>
        <v>245.39031000000003</v>
      </c>
      <c r="H26" s="71"/>
      <c r="I26" s="71">
        <f>(Source!F97/1000)</f>
        <v>513.97069999999997</v>
      </c>
      <c r="J26" s="71"/>
      <c r="K26" s="72" t="s">
        <v>279</v>
      </c>
      <c r="L26" s="72"/>
    </row>
    <row r="27" spans="1:12" ht="14.25">
      <c r="A27" s="11"/>
      <c r="B27" s="11"/>
      <c r="C27" s="73" t="s">
        <v>280</v>
      </c>
      <c r="D27" s="73"/>
      <c r="E27" s="73"/>
      <c r="F27" s="73"/>
      <c r="G27" s="71">
        <f>SUM(W1:W107)/1000</f>
        <v>245.39031</v>
      </c>
      <c r="H27" s="71"/>
      <c r="I27" s="71">
        <f>(Source!F84)/1000</f>
        <v>428.30890000000005</v>
      </c>
      <c r="J27" s="71"/>
      <c r="K27" s="72" t="s">
        <v>279</v>
      </c>
      <c r="L27" s="72"/>
    </row>
    <row r="28" spans="1:12" ht="14.25">
      <c r="A28" s="11"/>
      <c r="B28" s="11"/>
      <c r="C28" s="73" t="s">
        <v>281</v>
      </c>
      <c r="D28" s="73"/>
      <c r="E28" s="73"/>
      <c r="F28" s="73"/>
      <c r="G28" s="71">
        <f>SUM(X1:X107)/1000</f>
        <v>0</v>
      </c>
      <c r="H28" s="71"/>
      <c r="I28" s="71">
        <f>(Source!F85)/1000</f>
        <v>0</v>
      </c>
      <c r="J28" s="71"/>
      <c r="K28" s="72" t="s">
        <v>279</v>
      </c>
      <c r="L28" s="72"/>
    </row>
    <row r="29" spans="1:12" ht="14.25">
      <c r="A29" s="11"/>
      <c r="B29" s="11"/>
      <c r="C29" s="73" t="s">
        <v>282</v>
      </c>
      <c r="D29" s="73"/>
      <c r="E29" s="73"/>
      <c r="F29" s="73"/>
      <c r="G29" s="71">
        <f>SUM(Y1:Y107)/1000</f>
        <v>0</v>
      </c>
      <c r="H29" s="71"/>
      <c r="I29" s="71">
        <f>(Source!F76)/1000</f>
        <v>0</v>
      </c>
      <c r="J29" s="71"/>
      <c r="K29" s="72" t="s">
        <v>279</v>
      </c>
      <c r="L29" s="72"/>
    </row>
    <row r="30" spans="1:12" ht="14.25">
      <c r="A30" s="11"/>
      <c r="B30" s="11"/>
      <c r="C30" s="73" t="s">
        <v>283</v>
      </c>
      <c r="D30" s="73"/>
      <c r="E30" s="73"/>
      <c r="F30" s="73"/>
      <c r="G30" s="71">
        <f>SUM(Z1:Z107)/1000</f>
        <v>0</v>
      </c>
      <c r="H30" s="71"/>
      <c r="I30" s="71">
        <f>(Source!F86+Source!F87)/1000</f>
        <v>0</v>
      </c>
      <c r="J30" s="71"/>
      <c r="K30" s="72" t="s">
        <v>279</v>
      </c>
      <c r="L30" s="72"/>
    </row>
    <row r="31" spans="1:12" ht="15">
      <c r="A31" s="11"/>
      <c r="B31" s="11"/>
      <c r="C31" s="70" t="s">
        <v>284</v>
      </c>
      <c r="D31" s="70"/>
      <c r="E31" s="70"/>
      <c r="F31" s="70"/>
      <c r="G31" s="71">
        <f>I31</f>
        <v>216.409426</v>
      </c>
      <c r="H31" s="71"/>
      <c r="I31" s="71">
        <f>(Source!F89+Source!F90)</f>
        <v>216.409426</v>
      </c>
      <c r="J31" s="71"/>
      <c r="K31" s="72" t="s">
        <v>285</v>
      </c>
      <c r="L31" s="72"/>
    </row>
    <row r="32" spans="1:12" ht="15">
      <c r="A32" s="11"/>
      <c r="B32" s="11"/>
      <c r="C32" s="70" t="s">
        <v>286</v>
      </c>
      <c r="D32" s="70"/>
      <c r="E32" s="70"/>
      <c r="F32" s="70"/>
      <c r="G32" s="71">
        <f>SUM(R1:R107)/1000</f>
        <v>1.9052200000000001</v>
      </c>
      <c r="H32" s="71"/>
      <c r="I32" s="71">
        <f>(Source!F82+ Source!F81)/1000</f>
        <v>62.967359999999999</v>
      </c>
      <c r="J32" s="71"/>
      <c r="K32" s="72" t="s">
        <v>279</v>
      </c>
      <c r="L32" s="72"/>
    </row>
    <row r="33" spans="1:22" ht="14.25" hidden="1">
      <c r="A33" s="11"/>
      <c r="B33" s="11"/>
      <c r="C33" s="73" t="s">
        <v>124</v>
      </c>
      <c r="D33" s="73"/>
      <c r="E33" s="73"/>
      <c r="F33" s="73"/>
      <c r="G33" s="71"/>
      <c r="H33" s="71"/>
      <c r="I33" s="71"/>
      <c r="J33" s="71"/>
      <c r="K33" s="23" t="s">
        <v>279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287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288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301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289</v>
      </c>
      <c r="B39" s="28" t="s">
        <v>290</v>
      </c>
      <c r="C39" s="28" t="s">
        <v>291</v>
      </c>
      <c r="D39" s="28" t="s">
        <v>292</v>
      </c>
      <c r="E39" s="28" t="s">
        <v>293</v>
      </c>
      <c r="F39" s="28" t="s">
        <v>294</v>
      </c>
      <c r="G39" s="28" t="s">
        <v>295</v>
      </c>
      <c r="H39" s="28" t="s">
        <v>296</v>
      </c>
      <c r="I39" s="28" t="s">
        <v>297</v>
      </c>
      <c r="J39" s="28" t="s">
        <v>298</v>
      </c>
      <c r="K39" s="28" t="s">
        <v>299</v>
      </c>
      <c r="L39" s="28" t="s">
        <v>300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3" t="str">
        <f>CONCATENATE("Локальная смета: ",IF(Source!G20&lt;&gt;"Новая локальная смета", Source!G20, ""))</f>
        <v xml:space="preserve">Локальная смета: 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22" ht="42.75">
      <c r="A43" s="23" t="str">
        <f>Source!E24</f>
        <v>2</v>
      </c>
      <c r="B43" s="55" t="str">
        <f>Source!F24</f>
        <v>46-04-008-1</v>
      </c>
      <c r="C43" s="55" t="str">
        <f>Source!G24</f>
        <v>Разборка покрытий кровель из рулонных материалов</v>
      </c>
      <c r="D43" s="37" t="str">
        <f>Source!H24</f>
        <v>100 м2 покрытия</v>
      </c>
      <c r="E43" s="10">
        <f>Source!I24</f>
        <v>4.984</v>
      </c>
      <c r="F43" s="38">
        <f>Source!AL24+Source!AM24+Source!AO24</f>
        <v>153.59</v>
      </c>
      <c r="G43" s="39"/>
      <c r="H43" s="40"/>
      <c r="I43" s="39" t="str">
        <f>Source!BO24</f>
        <v>46-04-008-1</v>
      </c>
      <c r="J43" s="39"/>
      <c r="K43" s="40"/>
      <c r="L43" s="41"/>
      <c r="S43">
        <f>ROUND((Source!FX24/100)*((ROUND(Source!AF24*Source!I24, 2)+ROUND(Source!AE24*Source!I24, 2))), 2)</f>
        <v>553.41999999999996</v>
      </c>
      <c r="T43">
        <f>Source!X24</f>
        <v>18290.38</v>
      </c>
      <c r="U43">
        <f>ROUND((Source!FY24/100)*((ROUND(Source!AF24*Source!I24, 2)+ROUND(Source!AE24*Source!I24, 2))), 2)</f>
        <v>332.61</v>
      </c>
      <c r="V43">
        <f>Source!Y24</f>
        <v>11085.08</v>
      </c>
    </row>
    <row r="44" spans="1:22">
      <c r="C44" s="31" t="str">
        <f>"Объем: "&amp;Source!I24&amp;"=498,4/"&amp;"100"</f>
        <v>Объем: 4,984=498,4/100</v>
      </c>
    </row>
    <row r="45" spans="1:22" ht="14.25">
      <c r="A45" s="23"/>
      <c r="B45" s="55"/>
      <c r="C45" s="55" t="s">
        <v>302</v>
      </c>
      <c r="D45" s="37"/>
      <c r="E45" s="10"/>
      <c r="F45" s="38">
        <f>Source!AO24</f>
        <v>112.16</v>
      </c>
      <c r="G45" s="39" t="str">
        <f>Source!DG24</f>
        <v/>
      </c>
      <c r="H45" s="40">
        <f>ROUND(Source!AF24*Source!I24, 2)</f>
        <v>559.01</v>
      </c>
      <c r="I45" s="39"/>
      <c r="J45" s="39">
        <f>IF(Source!BA24&lt;&gt; 0, Source!BA24, 1)</f>
        <v>33.049999999999997</v>
      </c>
      <c r="K45" s="40">
        <f>Source!S24</f>
        <v>18475.13</v>
      </c>
      <c r="L45" s="41"/>
      <c r="R45">
        <f>H45</f>
        <v>559.01</v>
      </c>
    </row>
    <row r="46" spans="1:22" ht="14.25">
      <c r="A46" s="23"/>
      <c r="B46" s="55"/>
      <c r="C46" s="55" t="s">
        <v>106</v>
      </c>
      <c r="D46" s="37"/>
      <c r="E46" s="10"/>
      <c r="F46" s="38">
        <f>Source!AM24</f>
        <v>41.43</v>
      </c>
      <c r="G46" s="39" t="str">
        <f>Source!DE24</f>
        <v/>
      </c>
      <c r="H46" s="40">
        <f>ROUND(Source!AD24*Source!I24, 2)</f>
        <v>206.49</v>
      </c>
      <c r="I46" s="39"/>
      <c r="J46" s="39">
        <f>IF(Source!BB24&lt;&gt; 0, Source!BB24, 1)</f>
        <v>8.11</v>
      </c>
      <c r="K46" s="40">
        <f>Source!Q24</f>
        <v>1674.61</v>
      </c>
      <c r="L46" s="41"/>
    </row>
    <row r="47" spans="1:22" ht="14.25">
      <c r="A47" s="23"/>
      <c r="B47" s="55"/>
      <c r="C47" s="55" t="s">
        <v>303</v>
      </c>
      <c r="D47" s="37" t="s">
        <v>304</v>
      </c>
      <c r="E47" s="10">
        <f>Source!BZ24</f>
        <v>110</v>
      </c>
      <c r="F47" s="61" t="str">
        <f>CONCATENATE(" )", Source!DL24, Source!FT24, "=", Source!FX24)</f>
        <v xml:space="preserve"> )*0,9=99</v>
      </c>
      <c r="G47" s="62"/>
      <c r="H47" s="40">
        <f>SUM(S43:S49)</f>
        <v>553.41999999999996</v>
      </c>
      <c r="I47" s="42"/>
      <c r="J47" s="36">
        <f>Source!AT24</f>
        <v>99</v>
      </c>
      <c r="K47" s="40">
        <f>SUM(T43:T49)</f>
        <v>18290.38</v>
      </c>
      <c r="L47" s="41"/>
    </row>
    <row r="48" spans="1:22" ht="14.25">
      <c r="A48" s="23"/>
      <c r="B48" s="55"/>
      <c r="C48" s="55" t="s">
        <v>305</v>
      </c>
      <c r="D48" s="37" t="s">
        <v>304</v>
      </c>
      <c r="E48" s="10">
        <f>Source!CA24</f>
        <v>70</v>
      </c>
      <c r="F48" s="61" t="str">
        <f>CONCATENATE(" )", Source!DM24, Source!FU24, "=", Source!FY24)</f>
        <v xml:space="preserve"> )*0,85=59,5</v>
      </c>
      <c r="G48" s="62"/>
      <c r="H48" s="40">
        <f>SUM(U43:U49)</f>
        <v>332.61</v>
      </c>
      <c r="I48" s="42"/>
      <c r="J48" s="36">
        <f>Source!AU24</f>
        <v>60</v>
      </c>
      <c r="K48" s="40">
        <f>SUM(V43:V49)</f>
        <v>11085.08</v>
      </c>
      <c r="L48" s="41"/>
    </row>
    <row r="49" spans="1:26" ht="14.25">
      <c r="A49" s="56"/>
      <c r="B49" s="57"/>
      <c r="C49" s="57" t="s">
        <v>306</v>
      </c>
      <c r="D49" s="43" t="s">
        <v>307</v>
      </c>
      <c r="E49" s="44">
        <f>Source!AQ24</f>
        <v>14.38</v>
      </c>
      <c r="F49" s="45"/>
      <c r="G49" s="46" t="str">
        <f>Source!DI24</f>
        <v/>
      </c>
      <c r="H49" s="47"/>
      <c r="I49" s="46"/>
      <c r="J49" s="46"/>
      <c r="K49" s="47"/>
      <c r="L49" s="48">
        <f>Source!U24</f>
        <v>71.669920000000005</v>
      </c>
    </row>
    <row r="50" spans="1:26" ht="15">
      <c r="G50" s="60">
        <f>H45+H46+H47+H48</f>
        <v>1651.5300000000002</v>
      </c>
      <c r="H50" s="60"/>
      <c r="J50" s="60">
        <f>K45+K46+K47+K48</f>
        <v>49525.200000000004</v>
      </c>
      <c r="K50" s="60"/>
      <c r="L50" s="49">
        <f>Source!U24</f>
        <v>71.669920000000005</v>
      </c>
      <c r="O50" s="32">
        <f>G50</f>
        <v>1651.5300000000002</v>
      </c>
      <c r="P50" s="32">
        <f>J50</f>
        <v>49525.200000000004</v>
      </c>
      <c r="Q50" s="32">
        <f>L50</f>
        <v>71.669920000000005</v>
      </c>
      <c r="W50">
        <f>IF(Source!BI24&lt;=1,H45+H46+H47+H48, 0)</f>
        <v>1651.5300000000002</v>
      </c>
      <c r="X50">
        <f>IF(Source!BI24=2,H45+H46+H47+H48, 0)</f>
        <v>0</v>
      </c>
      <c r="Y50">
        <f>IF(Source!BI24=3,H45+H46+H47+H48, 0)</f>
        <v>0</v>
      </c>
      <c r="Z50">
        <f>IF(Source!BI24=4,H45+H46+H47+H48, 0)</f>
        <v>0</v>
      </c>
    </row>
    <row r="51" spans="1:26" ht="28.5">
      <c r="A51" s="23" t="str">
        <f>Source!E25</f>
        <v>4</v>
      </c>
      <c r="B51" s="55" t="str">
        <f>Source!F25</f>
        <v>58-16-2</v>
      </c>
      <c r="C51" s="55" t="str">
        <f>Source!G25</f>
        <v>Ремонт цементной стяжки площадью заделки до 0,5 м2</v>
      </c>
      <c r="D51" s="37" t="str">
        <f>Source!H25</f>
        <v>100 мест</v>
      </c>
      <c r="E51" s="10">
        <f>Source!I25</f>
        <v>0.1</v>
      </c>
      <c r="F51" s="38">
        <f>Source!AL25+Source!AM25+Source!AO25</f>
        <v>1225.1100000000001</v>
      </c>
      <c r="G51" s="39"/>
      <c r="H51" s="40"/>
      <c r="I51" s="39" t="str">
        <f>Source!BO25</f>
        <v>58-16-2</v>
      </c>
      <c r="J51" s="39"/>
      <c r="K51" s="40"/>
      <c r="L51" s="41"/>
      <c r="S51">
        <f>ROUND((Source!FX25/100)*((ROUND(Source!AF25*Source!I25, 2)+ROUND(Source!AE25*Source!I25, 2))), 2)</f>
        <v>55.94</v>
      </c>
      <c r="T51">
        <f>Source!X25</f>
        <v>1848.88</v>
      </c>
      <c r="U51">
        <f>ROUND((Source!FY25/100)*((ROUND(Source!AF25*Source!I25, 2)+ROUND(Source!AE25*Source!I25, 2))), 2)</f>
        <v>43.81</v>
      </c>
      <c r="V51">
        <f>Source!Y25</f>
        <v>1447.92</v>
      </c>
    </row>
    <row r="52" spans="1:26">
      <c r="C52" s="31" t="str">
        <f>"Объем: "&amp;Source!I25&amp;"=10/"&amp;"100"</f>
        <v>Объем: 0,1=10/100</v>
      </c>
    </row>
    <row r="53" spans="1:26" ht="14.25">
      <c r="A53" s="23"/>
      <c r="B53" s="55"/>
      <c r="C53" s="55" t="s">
        <v>302</v>
      </c>
      <c r="D53" s="37"/>
      <c r="E53" s="10"/>
      <c r="F53" s="38">
        <f>Source!AO25</f>
        <v>667.16</v>
      </c>
      <c r="G53" s="39" t="str">
        <f>Source!DG25</f>
        <v/>
      </c>
      <c r="H53" s="40">
        <f>ROUND(Source!AF25*Source!I25, 2)</f>
        <v>66.72</v>
      </c>
      <c r="I53" s="39"/>
      <c r="J53" s="39">
        <f>IF(Source!BA25&lt;&gt; 0, Source!BA25, 1)</f>
        <v>33.049999999999997</v>
      </c>
      <c r="K53" s="40">
        <f>Source!S25</f>
        <v>2204.96</v>
      </c>
      <c r="L53" s="41"/>
      <c r="R53">
        <f>H53</f>
        <v>66.72</v>
      </c>
    </row>
    <row r="54" spans="1:26" ht="14.25">
      <c r="A54" s="23"/>
      <c r="B54" s="55"/>
      <c r="C54" s="55" t="s">
        <v>106</v>
      </c>
      <c r="D54" s="37"/>
      <c r="E54" s="10"/>
      <c r="F54" s="38">
        <f>Source!AM25</f>
        <v>34.44</v>
      </c>
      <c r="G54" s="39" t="str">
        <f>Source!DE25</f>
        <v/>
      </c>
      <c r="H54" s="40">
        <f>ROUND(Source!AD25*Source!I25, 2)</f>
        <v>3.44</v>
      </c>
      <c r="I54" s="39"/>
      <c r="J54" s="39">
        <f>IF(Source!BB25&lt;&gt; 0, Source!BB25, 1)</f>
        <v>11.28</v>
      </c>
      <c r="K54" s="40">
        <f>Source!Q25</f>
        <v>38.85</v>
      </c>
      <c r="L54" s="41"/>
    </row>
    <row r="55" spans="1:26" ht="14.25">
      <c r="A55" s="23"/>
      <c r="B55" s="55"/>
      <c r="C55" s="55" t="s">
        <v>308</v>
      </c>
      <c r="D55" s="37"/>
      <c r="E55" s="10"/>
      <c r="F55" s="38">
        <f>Source!AN25</f>
        <v>6.84</v>
      </c>
      <c r="G55" s="39" t="str">
        <f>Source!DF25</f>
        <v/>
      </c>
      <c r="H55" s="50">
        <f>ROUND(Source!AE25*Source!I25, 2)</f>
        <v>0.68</v>
      </c>
      <c r="I55" s="39"/>
      <c r="J55" s="39">
        <f>IF(Source!BS25&lt;&gt; 0, Source!BS25, 1)</f>
        <v>33.049999999999997</v>
      </c>
      <c r="K55" s="50">
        <f>Source!R25</f>
        <v>22.61</v>
      </c>
      <c r="L55" s="41"/>
      <c r="R55">
        <f>H55</f>
        <v>0.68</v>
      </c>
    </row>
    <row r="56" spans="1:26" ht="14.25">
      <c r="A56" s="23"/>
      <c r="B56" s="55"/>
      <c r="C56" s="55" t="s">
        <v>309</v>
      </c>
      <c r="D56" s="37"/>
      <c r="E56" s="10"/>
      <c r="F56" s="38">
        <f>Source!AL25</f>
        <v>523.51</v>
      </c>
      <c r="G56" s="39" t="str">
        <f>Source!DD25</f>
        <v/>
      </c>
      <c r="H56" s="40">
        <f>ROUND(Source!AC25*Source!I25, 2)</f>
        <v>52.35</v>
      </c>
      <c r="I56" s="39"/>
      <c r="J56" s="39">
        <f>IF(Source!BC25&lt;&gt; 0, Source!BC25, 1)</f>
        <v>6.24</v>
      </c>
      <c r="K56" s="40">
        <f>Source!P25</f>
        <v>326.67</v>
      </c>
      <c r="L56" s="41"/>
    </row>
    <row r="57" spans="1:26" ht="14.25">
      <c r="A57" s="23"/>
      <c r="B57" s="55"/>
      <c r="C57" s="55" t="s">
        <v>303</v>
      </c>
      <c r="D57" s="37" t="s">
        <v>304</v>
      </c>
      <c r="E57" s="10">
        <f>Source!BZ25</f>
        <v>83</v>
      </c>
      <c r="F57" s="58"/>
      <c r="G57" s="39"/>
      <c r="H57" s="40">
        <f>SUM(S51:S60)</f>
        <v>55.94</v>
      </c>
      <c r="I57" s="42"/>
      <c r="J57" s="36">
        <f>Source!AT25</f>
        <v>83</v>
      </c>
      <c r="K57" s="40">
        <f>SUM(T51:T60)</f>
        <v>1848.88</v>
      </c>
      <c r="L57" s="41"/>
    </row>
    <row r="58" spans="1:26" ht="14.25">
      <c r="A58" s="23"/>
      <c r="B58" s="55"/>
      <c r="C58" s="55" t="s">
        <v>305</v>
      </c>
      <c r="D58" s="37" t="s">
        <v>304</v>
      </c>
      <c r="E58" s="10">
        <f>Source!CA25</f>
        <v>65</v>
      </c>
      <c r="F58" s="58"/>
      <c r="G58" s="39"/>
      <c r="H58" s="40">
        <f>SUM(U51:U60)</f>
        <v>43.81</v>
      </c>
      <c r="I58" s="42"/>
      <c r="J58" s="36">
        <f>Source!AU25</f>
        <v>65</v>
      </c>
      <c r="K58" s="40">
        <f>SUM(V51:V60)</f>
        <v>1447.92</v>
      </c>
      <c r="L58" s="41"/>
    </row>
    <row r="59" spans="1:26" ht="14.25">
      <c r="A59" s="23"/>
      <c r="B59" s="55"/>
      <c r="C59" s="55" t="s">
        <v>306</v>
      </c>
      <c r="D59" s="37" t="s">
        <v>307</v>
      </c>
      <c r="E59" s="10">
        <f>Source!AQ25</f>
        <v>75.3</v>
      </c>
      <c r="F59" s="38"/>
      <c r="G59" s="39" t="str">
        <f>Source!DI25</f>
        <v/>
      </c>
      <c r="H59" s="40"/>
      <c r="I59" s="39"/>
      <c r="J59" s="39"/>
      <c r="K59" s="40"/>
      <c r="L59" s="51">
        <f>Source!U25</f>
        <v>7.53</v>
      </c>
    </row>
    <row r="60" spans="1:26" ht="14.25">
      <c r="A60" s="56" t="str">
        <f>Source!E26</f>
        <v>4,1</v>
      </c>
      <c r="B60" s="57" t="str">
        <f>Source!F26</f>
        <v>509-9900</v>
      </c>
      <c r="C60" s="57" t="str">
        <f>Source!G26</f>
        <v>Строительный мусор</v>
      </c>
      <c r="D60" s="43" t="str">
        <f>Source!H26</f>
        <v>т</v>
      </c>
      <c r="E60" s="44">
        <f>Source!I26</f>
        <v>7.0000000000000007E-2</v>
      </c>
      <c r="F60" s="45">
        <f>Source!AL26+Source!AM26+Source!AO26</f>
        <v>0</v>
      </c>
      <c r="G60" s="52" t="s">
        <v>3</v>
      </c>
      <c r="H60" s="47">
        <f>ROUND(Source!AC26*Source!I26, 2)+ROUND(Source!AD26*Source!I26, 2)+ROUND(Source!AF26*Source!I26, 2)</f>
        <v>0</v>
      </c>
      <c r="I60" s="46"/>
      <c r="J60" s="46">
        <f>IF(Source!BC26&lt;&gt; 0, Source!BC26, 1)</f>
        <v>1</v>
      </c>
      <c r="K60" s="47">
        <f>Source!O26</f>
        <v>0</v>
      </c>
      <c r="L60" s="53"/>
      <c r="S60">
        <f>ROUND((Source!FX26/100)*((ROUND(Source!AF26*Source!I26, 2)+ROUND(Source!AE26*Source!I26, 2))), 2)</f>
        <v>0</v>
      </c>
      <c r="T60">
        <f>Source!X26</f>
        <v>0</v>
      </c>
      <c r="U60">
        <f>ROUND((Source!FY26/100)*((ROUND(Source!AF26*Source!I26, 2)+ROUND(Source!AE26*Source!I26, 2))), 2)</f>
        <v>0</v>
      </c>
      <c r="V60">
        <f>Source!Y26</f>
        <v>0</v>
      </c>
      <c r="W60">
        <f>IF(Source!BI26&lt;=1,H60, 0)</f>
        <v>0</v>
      </c>
      <c r="X60">
        <f>IF(Source!BI26=2,H60, 0)</f>
        <v>0</v>
      </c>
      <c r="Y60">
        <f>IF(Source!BI26=3,H60, 0)</f>
        <v>0</v>
      </c>
      <c r="Z60">
        <f>IF(Source!BI26=4,H60, 0)</f>
        <v>0</v>
      </c>
    </row>
    <row r="61" spans="1:26" ht="15">
      <c r="G61" s="60">
        <f>H53+H54+H56+H57+H58+SUM(H60:H60)</f>
        <v>222.26</v>
      </c>
      <c r="H61" s="60"/>
      <c r="J61" s="60">
        <f>K53+K54+K56+K57+K58+SUM(K60:K60)</f>
        <v>5867.2800000000007</v>
      </c>
      <c r="K61" s="60"/>
      <c r="L61" s="49">
        <f>Source!U25</f>
        <v>7.53</v>
      </c>
      <c r="O61" s="32">
        <f>G61</f>
        <v>222.26</v>
      </c>
      <c r="P61" s="32">
        <f>J61</f>
        <v>5867.2800000000007</v>
      </c>
      <c r="Q61" s="32">
        <f>L61</f>
        <v>7.53</v>
      </c>
      <c r="W61">
        <f>IF(Source!BI25&lt;=1,H53+H54+H56+H57+H58, 0)</f>
        <v>222.26</v>
      </c>
      <c r="X61">
        <f>IF(Source!BI25=2,H53+H54+H56+H57+H58, 0)</f>
        <v>0</v>
      </c>
      <c r="Y61">
        <f>IF(Source!BI25=3,H53+H54+H56+H57+H58, 0)</f>
        <v>0</v>
      </c>
      <c r="Z61">
        <f>IF(Source!BI25=4,H53+H54+H56+H57+H58, 0)</f>
        <v>0</v>
      </c>
    </row>
    <row r="62" spans="1:26" ht="79.5">
      <c r="A62" s="23" t="str">
        <f>Source!E27</f>
        <v>5</v>
      </c>
      <c r="B62" s="55" t="s">
        <v>310</v>
      </c>
      <c r="C62" s="55" t="str">
        <f>Source!G27</f>
        <v>Огрунтовка оснований из бетона или раствора под водоизоляционный кровельный ковер готовой эмульсией битумной</v>
      </c>
      <c r="D62" s="37" t="str">
        <f>Source!H27</f>
        <v>100 м2 кровли</v>
      </c>
      <c r="E62" s="10">
        <f>Source!I27</f>
        <v>4.984</v>
      </c>
      <c r="F62" s="38">
        <f>Source!AL27+Source!AM27+Source!AO27</f>
        <v>117.96</v>
      </c>
      <c r="G62" s="39"/>
      <c r="H62" s="40"/>
      <c r="I62" s="39" t="str">
        <f>Source!BO27</f>
        <v>12-01-016-2</v>
      </c>
      <c r="J62" s="39"/>
      <c r="K62" s="40"/>
      <c r="L62" s="41"/>
      <c r="S62">
        <f>ROUND((Source!FX27/100)*((ROUND(Source!AF27*Source!I27, 2)+ROUND(Source!AE27*Source!I27, 2))), 2)</f>
        <v>151.47</v>
      </c>
      <c r="T62">
        <f>Source!X27</f>
        <v>5006.17</v>
      </c>
      <c r="U62">
        <f>ROUND((Source!FY27/100)*((ROUND(Source!AF27*Source!I27, 2)+ROUND(Source!AE27*Source!I27, 2))), 2)</f>
        <v>77.489999999999995</v>
      </c>
      <c r="V62">
        <f>Source!Y27</f>
        <v>2549.44</v>
      </c>
    </row>
    <row r="63" spans="1:26">
      <c r="C63" s="31" t="str">
        <f>"Объем: "&amp;Source!I27&amp;"=498,4/"&amp;"100"</f>
        <v>Объем: 4,984=498,4/100</v>
      </c>
    </row>
    <row r="64" spans="1:26" ht="14.25">
      <c r="A64" s="23"/>
      <c r="B64" s="55"/>
      <c r="C64" s="55" t="s">
        <v>302</v>
      </c>
      <c r="D64" s="37"/>
      <c r="E64" s="10"/>
      <c r="F64" s="38">
        <f>Source!AO27</f>
        <v>24.47</v>
      </c>
      <c r="G64" s="39" t="str">
        <f>Source!DG27</f>
        <v>)*1,15</v>
      </c>
      <c r="H64" s="40">
        <f>ROUND(Source!AF27*Source!I27, 2)</f>
        <v>140.25</v>
      </c>
      <c r="I64" s="39"/>
      <c r="J64" s="39">
        <f>IF(Source!BA27&lt;&gt; 0, Source!BA27, 1)</f>
        <v>33.049999999999997</v>
      </c>
      <c r="K64" s="40">
        <f>Source!S27</f>
        <v>4635.34</v>
      </c>
      <c r="L64" s="41"/>
      <c r="R64">
        <f>H64</f>
        <v>140.25</v>
      </c>
    </row>
    <row r="65" spans="1:26" ht="14.25">
      <c r="A65" s="23"/>
      <c r="B65" s="55"/>
      <c r="C65" s="55" t="s">
        <v>106</v>
      </c>
      <c r="D65" s="37"/>
      <c r="E65" s="10"/>
      <c r="F65" s="38">
        <f>Source!AM27</f>
        <v>3.49</v>
      </c>
      <c r="G65" s="39" t="str">
        <f>Source!DE27</f>
        <v>)*1,25</v>
      </c>
      <c r="H65" s="40">
        <f>ROUND(Source!AD27*Source!I27, 2)</f>
        <v>21.74</v>
      </c>
      <c r="I65" s="39"/>
      <c r="J65" s="39">
        <f>IF(Source!BB27&lt;&gt; 0, Source!BB27, 1)</f>
        <v>10.69</v>
      </c>
      <c r="K65" s="40">
        <f>Source!Q27</f>
        <v>232.43</v>
      </c>
      <c r="L65" s="41"/>
    </row>
    <row r="66" spans="1:26" ht="14.25">
      <c r="A66" s="23"/>
      <c r="B66" s="55"/>
      <c r="C66" s="55" t="s">
        <v>309</v>
      </c>
      <c r="D66" s="37"/>
      <c r="E66" s="10"/>
      <c r="F66" s="38">
        <f>Source!AL27</f>
        <v>90</v>
      </c>
      <c r="G66" s="39" t="str">
        <f>Source!DD27</f>
        <v/>
      </c>
      <c r="H66" s="40">
        <f>ROUND(Source!AC27*Source!I27, 2)</f>
        <v>448.56</v>
      </c>
      <c r="I66" s="39"/>
      <c r="J66" s="39">
        <f>IF(Source!BC27&lt;&gt; 0, Source!BC27, 1)</f>
        <v>15.47</v>
      </c>
      <c r="K66" s="40">
        <f>Source!P27</f>
        <v>6939.22</v>
      </c>
      <c r="L66" s="41"/>
    </row>
    <row r="67" spans="1:26" ht="14.25">
      <c r="A67" s="23"/>
      <c r="B67" s="55"/>
      <c r="C67" s="55" t="s">
        <v>303</v>
      </c>
      <c r="D67" s="37" t="s">
        <v>304</v>
      </c>
      <c r="E67" s="10">
        <f>Source!BZ27</f>
        <v>120</v>
      </c>
      <c r="F67" s="61" t="str">
        <f>CONCATENATE(" )", Source!DL27, Source!FT27, "=", Source!FX27)</f>
        <v xml:space="preserve"> )*0,9=108</v>
      </c>
      <c r="G67" s="62"/>
      <c r="H67" s="40">
        <f>SUM(S62:S69)</f>
        <v>151.47</v>
      </c>
      <c r="I67" s="42"/>
      <c r="J67" s="36">
        <f>Source!AT27</f>
        <v>108</v>
      </c>
      <c r="K67" s="40">
        <f>SUM(T62:T69)</f>
        <v>5006.17</v>
      </c>
      <c r="L67" s="41"/>
    </row>
    <row r="68" spans="1:26" ht="14.25">
      <c r="A68" s="23"/>
      <c r="B68" s="55"/>
      <c r="C68" s="55" t="s">
        <v>305</v>
      </c>
      <c r="D68" s="37" t="s">
        <v>304</v>
      </c>
      <c r="E68" s="10">
        <f>Source!CA27</f>
        <v>65</v>
      </c>
      <c r="F68" s="61" t="str">
        <f>CONCATENATE(" )", Source!DM27, Source!FU27, "=", Source!FY27)</f>
        <v xml:space="preserve"> )*0,85=55,25</v>
      </c>
      <c r="G68" s="62"/>
      <c r="H68" s="40">
        <f>SUM(U62:U69)</f>
        <v>77.489999999999995</v>
      </c>
      <c r="I68" s="42"/>
      <c r="J68" s="36">
        <f>Source!AU27</f>
        <v>55</v>
      </c>
      <c r="K68" s="40">
        <f>SUM(V62:V69)</f>
        <v>2549.44</v>
      </c>
      <c r="L68" s="41"/>
    </row>
    <row r="69" spans="1:26" ht="14.25">
      <c r="A69" s="56"/>
      <c r="B69" s="57"/>
      <c r="C69" s="57" t="s">
        <v>306</v>
      </c>
      <c r="D69" s="43" t="s">
        <v>307</v>
      </c>
      <c r="E69" s="44">
        <f>Source!AQ27</f>
        <v>2.8</v>
      </c>
      <c r="F69" s="45"/>
      <c r="G69" s="46" t="str">
        <f>Source!DI27</f>
        <v>)*1,15</v>
      </c>
      <c r="H69" s="47"/>
      <c r="I69" s="46"/>
      <c r="J69" s="46"/>
      <c r="K69" s="47"/>
      <c r="L69" s="48">
        <f>Source!U27</f>
        <v>16.048479999999998</v>
      </c>
    </row>
    <row r="70" spans="1:26" ht="15">
      <c r="G70" s="60">
        <f>H64+H65+H66+H67+H68</f>
        <v>839.51</v>
      </c>
      <c r="H70" s="60"/>
      <c r="J70" s="60">
        <f>K64+K65+K66+K67+K68</f>
        <v>19362.600000000002</v>
      </c>
      <c r="K70" s="60"/>
      <c r="L70" s="49">
        <f>Source!U27</f>
        <v>16.048479999999998</v>
      </c>
      <c r="O70" s="32">
        <f>G70</f>
        <v>839.51</v>
      </c>
      <c r="P70" s="32">
        <f>J70</f>
        <v>19362.600000000002</v>
      </c>
      <c r="Q70" s="32">
        <f>L70</f>
        <v>16.048479999999998</v>
      </c>
      <c r="W70">
        <f>IF(Source!BI27&lt;=1,H64+H65+H66+H67+H68, 0)</f>
        <v>839.51</v>
      </c>
      <c r="X70">
        <f>IF(Source!BI27=2,H64+H65+H66+H67+H68, 0)</f>
        <v>0</v>
      </c>
      <c r="Y70">
        <f>IF(Source!BI27=3,H64+H65+H66+H67+H68, 0)</f>
        <v>0</v>
      </c>
      <c r="Z70">
        <f>IF(Source!BI27=4,H64+H65+H66+H67+H68, 0)</f>
        <v>0</v>
      </c>
    </row>
    <row r="71" spans="1:26" ht="79.5">
      <c r="A71" s="23" t="str">
        <f>Source!E28</f>
        <v>9</v>
      </c>
      <c r="B71" s="55" t="s">
        <v>311</v>
      </c>
      <c r="C71" s="55" t="str">
        <f>Source!G28</f>
        <v>Устройство примыканий кровель из наплавляемых материалов к стенам и парапетам высотой до 600 мм без фартуков</v>
      </c>
      <c r="D71" s="37" t="str">
        <f>Source!H28</f>
        <v>100 м примыканий</v>
      </c>
      <c r="E71" s="10">
        <f>Source!I28</f>
        <v>0.9</v>
      </c>
      <c r="F71" s="38">
        <f>Source!AL28+Source!AM28+Source!AO28</f>
        <v>884.24</v>
      </c>
      <c r="G71" s="39"/>
      <c r="H71" s="40"/>
      <c r="I71" s="39" t="str">
        <f>Source!BO28</f>
        <v>12-01-004-4</v>
      </c>
      <c r="J71" s="39"/>
      <c r="K71" s="40"/>
      <c r="L71" s="41"/>
      <c r="S71">
        <f>ROUND((Source!FX28/100)*((ROUND(Source!AF28*Source!I28, 2)+ROUND(Source!AE28*Source!I28, 2))), 2)</f>
        <v>375.94</v>
      </c>
      <c r="T71">
        <f>Source!X28</f>
        <v>12424.55</v>
      </c>
      <c r="U71">
        <f>ROUND((Source!FY28/100)*((ROUND(Source!AF28*Source!I28, 2)+ROUND(Source!AE28*Source!I28, 2))), 2)</f>
        <v>192.32</v>
      </c>
      <c r="V71">
        <f>Source!Y28</f>
        <v>6327.32</v>
      </c>
    </row>
    <row r="72" spans="1:26">
      <c r="C72" s="31" t="str">
        <f>"Объем: "&amp;Source!I28&amp;"=90/"&amp;"100"</f>
        <v>Объем: 0,9=90/100</v>
      </c>
    </row>
    <row r="73" spans="1:26" ht="14.25">
      <c r="A73" s="23"/>
      <c r="B73" s="55"/>
      <c r="C73" s="55" t="s">
        <v>302</v>
      </c>
      <c r="D73" s="37"/>
      <c r="E73" s="10"/>
      <c r="F73" s="38">
        <f>Source!AO28</f>
        <v>325.89</v>
      </c>
      <c r="G73" s="39" t="str">
        <f>Source!DG28</f>
        <v>)*1,15</v>
      </c>
      <c r="H73" s="40">
        <f>ROUND(Source!AF28*Source!I28, 2)</f>
        <v>337.3</v>
      </c>
      <c r="I73" s="39"/>
      <c r="J73" s="39">
        <f>IF(Source!BA28&lt;&gt; 0, Source!BA28, 1)</f>
        <v>33.049999999999997</v>
      </c>
      <c r="K73" s="40">
        <f>Source!S28</f>
        <v>11147.64</v>
      </c>
      <c r="L73" s="41"/>
      <c r="R73">
        <f>H73</f>
        <v>337.3</v>
      </c>
    </row>
    <row r="74" spans="1:26" ht="14.25">
      <c r="A74" s="23"/>
      <c r="B74" s="55"/>
      <c r="C74" s="55" t="s">
        <v>106</v>
      </c>
      <c r="D74" s="37"/>
      <c r="E74" s="10"/>
      <c r="F74" s="38">
        <f>Source!AM28</f>
        <v>95.39</v>
      </c>
      <c r="G74" s="39" t="str">
        <f>Source!DE28</f>
        <v>)*1,25</v>
      </c>
      <c r="H74" s="40">
        <f>ROUND(Source!AD28*Source!I28, 2)</f>
        <v>107.31</v>
      </c>
      <c r="I74" s="39"/>
      <c r="J74" s="39">
        <f>IF(Source!BB28&lt;&gt; 0, Source!BB28, 1)</f>
        <v>9.27</v>
      </c>
      <c r="K74" s="40">
        <f>Source!Q28</f>
        <v>994.8</v>
      </c>
      <c r="L74" s="41"/>
    </row>
    <row r="75" spans="1:26" ht="14.25">
      <c r="A75" s="23"/>
      <c r="B75" s="55"/>
      <c r="C75" s="55" t="s">
        <v>308</v>
      </c>
      <c r="D75" s="37"/>
      <c r="E75" s="10"/>
      <c r="F75" s="38">
        <f>Source!AN28</f>
        <v>9.59</v>
      </c>
      <c r="G75" s="39" t="str">
        <f>Source!DF28</f>
        <v>)*1,25</v>
      </c>
      <c r="H75" s="50">
        <f>ROUND(Source!AE28*Source!I28, 2)</f>
        <v>10.79</v>
      </c>
      <c r="I75" s="39"/>
      <c r="J75" s="39">
        <f>IF(Source!BS28&lt;&gt; 0, Source!BS28, 1)</f>
        <v>33.049999999999997</v>
      </c>
      <c r="K75" s="50">
        <f>Source!R28</f>
        <v>356.57</v>
      </c>
      <c r="L75" s="41"/>
      <c r="R75">
        <f>H75</f>
        <v>10.79</v>
      </c>
    </row>
    <row r="76" spans="1:26" ht="14.25">
      <c r="A76" s="23"/>
      <c r="B76" s="55"/>
      <c r="C76" s="55" t="s">
        <v>309</v>
      </c>
      <c r="D76" s="37"/>
      <c r="E76" s="10"/>
      <c r="F76" s="38">
        <f>Source!AL28</f>
        <v>462.96</v>
      </c>
      <c r="G76" s="39" t="str">
        <f>Source!DD28</f>
        <v/>
      </c>
      <c r="H76" s="40">
        <f>ROUND(Source!AC28*Source!I28, 2)</f>
        <v>416.66</v>
      </c>
      <c r="I76" s="39"/>
      <c r="J76" s="39">
        <f>IF(Source!BC28&lt;&gt; 0, Source!BC28, 1)</f>
        <v>7.46</v>
      </c>
      <c r="K76" s="40">
        <f>Source!P28</f>
        <v>3108.31</v>
      </c>
      <c r="L76" s="41"/>
    </row>
    <row r="77" spans="1:26" ht="14.25">
      <c r="A77" s="23"/>
      <c r="B77" s="55"/>
      <c r="C77" s="55" t="s">
        <v>303</v>
      </c>
      <c r="D77" s="37" t="s">
        <v>304</v>
      </c>
      <c r="E77" s="10">
        <f>Source!BZ28</f>
        <v>120</v>
      </c>
      <c r="F77" s="61" t="str">
        <f>CONCATENATE(" )", Source!DL28, Source!FT28, "=", Source!FX28)</f>
        <v xml:space="preserve"> )*0,9=108</v>
      </c>
      <c r="G77" s="62"/>
      <c r="H77" s="40">
        <f>SUM(S71:S81)</f>
        <v>375.94</v>
      </c>
      <c r="I77" s="42"/>
      <c r="J77" s="36">
        <f>Source!AT28</f>
        <v>108</v>
      </c>
      <c r="K77" s="40">
        <f>SUM(T71:T81)</f>
        <v>12424.55</v>
      </c>
      <c r="L77" s="41"/>
    </row>
    <row r="78" spans="1:26" ht="14.25">
      <c r="A78" s="23"/>
      <c r="B78" s="55"/>
      <c r="C78" s="55" t="s">
        <v>305</v>
      </c>
      <c r="D78" s="37" t="s">
        <v>304</v>
      </c>
      <c r="E78" s="10">
        <f>Source!CA28</f>
        <v>65</v>
      </c>
      <c r="F78" s="61" t="str">
        <f>CONCATENATE(" )", Source!DM28, Source!FU28, "=", Source!FY28)</f>
        <v xml:space="preserve"> )*0,85=55,25</v>
      </c>
      <c r="G78" s="62"/>
      <c r="H78" s="40">
        <f>SUM(U71:U81)</f>
        <v>192.32</v>
      </c>
      <c r="I78" s="42"/>
      <c r="J78" s="36">
        <f>Source!AU28</f>
        <v>55</v>
      </c>
      <c r="K78" s="40">
        <f>SUM(V71:V81)</f>
        <v>6327.32</v>
      </c>
      <c r="L78" s="41"/>
    </row>
    <row r="79" spans="1:26" ht="14.25">
      <c r="A79" s="23"/>
      <c r="B79" s="55"/>
      <c r="C79" s="55" t="s">
        <v>306</v>
      </c>
      <c r="D79" s="37" t="s">
        <v>307</v>
      </c>
      <c r="E79" s="10">
        <f>Source!AQ28</f>
        <v>35.5</v>
      </c>
      <c r="F79" s="38"/>
      <c r="G79" s="39" t="str">
        <f>Source!DI28</f>
        <v>)*1,15</v>
      </c>
      <c r="H79" s="40"/>
      <c r="I79" s="39"/>
      <c r="J79" s="39"/>
      <c r="K79" s="40"/>
      <c r="L79" s="51">
        <f>Source!U28</f>
        <v>36.7425</v>
      </c>
    </row>
    <row r="80" spans="1:26" ht="14.25">
      <c r="A80" s="23" t="str">
        <f>Source!E29</f>
        <v>9,1</v>
      </c>
      <c r="B80" s="55" t="str">
        <f>Source!F29</f>
        <v>101-9123</v>
      </c>
      <c r="C80" s="55" t="str">
        <f>Source!G29</f>
        <v>Материалы рулонные кровельные</v>
      </c>
      <c r="D80" s="37" t="str">
        <f>Source!H29</f>
        <v>м2</v>
      </c>
      <c r="E80" s="10">
        <f>Source!I29</f>
        <v>226.8</v>
      </c>
      <c r="F80" s="38">
        <f>Source!AL29+Source!AM29+Source!AO29</f>
        <v>0</v>
      </c>
      <c r="G80" s="54" t="s">
        <v>3</v>
      </c>
      <c r="H80" s="40">
        <f>ROUND(Source!AC29*Source!I29, 2)+ROUND(Source!AD29*Source!I29, 2)+ROUND(Source!AF29*Source!I29, 2)</f>
        <v>0</v>
      </c>
      <c r="I80" s="39"/>
      <c r="J80" s="39">
        <f>IF(Source!BC29&lt;&gt; 0, Source!BC29, 1)</f>
        <v>1</v>
      </c>
      <c r="K80" s="40">
        <f>Source!O29</f>
        <v>0</v>
      </c>
      <c r="L80" s="41"/>
      <c r="S80">
        <f>ROUND((Source!FX29/100)*((ROUND(Source!AF29*Source!I29, 2)+ROUND(Source!AE29*Source!I29, 2))), 2)</f>
        <v>0</v>
      </c>
      <c r="T80">
        <f>Source!X29</f>
        <v>0</v>
      </c>
      <c r="U80">
        <f>ROUND((Source!FY29/100)*((ROUND(Source!AF29*Source!I29, 2)+ROUND(Source!AE29*Source!I29, 2))), 2)</f>
        <v>0</v>
      </c>
      <c r="V80">
        <f>Source!Y29</f>
        <v>0</v>
      </c>
      <c r="W80">
        <f>IF(Source!BI29&lt;=1,H80, 0)</f>
        <v>0</v>
      </c>
      <c r="X80">
        <f>IF(Source!BI29=2,H80, 0)</f>
        <v>0</v>
      </c>
      <c r="Y80">
        <f>IF(Source!BI29=3,H80, 0)</f>
        <v>0</v>
      </c>
      <c r="Z80">
        <f>IF(Source!BI29=4,H80, 0)</f>
        <v>0</v>
      </c>
    </row>
    <row r="81" spans="1:26" ht="42.75">
      <c r="A81" s="56" t="str">
        <f>Source!E30</f>
        <v>9,2</v>
      </c>
      <c r="B81" s="57" t="str">
        <f>Source!F30</f>
        <v>цена постовщика</v>
      </c>
      <c r="C81" s="57" t="str">
        <f>Source!G30</f>
        <v>рулонный кровельный материал техниколь</v>
      </c>
      <c r="D81" s="43" t="str">
        <f>Source!H30</f>
        <v>1 м2</v>
      </c>
      <c r="E81" s="44">
        <f>Source!I30</f>
        <v>226.8</v>
      </c>
      <c r="F81" s="45">
        <f>Source!AL30+Source!AM30+Source!AO30</f>
        <v>190</v>
      </c>
      <c r="G81" s="52" t="s">
        <v>3</v>
      </c>
      <c r="H81" s="47">
        <f>ROUND(Source!AC30*Source!I30, 2)+ROUND(Source!AD30*Source!I30, 2)+ROUND(Source!AF30*Source!I30, 2)</f>
        <v>43092</v>
      </c>
      <c r="I81" s="46"/>
      <c r="J81" s="46">
        <f>IF(Source!BC30&lt;&gt; 0, Source!BC30, 1)</f>
        <v>1</v>
      </c>
      <c r="K81" s="47">
        <f>Source!O30</f>
        <v>43092</v>
      </c>
      <c r="L81" s="53"/>
      <c r="S81">
        <f>ROUND((Source!FX30/100)*((ROUND(Source!AF30*Source!I30, 2)+ROUND(Source!AE30*Source!I30, 2))), 2)</f>
        <v>0</v>
      </c>
      <c r="T81">
        <f>Source!X30</f>
        <v>0</v>
      </c>
      <c r="U81">
        <f>ROUND((Source!FY30/100)*((ROUND(Source!AF30*Source!I30, 2)+ROUND(Source!AE30*Source!I30, 2))), 2)</f>
        <v>0</v>
      </c>
      <c r="V81">
        <f>Source!Y30</f>
        <v>0</v>
      </c>
      <c r="W81">
        <f>IF(Source!BI30&lt;=1,H81, 0)</f>
        <v>43092</v>
      </c>
      <c r="X81">
        <f>IF(Source!BI30=2,H81, 0)</f>
        <v>0</v>
      </c>
      <c r="Y81">
        <f>IF(Source!BI30=3,H81, 0)</f>
        <v>0</v>
      </c>
      <c r="Z81">
        <f>IF(Source!BI30=4,H81, 0)</f>
        <v>0</v>
      </c>
    </row>
    <row r="82" spans="1:26" ht="15">
      <c r="G82" s="60">
        <f>H73+H74+H76+H77+H78+SUM(H80:H81)</f>
        <v>44521.53</v>
      </c>
      <c r="H82" s="60"/>
      <c r="J82" s="60">
        <f>K73+K74+K76+K77+K78+SUM(K80:K81)</f>
        <v>77094.62</v>
      </c>
      <c r="K82" s="60"/>
      <c r="L82" s="49">
        <f>Source!U28</f>
        <v>36.7425</v>
      </c>
      <c r="O82" s="32">
        <f>G82</f>
        <v>44521.53</v>
      </c>
      <c r="P82" s="32">
        <f>J82</f>
        <v>77094.62</v>
      </c>
      <c r="Q82" s="32">
        <f>L82</f>
        <v>36.7425</v>
      </c>
      <c r="W82">
        <f>IF(Source!BI28&lt;=1,H73+H74+H76+H77+H78, 0)</f>
        <v>1429.53</v>
      </c>
      <c r="X82">
        <f>IF(Source!BI28=2,H73+H74+H76+H77+H78, 0)</f>
        <v>0</v>
      </c>
      <c r="Y82">
        <f>IF(Source!BI28=3,H73+H74+H76+H77+H78, 0)</f>
        <v>0</v>
      </c>
      <c r="Z82">
        <f>IF(Source!BI28=4,H73+H74+H76+H77+H78, 0)</f>
        <v>0</v>
      </c>
    </row>
    <row r="83" spans="1:26" ht="79.5">
      <c r="A83" s="23" t="str">
        <f>Source!E31</f>
        <v>10</v>
      </c>
      <c r="B83" s="55" t="s">
        <v>312</v>
      </c>
      <c r="C83" s="55" t="str">
        <f>Source!G31</f>
        <v>Устройство кровель плоских из наплавляемых материалов в два слоя</v>
      </c>
      <c r="D83" s="37" t="str">
        <f>Source!H31</f>
        <v>100 м2 кровли</v>
      </c>
      <c r="E83" s="10">
        <f>Source!I31</f>
        <v>4.984</v>
      </c>
      <c r="F83" s="38">
        <f>Source!AL31+Source!AM31+Source!AO31</f>
        <v>359.82</v>
      </c>
      <c r="G83" s="39"/>
      <c r="H83" s="40"/>
      <c r="I83" s="39" t="str">
        <f>Source!BO31</f>
        <v>12-01-002-9</v>
      </c>
      <c r="J83" s="39"/>
      <c r="K83" s="40"/>
      <c r="L83" s="41"/>
      <c r="S83">
        <f>ROUND((Source!FX31/100)*((ROUND(Source!AF31*Source!I31, 2)+ROUND(Source!AE31*Source!I31, 2))), 2)</f>
        <v>853.71</v>
      </c>
      <c r="T83">
        <f>Source!X31</f>
        <v>28215.119999999999</v>
      </c>
      <c r="U83">
        <f>ROUND((Source!FY31/100)*((ROUND(Source!AF31*Source!I31, 2)+ROUND(Source!AE31*Source!I31, 2))), 2)</f>
        <v>436.73</v>
      </c>
      <c r="V83">
        <f>Source!Y31</f>
        <v>14368.81</v>
      </c>
    </row>
    <row r="84" spans="1:26">
      <c r="C84" s="31" t="str">
        <f>"Объем: "&amp;Source!I31&amp;"=498,4/"&amp;"100"</f>
        <v>Объем: 4,984=498,4/100</v>
      </c>
    </row>
    <row r="85" spans="1:26" ht="14.25">
      <c r="A85" s="23"/>
      <c r="B85" s="55"/>
      <c r="C85" s="55" t="s">
        <v>302</v>
      </c>
      <c r="D85" s="37"/>
      <c r="E85" s="10"/>
      <c r="F85" s="38">
        <f>Source!AO31</f>
        <v>134.97999999999999</v>
      </c>
      <c r="G85" s="39" t="str">
        <f>Source!DG31</f>
        <v>)*1,15</v>
      </c>
      <c r="H85" s="40">
        <f>ROUND(Source!AF31*Source!I31, 2)</f>
        <v>773.65</v>
      </c>
      <c r="I85" s="39"/>
      <c r="J85" s="39">
        <f>IF(Source!BA31&lt;&gt; 0, Source!BA31, 1)</f>
        <v>33.049999999999997</v>
      </c>
      <c r="K85" s="40">
        <f>Source!S31</f>
        <v>25569.18</v>
      </c>
      <c r="L85" s="41"/>
      <c r="R85">
        <f>H85</f>
        <v>773.65</v>
      </c>
    </row>
    <row r="86" spans="1:26" ht="14.25">
      <c r="A86" s="23"/>
      <c r="B86" s="55"/>
      <c r="C86" s="55" t="s">
        <v>106</v>
      </c>
      <c r="D86" s="37"/>
      <c r="E86" s="10"/>
      <c r="F86" s="38">
        <f>Source!AM31</f>
        <v>42.51</v>
      </c>
      <c r="G86" s="39" t="str">
        <f>Source!DE31</f>
        <v>)*1,25</v>
      </c>
      <c r="H86" s="40">
        <f>ROUND(Source!AD31*Source!I31, 2)</f>
        <v>264.83999999999997</v>
      </c>
      <c r="I86" s="39"/>
      <c r="J86" s="39">
        <f>IF(Source!BB31&lt;&gt; 0, Source!BB31, 1)</f>
        <v>8.31</v>
      </c>
      <c r="K86" s="40">
        <f>Source!Q31</f>
        <v>2200.8000000000002</v>
      </c>
      <c r="L86" s="41"/>
    </row>
    <row r="87" spans="1:26" ht="14.25">
      <c r="A87" s="23"/>
      <c r="B87" s="55"/>
      <c r="C87" s="55" t="s">
        <v>308</v>
      </c>
      <c r="D87" s="37"/>
      <c r="E87" s="10"/>
      <c r="F87" s="38">
        <f>Source!AN31</f>
        <v>2.7</v>
      </c>
      <c r="G87" s="39" t="str">
        <f>Source!DF31</f>
        <v>)*1,25</v>
      </c>
      <c r="H87" s="50">
        <f>ROUND(Source!AE31*Source!I31, 2)</f>
        <v>16.82</v>
      </c>
      <c r="I87" s="39"/>
      <c r="J87" s="39">
        <f>IF(Source!BS31&lt;&gt; 0, Source!BS31, 1)</f>
        <v>33.049999999999997</v>
      </c>
      <c r="K87" s="50">
        <f>Source!R31</f>
        <v>555.92999999999995</v>
      </c>
      <c r="L87" s="41"/>
      <c r="R87">
        <f>H87</f>
        <v>16.82</v>
      </c>
    </row>
    <row r="88" spans="1:26" ht="14.25">
      <c r="A88" s="23"/>
      <c r="B88" s="55"/>
      <c r="C88" s="55" t="s">
        <v>309</v>
      </c>
      <c r="D88" s="37"/>
      <c r="E88" s="10"/>
      <c r="F88" s="38">
        <f>Source!AL31</f>
        <v>182.33</v>
      </c>
      <c r="G88" s="39" t="str">
        <f>Source!DD31</f>
        <v/>
      </c>
      <c r="H88" s="40">
        <f>ROUND(Source!AC31*Source!I31, 2)</f>
        <v>908.73</v>
      </c>
      <c r="I88" s="39"/>
      <c r="J88" s="39">
        <f>IF(Source!BC31&lt;&gt; 0, Source!BC31, 1)</f>
        <v>9.1199999999999992</v>
      </c>
      <c r="K88" s="40">
        <f>Source!P31</f>
        <v>8287.64</v>
      </c>
      <c r="L88" s="41"/>
    </row>
    <row r="89" spans="1:26" ht="14.25">
      <c r="A89" s="23"/>
      <c r="B89" s="55"/>
      <c r="C89" s="55" t="s">
        <v>303</v>
      </c>
      <c r="D89" s="37" t="s">
        <v>304</v>
      </c>
      <c r="E89" s="10">
        <f>Source!BZ31</f>
        <v>120</v>
      </c>
      <c r="F89" s="61" t="str">
        <f>CONCATENATE(" )", Source!DL31, Source!FT31, "=", Source!FX31)</f>
        <v xml:space="preserve"> )*0,9=108</v>
      </c>
      <c r="G89" s="62"/>
      <c r="H89" s="40">
        <f>SUM(S83:S93)</f>
        <v>853.71</v>
      </c>
      <c r="I89" s="42"/>
      <c r="J89" s="36">
        <f>Source!AT31</f>
        <v>108</v>
      </c>
      <c r="K89" s="40">
        <f>SUM(T83:T93)</f>
        <v>28215.119999999999</v>
      </c>
      <c r="L89" s="41"/>
    </row>
    <row r="90" spans="1:26" ht="14.25">
      <c r="A90" s="23"/>
      <c r="B90" s="55"/>
      <c r="C90" s="55" t="s">
        <v>305</v>
      </c>
      <c r="D90" s="37" t="s">
        <v>304</v>
      </c>
      <c r="E90" s="10">
        <f>Source!CA31</f>
        <v>65</v>
      </c>
      <c r="F90" s="61" t="str">
        <f>CONCATENATE(" )", Source!DM31, Source!FU31, "=", Source!FY31)</f>
        <v xml:space="preserve"> )*0,85=55,25</v>
      </c>
      <c r="G90" s="62"/>
      <c r="H90" s="40">
        <f>SUM(U83:U93)</f>
        <v>436.73</v>
      </c>
      <c r="I90" s="42"/>
      <c r="J90" s="36">
        <f>Source!AU31</f>
        <v>55</v>
      </c>
      <c r="K90" s="40">
        <f>SUM(V83:V93)</f>
        <v>14368.81</v>
      </c>
      <c r="L90" s="41"/>
    </row>
    <row r="91" spans="1:26" ht="14.25">
      <c r="A91" s="23"/>
      <c r="B91" s="55"/>
      <c r="C91" s="55" t="s">
        <v>306</v>
      </c>
      <c r="D91" s="37" t="s">
        <v>307</v>
      </c>
      <c r="E91" s="10">
        <f>Source!AQ31</f>
        <v>14.36</v>
      </c>
      <c r="F91" s="38"/>
      <c r="G91" s="39" t="str">
        <f>Source!DI31</f>
        <v>)*1,15</v>
      </c>
      <c r="H91" s="40"/>
      <c r="I91" s="39"/>
      <c r="J91" s="39"/>
      <c r="K91" s="40"/>
      <c r="L91" s="51">
        <f>Source!U31</f>
        <v>82.305775999999994</v>
      </c>
    </row>
    <row r="92" spans="1:26" ht="42.75">
      <c r="A92" s="23" t="str">
        <f>Source!E32</f>
        <v>10,3</v>
      </c>
      <c r="B92" s="55" t="str">
        <f>Source!F32</f>
        <v>цена постовщика</v>
      </c>
      <c r="C92" s="55" t="str">
        <f>Source!G32</f>
        <v>материал рулонные кровельные для нижнего слоя техниколь</v>
      </c>
      <c r="D92" s="37" t="str">
        <f>Source!H32</f>
        <v/>
      </c>
      <c r="E92" s="10">
        <f>Source!I32</f>
        <v>578.14400000000001</v>
      </c>
      <c r="F92" s="38">
        <f>Source!AL32+Source!AM32+Source!AO32</f>
        <v>150</v>
      </c>
      <c r="G92" s="54" t="s">
        <v>3</v>
      </c>
      <c r="H92" s="40">
        <f>ROUND(Source!AC32*Source!I32, 2)+ROUND(Source!AD32*Source!I32, 2)+ROUND(Source!AF32*Source!I32, 2)</f>
        <v>86721.600000000006</v>
      </c>
      <c r="I92" s="39"/>
      <c r="J92" s="39">
        <f>IF(Source!BC32&lt;&gt; 0, Source!BC32, 1)</f>
        <v>1</v>
      </c>
      <c r="K92" s="40">
        <f>Source!O32</f>
        <v>86721.600000000006</v>
      </c>
      <c r="L92" s="41"/>
      <c r="S92">
        <f>ROUND((Source!FX32/100)*((ROUND(Source!AF32*Source!I32, 2)+ROUND(Source!AE32*Source!I32, 2))), 2)</f>
        <v>0</v>
      </c>
      <c r="T92">
        <f>Source!X32</f>
        <v>0</v>
      </c>
      <c r="U92">
        <f>ROUND((Source!FY32/100)*((ROUND(Source!AF32*Source!I32, 2)+ROUND(Source!AE32*Source!I32, 2))), 2)</f>
        <v>0</v>
      </c>
      <c r="V92">
        <f>Source!Y32</f>
        <v>0</v>
      </c>
      <c r="W92">
        <f>IF(Source!BI32&lt;=1,H92, 0)</f>
        <v>86721.600000000006</v>
      </c>
      <c r="X92">
        <f>IF(Source!BI32=2,H92, 0)</f>
        <v>0</v>
      </c>
      <c r="Y92">
        <f>IF(Source!BI32=3,H92, 0)</f>
        <v>0</v>
      </c>
      <c r="Z92">
        <f>IF(Source!BI32=4,H92, 0)</f>
        <v>0</v>
      </c>
    </row>
    <row r="93" spans="1:26" ht="42.75">
      <c r="A93" s="56" t="str">
        <f>Source!E33</f>
        <v>10,4</v>
      </c>
      <c r="B93" s="57" t="str">
        <f>Source!F33</f>
        <v>цена постовщика</v>
      </c>
      <c r="C93" s="57" t="str">
        <f>Source!G33</f>
        <v>материал рулонные кровельные для верхнего слоя техниколь</v>
      </c>
      <c r="D93" s="43" t="str">
        <f>Source!H33</f>
        <v/>
      </c>
      <c r="E93" s="44">
        <f>Source!I33</f>
        <v>568.17600000000004</v>
      </c>
      <c r="F93" s="45">
        <f>Source!AL33+Source!AM33+Source!AO33</f>
        <v>190</v>
      </c>
      <c r="G93" s="52" t="s">
        <v>3</v>
      </c>
      <c r="H93" s="47">
        <f>ROUND(Source!AC33*Source!I33, 2)+ROUND(Source!AD33*Source!I33, 2)+ROUND(Source!AF33*Source!I33, 2)</f>
        <v>107953.44</v>
      </c>
      <c r="I93" s="46"/>
      <c r="J93" s="46">
        <f>IF(Source!BC33&lt;&gt; 0, Source!BC33, 1)</f>
        <v>1</v>
      </c>
      <c r="K93" s="47">
        <f>Source!O33</f>
        <v>107953.44</v>
      </c>
      <c r="L93" s="53"/>
      <c r="S93">
        <f>ROUND((Source!FX33/100)*((ROUND(Source!AF33*Source!I33, 2)+ROUND(Source!AE33*Source!I33, 2))), 2)</f>
        <v>0</v>
      </c>
      <c r="T93">
        <f>Source!X33</f>
        <v>0</v>
      </c>
      <c r="U93">
        <f>ROUND((Source!FY33/100)*((ROUND(Source!AF33*Source!I33, 2)+ROUND(Source!AE33*Source!I33, 2))), 2)</f>
        <v>0</v>
      </c>
      <c r="V93">
        <f>Source!Y33</f>
        <v>0</v>
      </c>
      <c r="W93">
        <f>IF(Source!BI33&lt;=1,H93, 0)</f>
        <v>107953.44</v>
      </c>
      <c r="X93">
        <f>IF(Source!BI33=2,H93, 0)</f>
        <v>0</v>
      </c>
      <c r="Y93">
        <f>IF(Source!BI33=3,H93, 0)</f>
        <v>0</v>
      </c>
      <c r="Z93">
        <f>IF(Source!BI33=4,H93, 0)</f>
        <v>0</v>
      </c>
    </row>
    <row r="94" spans="1:26" ht="15">
      <c r="G94" s="60">
        <f>H85+H86+H88+H89+H90+SUM(H92:H93)</f>
        <v>197912.7</v>
      </c>
      <c r="H94" s="60"/>
      <c r="J94" s="60">
        <f>K85+K86+K88+K89+K90+SUM(K92:K93)</f>
        <v>273316.58999999997</v>
      </c>
      <c r="K94" s="60"/>
      <c r="L94" s="49">
        <f>Source!U31</f>
        <v>82.305775999999994</v>
      </c>
      <c r="O94" s="32">
        <f>G94</f>
        <v>197912.7</v>
      </c>
      <c r="P94" s="32">
        <f>J94</f>
        <v>273316.58999999997</v>
      </c>
      <c r="Q94" s="32">
        <f>L94</f>
        <v>82.305775999999994</v>
      </c>
      <c r="W94">
        <f>IF(Source!BI31&lt;=1,H85+H86+H88+H89+H90, 0)</f>
        <v>3237.6600000000003</v>
      </c>
      <c r="X94">
        <f>IF(Source!BI31=2,H85+H86+H88+H89+H90, 0)</f>
        <v>0</v>
      </c>
      <c r="Y94">
        <f>IF(Source!BI31=3,H85+H86+H88+H89+H90, 0)</f>
        <v>0</v>
      </c>
      <c r="Z94">
        <f>IF(Source!BI31=4,H85+H86+H88+H89+H90, 0)</f>
        <v>0</v>
      </c>
    </row>
    <row r="95" spans="1:26" ht="42.75">
      <c r="A95" s="23" t="str">
        <f>Source!E34</f>
        <v>21</v>
      </c>
      <c r="B95" s="55" t="str">
        <f>Source!F34</f>
        <v>т01-01-01-041</v>
      </c>
      <c r="C95" s="55" t="str">
        <f>Source!G34</f>
        <v>Погрузка при автомобильных перевозках мусора строительного с погрузкой вручную</v>
      </c>
      <c r="D95" s="37" t="str">
        <f>Source!H34</f>
        <v>1 Т ГРУЗА</v>
      </c>
      <c r="E95" s="10">
        <f>Source!I34</f>
        <v>3.8</v>
      </c>
      <c r="F95" s="38">
        <f>Source!AL34+Source!AM34+Source!AO34</f>
        <v>42.98</v>
      </c>
      <c r="G95" s="39"/>
      <c r="H95" s="40"/>
      <c r="I95" s="39" t="str">
        <f>Source!BO34</f>
        <v/>
      </c>
      <c r="J95" s="39"/>
      <c r="K95" s="40"/>
      <c r="L95" s="41"/>
      <c r="S95">
        <f>ROUND((Source!FX34/100)*((ROUND(Source!AF34*Source!I34, 2)+ROUND(Source!AE34*Source!I34, 2))), 2)</f>
        <v>0</v>
      </c>
      <c r="T95">
        <f>Source!X34</f>
        <v>0</v>
      </c>
      <c r="U95">
        <f>ROUND((Source!FY34/100)*((ROUND(Source!AF34*Source!I34, 2)+ROUND(Source!AE34*Source!I34, 2))), 2)</f>
        <v>0</v>
      </c>
      <c r="V95">
        <f>Source!Y34</f>
        <v>0</v>
      </c>
    </row>
    <row r="96" spans="1:26" ht="14.25">
      <c r="A96" s="56"/>
      <c r="B96" s="57"/>
      <c r="C96" s="57" t="s">
        <v>106</v>
      </c>
      <c r="D96" s="43"/>
      <c r="E96" s="44"/>
      <c r="F96" s="45">
        <f>Source!AM34</f>
        <v>42.98</v>
      </c>
      <c r="G96" s="46" t="str">
        <f>Source!DE34</f>
        <v/>
      </c>
      <c r="H96" s="47">
        <f>ROUND(Source!AD34*Source!I34, 2)</f>
        <v>163.32</v>
      </c>
      <c r="I96" s="46"/>
      <c r="J96" s="46">
        <f>IF(Source!BB34&lt;&gt; 0, Source!BB34, 1)</f>
        <v>14.43</v>
      </c>
      <c r="K96" s="47">
        <f>Source!Q34</f>
        <v>2356.77</v>
      </c>
      <c r="L96" s="53"/>
    </row>
    <row r="97" spans="1:32" ht="15">
      <c r="G97" s="60">
        <f>H96</f>
        <v>163.32</v>
      </c>
      <c r="H97" s="60"/>
      <c r="J97" s="60">
        <f>K96</f>
        <v>2356.77</v>
      </c>
      <c r="K97" s="60"/>
      <c r="L97" s="49">
        <f>Source!U34</f>
        <v>0</v>
      </c>
      <c r="O97" s="32">
        <f>G97</f>
        <v>163.32</v>
      </c>
      <c r="P97" s="32">
        <f>J97</f>
        <v>2356.77</v>
      </c>
      <c r="Q97" s="32">
        <f>L97</f>
        <v>0</v>
      </c>
      <c r="W97">
        <f>IF(Source!BI34&lt;=1,H96, 0)</f>
        <v>163.32</v>
      </c>
      <c r="X97">
        <f>IF(Source!BI34=2,H96, 0)</f>
        <v>0</v>
      </c>
      <c r="Y97">
        <f>IF(Source!BI34=3,H96, 0)</f>
        <v>0</v>
      </c>
      <c r="Z97">
        <f>IF(Source!BI34=4,H96, 0)</f>
        <v>0</v>
      </c>
    </row>
    <row r="98" spans="1:32" ht="57">
      <c r="A98" s="23" t="str">
        <f>Source!E35</f>
        <v>22</v>
      </c>
      <c r="B98" s="55" t="str">
        <f>Source!F35</f>
        <v>т03-01-01-040</v>
      </c>
      <c r="C98" s="55" t="str">
        <f>Source!G35</f>
        <v>Перевозка грузов I класса автомобилями бортовыми грузоподъемностью до 15 т на расстояние до 40 км</v>
      </c>
      <c r="D98" s="37" t="str">
        <f>Source!H35</f>
        <v>1 Т ГРУЗА</v>
      </c>
      <c r="E98" s="10">
        <f>Source!I35</f>
        <v>3.8</v>
      </c>
      <c r="F98" s="38">
        <f>Source!AL35+Source!AM35+Source!AO35</f>
        <v>20.91</v>
      </c>
      <c r="G98" s="39"/>
      <c r="H98" s="40"/>
      <c r="I98" s="39" t="str">
        <f>Source!BO35</f>
        <v/>
      </c>
      <c r="J98" s="39"/>
      <c r="K98" s="40"/>
      <c r="L98" s="41"/>
      <c r="S98">
        <f>ROUND((Source!FX35/100)*((ROUND(Source!AF35*Source!I35, 2)+ROUND(Source!AE35*Source!I35, 2))), 2)</f>
        <v>0</v>
      </c>
      <c r="T98">
        <f>Source!X35</f>
        <v>0</v>
      </c>
      <c r="U98">
        <f>ROUND((Source!FY35/100)*((ROUND(Source!AF35*Source!I35, 2)+ROUND(Source!AE35*Source!I35, 2))), 2)</f>
        <v>0</v>
      </c>
      <c r="V98">
        <f>Source!Y35</f>
        <v>0</v>
      </c>
    </row>
    <row r="99" spans="1:32" ht="14.25">
      <c r="A99" s="56"/>
      <c r="B99" s="57"/>
      <c r="C99" s="57" t="s">
        <v>106</v>
      </c>
      <c r="D99" s="43"/>
      <c r="E99" s="44"/>
      <c r="F99" s="45">
        <f>Source!AM35</f>
        <v>20.91</v>
      </c>
      <c r="G99" s="46" t="str">
        <f>Source!DE35</f>
        <v/>
      </c>
      <c r="H99" s="47">
        <f>ROUND(Source!AD35*Source!I35, 2)</f>
        <v>79.459999999999994</v>
      </c>
      <c r="I99" s="46"/>
      <c r="J99" s="46">
        <f>IF(Source!BB35&lt;&gt; 0, Source!BB35, 1)</f>
        <v>9.89</v>
      </c>
      <c r="K99" s="47">
        <f>Source!Q35</f>
        <v>785.84</v>
      </c>
      <c r="L99" s="53"/>
    </row>
    <row r="100" spans="1:32" ht="15">
      <c r="G100" s="60">
        <f>H99</f>
        <v>79.459999999999994</v>
      </c>
      <c r="H100" s="60"/>
      <c r="J100" s="60">
        <f>K99</f>
        <v>785.84</v>
      </c>
      <c r="K100" s="60"/>
      <c r="L100" s="49">
        <f>Source!U35</f>
        <v>0</v>
      </c>
      <c r="O100" s="32">
        <f>G100</f>
        <v>79.459999999999994</v>
      </c>
      <c r="P100" s="32">
        <f>J100</f>
        <v>785.84</v>
      </c>
      <c r="Q100" s="32">
        <f>L100</f>
        <v>0</v>
      </c>
      <c r="W100">
        <f>IF(Source!BI35&lt;=1,H99, 0)</f>
        <v>79.459999999999994</v>
      </c>
      <c r="X100">
        <f>IF(Source!BI35=2,H99, 0)</f>
        <v>0</v>
      </c>
      <c r="Y100">
        <f>IF(Source!BI35=3,H99, 0)</f>
        <v>0</v>
      </c>
      <c r="Z100">
        <f>IF(Source!BI35=4,H99, 0)</f>
        <v>0</v>
      </c>
    </row>
    <row r="102" spans="1:32" ht="15">
      <c r="A102" s="65" t="str">
        <f>CONCATENATE("Итого по локальной смете: ",IF(Source!G37&lt;&gt;"Новая локальная смета", Source!G37, ""))</f>
        <v xml:space="preserve">Итого по локальной смете: </v>
      </c>
      <c r="B102" s="65"/>
      <c r="C102" s="65"/>
      <c r="D102" s="65"/>
      <c r="E102" s="65"/>
      <c r="F102" s="65"/>
      <c r="G102" s="64">
        <f>SUM(O42:O101)</f>
        <v>245390.31000000003</v>
      </c>
      <c r="H102" s="64"/>
      <c r="I102" s="35"/>
      <c r="J102" s="64">
        <f>SUM(P42:P101)</f>
        <v>428308.9</v>
      </c>
      <c r="K102" s="64"/>
      <c r="L102" s="49">
        <f>SUM(Q42:Q101)</f>
        <v>214.29667599999999</v>
      </c>
    </row>
    <row r="106" spans="1:32" ht="15">
      <c r="A106" s="65" t="str">
        <f>CONCATENATE("Итого по смете: ",IF(Source!G67&lt;&gt;"Новый объект", Source!G67, ""))</f>
        <v>Итого по смете: Ремонт мягкой кровли в Куровском 2021</v>
      </c>
      <c r="B106" s="65"/>
      <c r="C106" s="65"/>
      <c r="D106" s="65"/>
      <c r="E106" s="65"/>
      <c r="F106" s="65"/>
      <c r="G106" s="64">
        <f>SUM(O1:O105)</f>
        <v>245390.31000000003</v>
      </c>
      <c r="H106" s="64"/>
      <c r="I106" s="35"/>
      <c r="J106" s="64">
        <f>SUM(P1:P105)</f>
        <v>428308.9</v>
      </c>
      <c r="K106" s="64"/>
      <c r="L106" s="49">
        <f>SUM(Q1:Q105)</f>
        <v>214.29667599999999</v>
      </c>
      <c r="AF106" s="59" t="str">
        <f>CONCATENATE("Итого по смете: ",IF(Source!G67&lt;&gt;"Новый объект", Source!G67, ""))</f>
        <v>Итого по смете: Ремонт мягкой кровли в Куровском 2021</v>
      </c>
    </row>
    <row r="108" spans="1:32" ht="14.25">
      <c r="C108" s="68" t="str">
        <f>Source!H96</f>
        <v>НДС 20%</v>
      </c>
      <c r="D108" s="68"/>
      <c r="E108" s="68"/>
      <c r="F108" s="68"/>
      <c r="G108" s="68"/>
      <c r="H108" s="68"/>
      <c r="I108" s="68"/>
      <c r="J108" s="69">
        <f>IF(Source!F96=0, "", Source!F96)</f>
        <v>85661.8</v>
      </c>
      <c r="K108" s="69"/>
    </row>
    <row r="109" spans="1:32" ht="14.25">
      <c r="C109" s="68" t="str">
        <f>Source!H97</f>
        <v>всего с НДС</v>
      </c>
      <c r="D109" s="68"/>
      <c r="E109" s="68"/>
      <c r="F109" s="68"/>
      <c r="G109" s="68"/>
      <c r="H109" s="68"/>
      <c r="I109" s="68"/>
      <c r="J109" s="69">
        <f>IF(Source!F97=0, "", Source!F97)</f>
        <v>513970.7</v>
      </c>
      <c r="K109" s="69"/>
    </row>
    <row r="112" spans="1:32" ht="14.25">
      <c r="A112" s="34" t="s">
        <v>313</v>
      </c>
      <c r="B112" s="34"/>
      <c r="C112" s="10" t="s">
        <v>314</v>
      </c>
      <c r="D112" s="33" t="str">
        <f>IF(Source!CP12&lt;&gt;"", Source!CP12," ")</f>
        <v xml:space="preserve"> </v>
      </c>
      <c r="E112" s="33"/>
      <c r="F112" s="33"/>
      <c r="G112" s="33"/>
      <c r="H112" s="33"/>
      <c r="I112" s="11" t="str">
        <f>IF(Source!CO12&lt;&gt;"", Source!CO12," ")</f>
        <v xml:space="preserve"> </v>
      </c>
      <c r="J112" s="10"/>
      <c r="K112" s="11"/>
      <c r="L112" s="11"/>
    </row>
    <row r="113" spans="1:12" ht="14.25">
      <c r="A113" s="11"/>
      <c r="B113" s="11"/>
      <c r="C113" s="10"/>
      <c r="D113" s="66" t="s">
        <v>315</v>
      </c>
      <c r="E113" s="66"/>
      <c r="F113" s="66"/>
      <c r="G113" s="66"/>
      <c r="H113" s="66"/>
      <c r="I113" s="11"/>
      <c r="J113" s="10"/>
      <c r="K113" s="11"/>
      <c r="L113" s="11"/>
    </row>
    <row r="114" spans="1:12" ht="14.25">
      <c r="A114" s="11"/>
      <c r="B114" s="11"/>
      <c r="C114" s="10"/>
      <c r="D114" s="11"/>
      <c r="E114" s="11"/>
      <c r="F114" s="11"/>
      <c r="G114" s="11"/>
      <c r="H114" s="11"/>
      <c r="I114" s="11"/>
      <c r="J114" s="10"/>
      <c r="K114" s="11"/>
      <c r="L114" s="11"/>
    </row>
    <row r="115" spans="1:12" ht="14.25">
      <c r="A115" s="34" t="s">
        <v>313</v>
      </c>
      <c r="B115" s="34"/>
      <c r="C115" s="10" t="s">
        <v>316</v>
      </c>
      <c r="D115" s="33" t="str">
        <f>IF(Source!AC12&lt;&gt;"", Source!AC12," ")</f>
        <v xml:space="preserve"> </v>
      </c>
      <c r="E115" s="33"/>
      <c r="F115" s="33"/>
      <c r="G115" s="33"/>
      <c r="H115" s="33"/>
      <c r="I115" s="11" t="str">
        <f>IF(Source!AB12&lt;&gt;"", Source!AB12," ")</f>
        <v xml:space="preserve"> </v>
      </c>
      <c r="J115" s="10"/>
      <c r="K115" s="11"/>
      <c r="L115" s="11"/>
    </row>
    <row r="116" spans="1:12" ht="14.25">
      <c r="A116" s="11"/>
      <c r="B116" s="11"/>
      <c r="C116" s="11"/>
      <c r="D116" s="66" t="s">
        <v>315</v>
      </c>
      <c r="E116" s="66"/>
      <c r="F116" s="66"/>
      <c r="G116" s="66"/>
      <c r="H116" s="66"/>
      <c r="I116" s="11"/>
      <c r="J116" s="11"/>
      <c r="K116" s="11"/>
      <c r="L116" s="11"/>
    </row>
    <row r="117" spans="1:12" ht="14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ht="14.25">
      <c r="A118" s="11"/>
      <c r="B118" s="11"/>
      <c r="C118" s="10" t="s">
        <v>317</v>
      </c>
      <c r="D118" s="33" t="str">
        <f>IF(Source!AE12&lt;&gt;"", Source!AE12," ")</f>
        <v xml:space="preserve"> </v>
      </c>
      <c r="E118" s="33"/>
      <c r="F118" s="33"/>
      <c r="G118" s="33"/>
      <c r="H118" s="33"/>
      <c r="I118" s="11" t="str">
        <f>IF(Source!AD12&lt;&gt;"", Source!AD12," ")</f>
        <v xml:space="preserve"> </v>
      </c>
      <c r="J118" s="10"/>
      <c r="K118" s="11"/>
      <c r="L118" s="11"/>
    </row>
    <row r="119" spans="1:12" ht="14.25">
      <c r="A119" s="11"/>
      <c r="B119" s="11"/>
      <c r="C119" s="11"/>
      <c r="D119" s="66" t="s">
        <v>315</v>
      </c>
      <c r="E119" s="66"/>
      <c r="F119" s="66"/>
      <c r="G119" s="66"/>
      <c r="H119" s="66"/>
      <c r="I119" s="11"/>
      <c r="J119" s="11"/>
      <c r="K119" s="11"/>
      <c r="L119" s="11"/>
    </row>
  </sheetData>
  <mergeCells count="87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08:I108"/>
    <mergeCell ref="J108:K108"/>
    <mergeCell ref="C109:I109"/>
    <mergeCell ref="J109:K109"/>
    <mergeCell ref="J97:K97"/>
    <mergeCell ref="G97:H97"/>
    <mergeCell ref="J94:K94"/>
    <mergeCell ref="G94:H94"/>
    <mergeCell ref="D116:H116"/>
    <mergeCell ref="D119:H119"/>
    <mergeCell ref="J102:K102"/>
    <mergeCell ref="A102:F102"/>
    <mergeCell ref="J100:K100"/>
    <mergeCell ref="G100:H100"/>
    <mergeCell ref="D113:H113"/>
    <mergeCell ref="F68:G68"/>
    <mergeCell ref="F67:G67"/>
    <mergeCell ref="J61:K61"/>
    <mergeCell ref="G61:H61"/>
    <mergeCell ref="F90:G90"/>
    <mergeCell ref="F89:G89"/>
    <mergeCell ref="J82:K82"/>
    <mergeCell ref="G82:H82"/>
    <mergeCell ref="F78:G78"/>
    <mergeCell ref="F77:G77"/>
    <mergeCell ref="G106:H106"/>
    <mergeCell ref="J106:K106"/>
    <mergeCell ref="A106:F106"/>
    <mergeCell ref="G102:H102"/>
    <mergeCell ref="J70:K70"/>
    <mergeCell ref="G70:H70"/>
    <mergeCell ref="J50:K50"/>
    <mergeCell ref="G50:H50"/>
    <mergeCell ref="F48:G48"/>
    <mergeCell ref="F47:G47"/>
    <mergeCell ref="A42:L42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34"/>
  <sheetViews>
    <sheetView workbookViewId="0">
      <selection activeCell="A130" sqref="A130:AN130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128</v>
      </c>
      <c r="C12" s="1">
        <v>0</v>
      </c>
      <c r="D12" s="1">
        <f>ROW(A67)</f>
        <v>67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B67</f>
        <v>128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мягкой кровли в Куровском 2021</v>
      </c>
      <c r="H18" s="2"/>
      <c r="I18" s="2"/>
      <c r="J18" s="2"/>
      <c r="K18" s="2"/>
      <c r="L18" s="2"/>
      <c r="M18" s="2"/>
      <c r="N18" s="2"/>
      <c r="O18" s="2">
        <f t="shared" ref="O18:AT18" si="1">O67</f>
        <v>326745.23</v>
      </c>
      <c r="P18" s="2">
        <f t="shared" si="1"/>
        <v>256428.88</v>
      </c>
      <c r="Q18" s="2">
        <f t="shared" si="1"/>
        <v>8284.1</v>
      </c>
      <c r="R18" s="2">
        <f t="shared" si="1"/>
        <v>935.11</v>
      </c>
      <c r="S18" s="2">
        <f t="shared" si="1"/>
        <v>62032.25</v>
      </c>
      <c r="T18" s="2">
        <f t="shared" si="1"/>
        <v>0</v>
      </c>
      <c r="U18" s="2">
        <f t="shared" si="1"/>
        <v>214.29667599999999</v>
      </c>
      <c r="V18" s="2">
        <f t="shared" si="1"/>
        <v>2.1127500000000001</v>
      </c>
      <c r="W18" s="2">
        <f t="shared" si="1"/>
        <v>0</v>
      </c>
      <c r="X18" s="2">
        <f t="shared" si="1"/>
        <v>65785.100000000006</v>
      </c>
      <c r="Y18" s="2">
        <f t="shared" si="1"/>
        <v>35778.57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428308.9</v>
      </c>
      <c r="AS18" s="2">
        <f t="shared" si="1"/>
        <v>428308.9</v>
      </c>
      <c r="AT18" s="2">
        <f t="shared" si="1"/>
        <v>0</v>
      </c>
      <c r="AU18" s="2">
        <f t="shared" ref="AU18:BZ18" si="2">AU67</f>
        <v>0</v>
      </c>
      <c r="AV18" s="2">
        <f t="shared" si="2"/>
        <v>256428.88</v>
      </c>
      <c r="AW18" s="2">
        <f t="shared" si="2"/>
        <v>256428.88</v>
      </c>
      <c r="AX18" s="2">
        <f t="shared" si="2"/>
        <v>0</v>
      </c>
      <c r="AY18" s="2">
        <f t="shared" si="2"/>
        <v>256428.88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3142.61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CA67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DG67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EM67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FS67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ROW(A37)</f>
        <v>37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B37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O37</f>
        <v>326745.23</v>
      </c>
      <c r="P22" s="2">
        <f t="shared" si="8"/>
        <v>256428.88</v>
      </c>
      <c r="Q22" s="2">
        <f t="shared" si="8"/>
        <v>8284.1</v>
      </c>
      <c r="R22" s="2">
        <f t="shared" si="8"/>
        <v>935.11</v>
      </c>
      <c r="S22" s="2">
        <f t="shared" si="8"/>
        <v>62032.25</v>
      </c>
      <c r="T22" s="2">
        <f t="shared" si="8"/>
        <v>0</v>
      </c>
      <c r="U22" s="2">
        <f t="shared" si="8"/>
        <v>214.29667599999999</v>
      </c>
      <c r="V22" s="2">
        <f t="shared" si="8"/>
        <v>2.1127500000000001</v>
      </c>
      <c r="W22" s="2">
        <f t="shared" si="8"/>
        <v>0</v>
      </c>
      <c r="X22" s="2">
        <f t="shared" si="8"/>
        <v>65785.100000000006</v>
      </c>
      <c r="Y22" s="2">
        <f t="shared" si="8"/>
        <v>35778.57</v>
      </c>
      <c r="Z22" s="2">
        <f t="shared" si="8"/>
        <v>0</v>
      </c>
      <c r="AA22" s="2">
        <f t="shared" si="8"/>
        <v>0</v>
      </c>
      <c r="AB22" s="2">
        <f t="shared" si="8"/>
        <v>326745.23</v>
      </c>
      <c r="AC22" s="2">
        <f t="shared" si="8"/>
        <v>256428.88</v>
      </c>
      <c r="AD22" s="2">
        <f t="shared" si="8"/>
        <v>8284.1</v>
      </c>
      <c r="AE22" s="2">
        <f t="shared" si="8"/>
        <v>935.11</v>
      </c>
      <c r="AF22" s="2">
        <f t="shared" si="8"/>
        <v>62032.25</v>
      </c>
      <c r="AG22" s="2">
        <f t="shared" si="8"/>
        <v>0</v>
      </c>
      <c r="AH22" s="2">
        <f t="shared" si="8"/>
        <v>214.29667599999999</v>
      </c>
      <c r="AI22" s="2">
        <f t="shared" si="8"/>
        <v>2.1127500000000001</v>
      </c>
      <c r="AJ22" s="2">
        <f t="shared" si="8"/>
        <v>0</v>
      </c>
      <c r="AK22" s="2">
        <f t="shared" si="8"/>
        <v>65785.100000000006</v>
      </c>
      <c r="AL22" s="2">
        <f t="shared" si="8"/>
        <v>35778.57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428308.9</v>
      </c>
      <c r="AS22" s="2">
        <f t="shared" si="8"/>
        <v>428308.9</v>
      </c>
      <c r="AT22" s="2">
        <f t="shared" si="8"/>
        <v>0</v>
      </c>
      <c r="AU22" s="2">
        <f t="shared" ref="AU22:BZ22" si="9">AU37</f>
        <v>0</v>
      </c>
      <c r="AV22" s="2">
        <f t="shared" si="9"/>
        <v>256428.88</v>
      </c>
      <c r="AW22" s="2">
        <f t="shared" si="9"/>
        <v>256428.88</v>
      </c>
      <c r="AX22" s="2">
        <f t="shared" si="9"/>
        <v>0</v>
      </c>
      <c r="AY22" s="2">
        <f t="shared" si="9"/>
        <v>256428.88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3142.61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CA37</f>
        <v>428308.9</v>
      </c>
      <c r="CB22" s="2">
        <f t="shared" si="10"/>
        <v>428308.9</v>
      </c>
      <c r="CC22" s="2">
        <f t="shared" si="10"/>
        <v>0</v>
      </c>
      <c r="CD22" s="2">
        <f t="shared" si="10"/>
        <v>0</v>
      </c>
      <c r="CE22" s="2">
        <f t="shared" si="10"/>
        <v>256428.88</v>
      </c>
      <c r="CF22" s="2">
        <f t="shared" si="10"/>
        <v>256428.88</v>
      </c>
      <c r="CG22" s="2">
        <f t="shared" si="10"/>
        <v>0</v>
      </c>
      <c r="CH22" s="2">
        <f t="shared" si="10"/>
        <v>256428.88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3142.61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DG37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EM37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FS37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ROW(SmtRes!A2)</f>
        <v>2</v>
      </c>
      <c r="D24">
        <f>ROW(EtalonRes!A2)</f>
        <v>2</v>
      </c>
      <c r="E24" t="s">
        <v>13</v>
      </c>
      <c r="F24" t="s">
        <v>14</v>
      </c>
      <c r="G24" t="s">
        <v>15</v>
      </c>
      <c r="H24" t="s">
        <v>16</v>
      </c>
      <c r="I24">
        <f>ROUND(498.4/100,9)</f>
        <v>4.984</v>
      </c>
      <c r="J24">
        <v>0</v>
      </c>
      <c r="O24">
        <f t="shared" ref="O24:O35" si="14">ROUND(CP24,2)</f>
        <v>20149.740000000002</v>
      </c>
      <c r="P24">
        <f t="shared" ref="P24:P35" si="15">ROUND(CQ24*I24,2)</f>
        <v>0</v>
      </c>
      <c r="Q24">
        <f t="shared" ref="Q24:Q35" si="16">ROUND(CR24*I24,2)</f>
        <v>1674.61</v>
      </c>
      <c r="R24">
        <f t="shared" ref="R24:R35" si="17">ROUND(CS24*I24,2)</f>
        <v>0</v>
      </c>
      <c r="S24">
        <f t="shared" ref="S24:S35" si="18">ROUND(CT24*I24,2)</f>
        <v>18475.13</v>
      </c>
      <c r="T24">
        <f t="shared" ref="T24:T35" si="19">ROUND(CU24*I24,2)</f>
        <v>0</v>
      </c>
      <c r="U24">
        <f t="shared" ref="U24:U35" si="20">CV24*I24</f>
        <v>71.669920000000005</v>
      </c>
      <c r="V24">
        <f t="shared" ref="V24:V35" si="21">CW24*I24</f>
        <v>0</v>
      </c>
      <c r="W24">
        <f t="shared" ref="W24:W35" si="22">ROUND(CX24*I24,2)</f>
        <v>0</v>
      </c>
      <c r="X24">
        <f t="shared" ref="X24:X35" si="23">ROUND(CY24,2)</f>
        <v>18290.38</v>
      </c>
      <c r="Y24">
        <f t="shared" ref="Y24:Y35" si="24">ROUND(CZ24,2)</f>
        <v>11085.08</v>
      </c>
      <c r="AA24">
        <v>35779378</v>
      </c>
      <c r="AB24">
        <f t="shared" ref="AB24:AB35" si="25">ROUND((AC24+AD24+AF24),6)</f>
        <v>153.59</v>
      </c>
      <c r="AC24">
        <f t="shared" ref="AC24:AC35" si="26">ROUND((ES24),6)</f>
        <v>0</v>
      </c>
      <c r="AD24">
        <f>ROUND((((ET24)-(EU24))+AE24),6)</f>
        <v>41.43</v>
      </c>
      <c r="AE24">
        <f t="shared" ref="AE24:AF26" si="27">ROUND((EU24),6)</f>
        <v>0</v>
      </c>
      <c r="AF24">
        <f t="shared" si="27"/>
        <v>112.16</v>
      </c>
      <c r="AG24">
        <f t="shared" ref="AG24:AG35" si="28">ROUND((AP24),6)</f>
        <v>0</v>
      </c>
      <c r="AH24">
        <f t="shared" ref="AH24:AI26" si="29">(EW24)</f>
        <v>14.38</v>
      </c>
      <c r="AI24">
        <f t="shared" si="29"/>
        <v>0</v>
      </c>
      <c r="AJ24">
        <f t="shared" ref="AJ24:AJ35" si="30">(AS24)</f>
        <v>0</v>
      </c>
      <c r="AK24">
        <v>153.59</v>
      </c>
      <c r="AL24">
        <v>0</v>
      </c>
      <c r="AM24">
        <v>41.43</v>
      </c>
      <c r="AN24">
        <v>0</v>
      </c>
      <c r="AO24">
        <v>112.16</v>
      </c>
      <c r="AP24">
        <v>0</v>
      </c>
      <c r="AQ24">
        <v>14.38</v>
      </c>
      <c r="AR24">
        <v>0</v>
      </c>
      <c r="AS24">
        <v>0</v>
      </c>
      <c r="AT24">
        <v>99</v>
      </c>
      <c r="AU24">
        <v>60</v>
      </c>
      <c r="AV24">
        <v>1</v>
      </c>
      <c r="AW24">
        <v>1</v>
      </c>
      <c r="AZ24">
        <v>1</v>
      </c>
      <c r="BA24">
        <v>33.049999999999997</v>
      </c>
      <c r="BB24">
        <v>8.11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17</v>
      </c>
      <c r="BM24">
        <v>46001</v>
      </c>
      <c r="BN24">
        <v>0</v>
      </c>
      <c r="BO24" t="s">
        <v>14</v>
      </c>
      <c r="BP24">
        <v>1</v>
      </c>
      <c r="BQ24">
        <v>2</v>
      </c>
      <c r="BR24">
        <v>0</v>
      </c>
      <c r="BS24">
        <v>33.049999999999997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110</v>
      </c>
      <c r="CA24">
        <v>70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5" si="31">(P24+Q24+S24)</f>
        <v>20149.740000000002</v>
      </c>
      <c r="CQ24">
        <f t="shared" ref="CQ24:CQ35" si="32">AC24*BC24</f>
        <v>0</v>
      </c>
      <c r="CR24">
        <f t="shared" ref="CR24:CR35" si="33">AD24*BB24</f>
        <v>335.9973</v>
      </c>
      <c r="CS24">
        <f t="shared" ref="CS24:CS35" si="34">AE24*BS24</f>
        <v>0</v>
      </c>
      <c r="CT24">
        <f t="shared" ref="CT24:CT35" si="35">AF24*BA24</f>
        <v>3706.8879999999995</v>
      </c>
      <c r="CU24">
        <f t="shared" ref="CU24:CU35" si="36">AG24</f>
        <v>0</v>
      </c>
      <c r="CV24">
        <f t="shared" ref="CV24:CV35" si="37">AH24</f>
        <v>14.38</v>
      </c>
      <c r="CW24">
        <f t="shared" ref="CW24:CW35" si="38">AI24</f>
        <v>0</v>
      </c>
      <c r="CX24">
        <f t="shared" ref="CX24:CX35" si="39">AJ24</f>
        <v>0</v>
      </c>
      <c r="CY24">
        <f t="shared" ref="CY24:CY35" si="40">(((S24+R24)*AT24)/100)</f>
        <v>18290.378700000001</v>
      </c>
      <c r="CZ24">
        <f t="shared" ref="CZ24:CZ35" si="41">(((S24+R24)*AU24)/100)</f>
        <v>11085.078000000001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36260494</v>
      </c>
      <c r="EF24">
        <v>2</v>
      </c>
      <c r="EG24" t="s">
        <v>18</v>
      </c>
      <c r="EH24">
        <v>0</v>
      </c>
      <c r="EI24" t="s">
        <v>3</v>
      </c>
      <c r="EJ24">
        <v>1</v>
      </c>
      <c r="EK24">
        <v>46001</v>
      </c>
      <c r="EL24" t="s">
        <v>19</v>
      </c>
      <c r="EM24" t="s">
        <v>20</v>
      </c>
      <c r="EO24" t="s">
        <v>3</v>
      </c>
      <c r="EQ24">
        <v>0</v>
      </c>
      <c r="ER24">
        <v>153.59</v>
      </c>
      <c r="ES24">
        <v>0</v>
      </c>
      <c r="ET24">
        <v>41.43</v>
      </c>
      <c r="EU24">
        <v>0</v>
      </c>
      <c r="EV24">
        <v>112.16</v>
      </c>
      <c r="EW24">
        <v>14.38</v>
      </c>
      <c r="EX24">
        <v>0</v>
      </c>
      <c r="EY24">
        <v>0</v>
      </c>
      <c r="FQ24">
        <v>0</v>
      </c>
      <c r="FR24">
        <f t="shared" ref="FR24:FR35" si="42">ROUND(IF(AND(BH24=3,BI24=3),P24,0),2)</f>
        <v>0</v>
      </c>
      <c r="FS24">
        <v>0</v>
      </c>
      <c r="FT24" t="s">
        <v>21</v>
      </c>
      <c r="FU24" t="s">
        <v>22</v>
      </c>
      <c r="FX24">
        <v>99</v>
      </c>
      <c r="FY24">
        <v>59.5</v>
      </c>
      <c r="GA24" t="s">
        <v>3</v>
      </c>
      <c r="GD24">
        <v>1</v>
      </c>
      <c r="GF24">
        <v>1304396548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35" si="43">ROUND(IF(AND(BH24=3,BI24=3,FS24&lt;&gt;0),P24,0),2)</f>
        <v>0</v>
      </c>
      <c r="GM24">
        <f t="shared" ref="GM24:GM35" si="44">ROUND(O24+X24+Y24,2)+GX24</f>
        <v>49525.2</v>
      </c>
      <c r="GN24">
        <f t="shared" ref="GN24:GN35" si="45">IF(OR(BI24=0,BI24=1),ROUND(O24+X24+Y24,2),0)</f>
        <v>49525.2</v>
      </c>
      <c r="GO24">
        <f t="shared" ref="GO24:GO35" si="46">IF(BI24=2,ROUND(O24+X24+Y24,2),0)</f>
        <v>0</v>
      </c>
      <c r="GP24">
        <f t="shared" ref="GP24:GP35" si="47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35" si="48">ROUND((GT24),6)</f>
        <v>0</v>
      </c>
      <c r="GW24">
        <v>1</v>
      </c>
      <c r="GX24">
        <f t="shared" ref="GX24:GX35" si="49">ROUND(HC24*I24,2)</f>
        <v>0</v>
      </c>
      <c r="HA24">
        <v>0</v>
      </c>
      <c r="HB24">
        <v>0</v>
      </c>
      <c r="HC24">
        <f t="shared" ref="HC24:HC35" si="50">GV24*GW24</f>
        <v>0</v>
      </c>
      <c r="HE24" t="s">
        <v>3</v>
      </c>
      <c r="HF24" t="s">
        <v>3</v>
      </c>
      <c r="IK24">
        <v>0</v>
      </c>
    </row>
    <row r="25" spans="1:245">
      <c r="A25">
        <v>17</v>
      </c>
      <c r="B25">
        <v>1</v>
      </c>
      <c r="C25">
        <f>ROW(SmtRes!A10)</f>
        <v>10</v>
      </c>
      <c r="D25">
        <f>ROW(EtalonRes!A10)</f>
        <v>10</v>
      </c>
      <c r="E25" t="s">
        <v>23</v>
      </c>
      <c r="F25" t="s">
        <v>24</v>
      </c>
      <c r="G25" t="s">
        <v>25</v>
      </c>
      <c r="H25" t="s">
        <v>26</v>
      </c>
      <c r="I25">
        <f>ROUND(10/100,9)</f>
        <v>0.1</v>
      </c>
      <c r="J25">
        <v>0</v>
      </c>
      <c r="O25">
        <f t="shared" si="14"/>
        <v>2570.48</v>
      </c>
      <c r="P25">
        <f t="shared" si="15"/>
        <v>326.67</v>
      </c>
      <c r="Q25">
        <f t="shared" si="16"/>
        <v>38.85</v>
      </c>
      <c r="R25">
        <f t="shared" si="17"/>
        <v>22.61</v>
      </c>
      <c r="S25">
        <f t="shared" si="18"/>
        <v>2204.96</v>
      </c>
      <c r="T25">
        <f t="shared" si="19"/>
        <v>0</v>
      </c>
      <c r="U25">
        <f t="shared" si="20"/>
        <v>7.53</v>
      </c>
      <c r="V25">
        <f t="shared" si="21"/>
        <v>6.8000000000000005E-2</v>
      </c>
      <c r="W25">
        <f t="shared" si="22"/>
        <v>0</v>
      </c>
      <c r="X25">
        <f t="shared" si="23"/>
        <v>1848.88</v>
      </c>
      <c r="Y25">
        <f t="shared" si="24"/>
        <v>1447.92</v>
      </c>
      <c r="AA25">
        <v>35779378</v>
      </c>
      <c r="AB25">
        <f t="shared" si="25"/>
        <v>1225.1099999999999</v>
      </c>
      <c r="AC25">
        <f t="shared" si="26"/>
        <v>523.51</v>
      </c>
      <c r="AD25">
        <f>ROUND((((ET25)-(EU25))+AE25),6)</f>
        <v>34.44</v>
      </c>
      <c r="AE25">
        <f t="shared" si="27"/>
        <v>6.84</v>
      </c>
      <c r="AF25">
        <f t="shared" si="27"/>
        <v>667.16</v>
      </c>
      <c r="AG25">
        <f t="shared" si="28"/>
        <v>0</v>
      </c>
      <c r="AH25">
        <f t="shared" si="29"/>
        <v>75.3</v>
      </c>
      <c r="AI25">
        <f t="shared" si="29"/>
        <v>0.68</v>
      </c>
      <c r="AJ25">
        <f t="shared" si="30"/>
        <v>0</v>
      </c>
      <c r="AK25">
        <v>1225.1099999999999</v>
      </c>
      <c r="AL25">
        <v>523.51</v>
      </c>
      <c r="AM25">
        <v>34.44</v>
      </c>
      <c r="AN25">
        <v>6.84</v>
      </c>
      <c r="AO25">
        <v>667.16</v>
      </c>
      <c r="AP25">
        <v>0</v>
      </c>
      <c r="AQ25">
        <v>75.3</v>
      </c>
      <c r="AR25">
        <v>0.68</v>
      </c>
      <c r="AS25">
        <v>0</v>
      </c>
      <c r="AT25">
        <v>83</v>
      </c>
      <c r="AU25">
        <v>65</v>
      </c>
      <c r="AV25">
        <v>1</v>
      </c>
      <c r="AW25">
        <v>1</v>
      </c>
      <c r="AZ25">
        <v>1</v>
      </c>
      <c r="BA25">
        <v>33.049999999999997</v>
      </c>
      <c r="BB25">
        <v>11.28</v>
      </c>
      <c r="BC25">
        <v>6.24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27</v>
      </c>
      <c r="BM25">
        <v>58001</v>
      </c>
      <c r="BN25">
        <v>0</v>
      </c>
      <c r="BO25" t="s">
        <v>24</v>
      </c>
      <c r="BP25">
        <v>1</v>
      </c>
      <c r="BQ25">
        <v>6</v>
      </c>
      <c r="BR25">
        <v>0</v>
      </c>
      <c r="BS25">
        <v>33.049999999999997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83</v>
      </c>
      <c r="CA25">
        <v>65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1"/>
        <v>2570.48</v>
      </c>
      <c r="CQ25">
        <f t="shared" si="32"/>
        <v>3266.7024000000001</v>
      </c>
      <c r="CR25">
        <f t="shared" si="33"/>
        <v>388.48319999999995</v>
      </c>
      <c r="CS25">
        <f t="shared" si="34"/>
        <v>226.06199999999998</v>
      </c>
      <c r="CT25">
        <f t="shared" si="35"/>
        <v>22049.637999999995</v>
      </c>
      <c r="CU25">
        <f t="shared" si="36"/>
        <v>0</v>
      </c>
      <c r="CV25">
        <f t="shared" si="37"/>
        <v>75.3</v>
      </c>
      <c r="CW25">
        <f t="shared" si="38"/>
        <v>0.68</v>
      </c>
      <c r="CX25">
        <f t="shared" si="39"/>
        <v>0</v>
      </c>
      <c r="CY25">
        <f t="shared" si="40"/>
        <v>1848.8831000000002</v>
      </c>
      <c r="CZ25">
        <f t="shared" si="41"/>
        <v>1447.9205000000002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26</v>
      </c>
      <c r="DW25" t="s">
        <v>26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36260506</v>
      </c>
      <c r="EF25">
        <v>6</v>
      </c>
      <c r="EG25" t="s">
        <v>28</v>
      </c>
      <c r="EH25">
        <v>0</v>
      </c>
      <c r="EI25" t="s">
        <v>3</v>
      </c>
      <c r="EJ25">
        <v>1</v>
      </c>
      <c r="EK25">
        <v>58001</v>
      </c>
      <c r="EL25" t="s">
        <v>29</v>
      </c>
      <c r="EM25" t="s">
        <v>30</v>
      </c>
      <c r="EO25" t="s">
        <v>3</v>
      </c>
      <c r="EQ25">
        <v>0</v>
      </c>
      <c r="ER25">
        <v>1225.1099999999999</v>
      </c>
      <c r="ES25">
        <v>523.51</v>
      </c>
      <c r="ET25">
        <v>34.44</v>
      </c>
      <c r="EU25">
        <v>6.84</v>
      </c>
      <c r="EV25">
        <v>667.16</v>
      </c>
      <c r="EW25">
        <v>75.3</v>
      </c>
      <c r="EX25">
        <v>0.68</v>
      </c>
      <c r="EY25">
        <v>0</v>
      </c>
      <c r="FQ25">
        <v>0</v>
      </c>
      <c r="FR25">
        <f t="shared" si="42"/>
        <v>0</v>
      </c>
      <c r="FS25">
        <v>0</v>
      </c>
      <c r="FX25">
        <v>83</v>
      </c>
      <c r="FY25">
        <v>65</v>
      </c>
      <c r="GA25" t="s">
        <v>3</v>
      </c>
      <c r="GD25">
        <v>1</v>
      </c>
      <c r="GF25">
        <v>-124749427</v>
      </c>
      <c r="GG25">
        <v>2</v>
      </c>
      <c r="GH25">
        <v>1</v>
      </c>
      <c r="GI25">
        <v>2</v>
      </c>
      <c r="GJ25">
        <v>0</v>
      </c>
      <c r="GK25">
        <v>0</v>
      </c>
      <c r="GL25">
        <f t="shared" si="43"/>
        <v>0</v>
      </c>
      <c r="GM25">
        <f t="shared" si="44"/>
        <v>5867.28</v>
      </c>
      <c r="GN25">
        <f t="shared" si="45"/>
        <v>5867.28</v>
      </c>
      <c r="GO25">
        <f t="shared" si="46"/>
        <v>0</v>
      </c>
      <c r="GP25">
        <f t="shared" si="47"/>
        <v>0</v>
      </c>
      <c r="GR25">
        <v>0</v>
      </c>
      <c r="GS25">
        <v>3</v>
      </c>
      <c r="GT25">
        <v>0</v>
      </c>
      <c r="GU25" t="s">
        <v>3</v>
      </c>
      <c r="GV25">
        <f t="shared" si="48"/>
        <v>0</v>
      </c>
      <c r="GW25">
        <v>1</v>
      </c>
      <c r="GX25">
        <f t="shared" si="49"/>
        <v>0</v>
      </c>
      <c r="HA25">
        <v>0</v>
      </c>
      <c r="HB25">
        <v>0</v>
      </c>
      <c r="HC25">
        <f t="shared" si="50"/>
        <v>0</v>
      </c>
      <c r="HE25" t="s">
        <v>3</v>
      </c>
      <c r="HF25" t="s">
        <v>3</v>
      </c>
      <c r="IK25">
        <v>0</v>
      </c>
    </row>
    <row r="26" spans="1:245">
      <c r="A26">
        <v>18</v>
      </c>
      <c r="B26">
        <v>1</v>
      </c>
      <c r="C26">
        <v>10</v>
      </c>
      <c r="E26" t="s">
        <v>31</v>
      </c>
      <c r="F26" t="s">
        <v>32</v>
      </c>
      <c r="G26" t="s">
        <v>33</v>
      </c>
      <c r="H26" t="s">
        <v>34</v>
      </c>
      <c r="I26">
        <f>I25*J26</f>
        <v>7.0000000000000007E-2</v>
      </c>
      <c r="J26">
        <v>0.70000000000000007</v>
      </c>
      <c r="O26">
        <f t="shared" si="14"/>
        <v>0</v>
      </c>
      <c r="P26">
        <f t="shared" si="15"/>
        <v>0</v>
      </c>
      <c r="Q26">
        <f t="shared" si="16"/>
        <v>0</v>
      </c>
      <c r="R26">
        <f t="shared" si="17"/>
        <v>0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0</v>
      </c>
      <c r="W26">
        <f t="shared" si="22"/>
        <v>0</v>
      </c>
      <c r="X26">
        <f t="shared" si="23"/>
        <v>0</v>
      </c>
      <c r="Y26">
        <f t="shared" si="24"/>
        <v>0</v>
      </c>
      <c r="AA26">
        <v>35779378</v>
      </c>
      <c r="AB26">
        <f t="shared" si="25"/>
        <v>0</v>
      </c>
      <c r="AC26">
        <f t="shared" si="26"/>
        <v>0</v>
      </c>
      <c r="AD26">
        <f>ROUND((((ET26)-(EU26))+AE26),6)</f>
        <v>0</v>
      </c>
      <c r="AE26">
        <f t="shared" si="27"/>
        <v>0</v>
      </c>
      <c r="AF26">
        <f t="shared" si="27"/>
        <v>0</v>
      </c>
      <c r="AG26">
        <f t="shared" si="28"/>
        <v>0</v>
      </c>
      <c r="AH26">
        <f t="shared" si="29"/>
        <v>0</v>
      </c>
      <c r="AI26">
        <f t="shared" si="29"/>
        <v>0</v>
      </c>
      <c r="AJ26">
        <f t="shared" si="30"/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83</v>
      </c>
      <c r="AU26">
        <v>65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35</v>
      </c>
      <c r="BM26">
        <v>58001</v>
      </c>
      <c r="BN26">
        <v>0</v>
      </c>
      <c r="BO26" t="s">
        <v>3</v>
      </c>
      <c r="BP26">
        <v>0</v>
      </c>
      <c r="BQ26">
        <v>6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83</v>
      </c>
      <c r="CA26">
        <v>65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1"/>
        <v>0</v>
      </c>
      <c r="CQ26">
        <f t="shared" si="32"/>
        <v>0</v>
      </c>
      <c r="CR26">
        <f t="shared" si="33"/>
        <v>0</v>
      </c>
      <c r="CS26">
        <f t="shared" si="34"/>
        <v>0</v>
      </c>
      <c r="CT26">
        <f t="shared" si="35"/>
        <v>0</v>
      </c>
      <c r="CU26">
        <f t="shared" si="36"/>
        <v>0</v>
      </c>
      <c r="CV26">
        <f t="shared" si="37"/>
        <v>0</v>
      </c>
      <c r="CW26">
        <f t="shared" si="38"/>
        <v>0</v>
      </c>
      <c r="CX26">
        <f t="shared" si="39"/>
        <v>0</v>
      </c>
      <c r="CY26">
        <f t="shared" si="40"/>
        <v>0</v>
      </c>
      <c r="CZ26">
        <f t="shared" si="41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1009</v>
      </c>
      <c r="DV26" t="s">
        <v>34</v>
      </c>
      <c r="DW26" t="s">
        <v>34</v>
      </c>
      <c r="DX26">
        <v>1000</v>
      </c>
      <c r="DZ26" t="s">
        <v>3</v>
      </c>
      <c r="EA26" t="s">
        <v>3</v>
      </c>
      <c r="EB26" t="s">
        <v>3</v>
      </c>
      <c r="EC26" t="s">
        <v>3</v>
      </c>
      <c r="EE26">
        <v>36260506</v>
      </c>
      <c r="EF26">
        <v>6</v>
      </c>
      <c r="EG26" t="s">
        <v>28</v>
      </c>
      <c r="EH26">
        <v>0</v>
      </c>
      <c r="EI26" t="s">
        <v>3</v>
      </c>
      <c r="EJ26">
        <v>1</v>
      </c>
      <c r="EK26">
        <v>58001</v>
      </c>
      <c r="EL26" t="s">
        <v>29</v>
      </c>
      <c r="EM26" t="s">
        <v>30</v>
      </c>
      <c r="EO26" t="s">
        <v>3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f t="shared" si="42"/>
        <v>0</v>
      </c>
      <c r="FS26">
        <v>0</v>
      </c>
      <c r="FX26">
        <v>83</v>
      </c>
      <c r="FY26">
        <v>65</v>
      </c>
      <c r="GA26" t="s">
        <v>3</v>
      </c>
      <c r="GD26">
        <v>1</v>
      </c>
      <c r="GF26">
        <v>-304821490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43"/>
        <v>0</v>
      </c>
      <c r="GM26">
        <f t="shared" si="44"/>
        <v>0</v>
      </c>
      <c r="GN26">
        <f t="shared" si="45"/>
        <v>0</v>
      </c>
      <c r="GO26">
        <f t="shared" si="46"/>
        <v>0</v>
      </c>
      <c r="GP26">
        <f t="shared" si="47"/>
        <v>0</v>
      </c>
      <c r="GR26">
        <v>0</v>
      </c>
      <c r="GS26">
        <v>3</v>
      </c>
      <c r="GT26">
        <v>0</v>
      </c>
      <c r="GU26" t="s">
        <v>3</v>
      </c>
      <c r="GV26">
        <f t="shared" si="48"/>
        <v>0</v>
      </c>
      <c r="GW26">
        <v>1</v>
      </c>
      <c r="GX26">
        <f t="shared" si="49"/>
        <v>0</v>
      </c>
      <c r="HA26">
        <v>0</v>
      </c>
      <c r="HB26">
        <v>0</v>
      </c>
      <c r="HC26">
        <f t="shared" si="50"/>
        <v>0</v>
      </c>
      <c r="HE26" t="s">
        <v>3</v>
      </c>
      <c r="HF26" t="s">
        <v>3</v>
      </c>
      <c r="IK26">
        <v>0</v>
      </c>
    </row>
    <row r="27" spans="1:245">
      <c r="A27">
        <v>17</v>
      </c>
      <c r="B27">
        <v>1</v>
      </c>
      <c r="C27">
        <f>ROW(SmtRes!A13)</f>
        <v>13</v>
      </c>
      <c r="D27">
        <f>ROW(EtalonRes!A13)</f>
        <v>13</v>
      </c>
      <c r="E27" t="s">
        <v>36</v>
      </c>
      <c r="F27" t="s">
        <v>37</v>
      </c>
      <c r="G27" t="s">
        <v>38</v>
      </c>
      <c r="H27" t="s">
        <v>39</v>
      </c>
      <c r="I27">
        <f>ROUND(498.4/100,9)</f>
        <v>4.984</v>
      </c>
      <c r="J27">
        <v>0</v>
      </c>
      <c r="O27">
        <f t="shared" si="14"/>
        <v>11806.99</v>
      </c>
      <c r="P27">
        <f t="shared" si="15"/>
        <v>6939.22</v>
      </c>
      <c r="Q27">
        <f t="shared" si="16"/>
        <v>232.43</v>
      </c>
      <c r="R27">
        <f t="shared" si="17"/>
        <v>0</v>
      </c>
      <c r="S27">
        <f t="shared" si="18"/>
        <v>4635.34</v>
      </c>
      <c r="T27">
        <f t="shared" si="19"/>
        <v>0</v>
      </c>
      <c r="U27">
        <f t="shared" si="20"/>
        <v>16.048479999999998</v>
      </c>
      <c r="V27">
        <f t="shared" si="21"/>
        <v>0</v>
      </c>
      <c r="W27">
        <f t="shared" si="22"/>
        <v>0</v>
      </c>
      <c r="X27">
        <f t="shared" si="23"/>
        <v>5006.17</v>
      </c>
      <c r="Y27">
        <f t="shared" si="24"/>
        <v>2549.44</v>
      </c>
      <c r="AA27">
        <v>35779378</v>
      </c>
      <c r="AB27">
        <f t="shared" si="25"/>
        <v>122.503</v>
      </c>
      <c r="AC27">
        <f t="shared" si="26"/>
        <v>90</v>
      </c>
      <c r="AD27">
        <f>ROUND(((((ET27*1.25))-((EU27*1.25)))+AE27),6)</f>
        <v>4.3624999999999998</v>
      </c>
      <c r="AE27">
        <f>ROUND(((EU27*1.25)),6)</f>
        <v>0</v>
      </c>
      <c r="AF27">
        <f>ROUND(((EV27*1.15)),6)</f>
        <v>28.140499999999999</v>
      </c>
      <c r="AG27">
        <f t="shared" si="28"/>
        <v>0</v>
      </c>
      <c r="AH27">
        <f>((EW27*1.15))</f>
        <v>3.2199999999999998</v>
      </c>
      <c r="AI27">
        <f>((EX27*1.25))</f>
        <v>0</v>
      </c>
      <c r="AJ27">
        <f t="shared" si="30"/>
        <v>0</v>
      </c>
      <c r="AK27">
        <v>117.96</v>
      </c>
      <c r="AL27">
        <v>90</v>
      </c>
      <c r="AM27">
        <v>3.49</v>
      </c>
      <c r="AN27">
        <v>0</v>
      </c>
      <c r="AO27">
        <v>24.47</v>
      </c>
      <c r="AP27">
        <v>0</v>
      </c>
      <c r="AQ27">
        <v>2.8</v>
      </c>
      <c r="AR27">
        <v>0</v>
      </c>
      <c r="AS27">
        <v>0</v>
      </c>
      <c r="AT27">
        <v>108</v>
      </c>
      <c r="AU27">
        <v>55</v>
      </c>
      <c r="AV27">
        <v>1</v>
      </c>
      <c r="AW27">
        <v>1</v>
      </c>
      <c r="AZ27">
        <v>1</v>
      </c>
      <c r="BA27">
        <v>33.049999999999997</v>
      </c>
      <c r="BB27">
        <v>10.69</v>
      </c>
      <c r="BC27">
        <v>15.47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40</v>
      </c>
      <c r="BM27">
        <v>12001</v>
      </c>
      <c r="BN27">
        <v>0</v>
      </c>
      <c r="BO27" t="s">
        <v>37</v>
      </c>
      <c r="BP27">
        <v>1</v>
      </c>
      <c r="BQ27">
        <v>2</v>
      </c>
      <c r="BR27">
        <v>0</v>
      </c>
      <c r="BS27">
        <v>33.049999999999997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120</v>
      </c>
      <c r="CA27">
        <v>65</v>
      </c>
      <c r="CE27">
        <v>0</v>
      </c>
      <c r="CF27">
        <v>0</v>
      </c>
      <c r="CG27">
        <v>0</v>
      </c>
      <c r="CM27">
        <v>0</v>
      </c>
      <c r="CN27" t="s">
        <v>269</v>
      </c>
      <c r="CO27">
        <v>0</v>
      </c>
      <c r="CP27">
        <f t="shared" si="31"/>
        <v>11806.990000000002</v>
      </c>
      <c r="CQ27">
        <f t="shared" si="32"/>
        <v>1392.3</v>
      </c>
      <c r="CR27">
        <f t="shared" si="33"/>
        <v>46.635124999999995</v>
      </c>
      <c r="CS27">
        <f t="shared" si="34"/>
        <v>0</v>
      </c>
      <c r="CT27">
        <f t="shared" si="35"/>
        <v>930.04352499999993</v>
      </c>
      <c r="CU27">
        <f t="shared" si="36"/>
        <v>0</v>
      </c>
      <c r="CV27">
        <f t="shared" si="37"/>
        <v>3.2199999999999998</v>
      </c>
      <c r="CW27">
        <f t="shared" si="38"/>
        <v>0</v>
      </c>
      <c r="CX27">
        <f t="shared" si="39"/>
        <v>0</v>
      </c>
      <c r="CY27">
        <f t="shared" si="40"/>
        <v>5006.1671999999999</v>
      </c>
      <c r="CZ27">
        <f t="shared" si="41"/>
        <v>2549.4369999999999</v>
      </c>
      <c r="DC27" t="s">
        <v>3</v>
      </c>
      <c r="DD27" t="s">
        <v>3</v>
      </c>
      <c r="DE27" t="s">
        <v>41</v>
      </c>
      <c r="DF27" t="s">
        <v>41</v>
      </c>
      <c r="DG27" t="s">
        <v>42</v>
      </c>
      <c r="DH27" t="s">
        <v>3</v>
      </c>
      <c r="DI27" t="s">
        <v>42</v>
      </c>
      <c r="DJ27" t="s">
        <v>41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39</v>
      </c>
      <c r="DW27" t="s">
        <v>39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36260428</v>
      </c>
      <c r="EF27">
        <v>2</v>
      </c>
      <c r="EG27" t="s">
        <v>18</v>
      </c>
      <c r="EH27">
        <v>0</v>
      </c>
      <c r="EI27" t="s">
        <v>3</v>
      </c>
      <c r="EJ27">
        <v>1</v>
      </c>
      <c r="EK27">
        <v>12001</v>
      </c>
      <c r="EL27" t="s">
        <v>43</v>
      </c>
      <c r="EM27" t="s">
        <v>44</v>
      </c>
      <c r="EO27" t="s">
        <v>45</v>
      </c>
      <c r="EQ27">
        <v>0</v>
      </c>
      <c r="ER27">
        <v>117.96</v>
      </c>
      <c r="ES27">
        <v>90</v>
      </c>
      <c r="ET27">
        <v>3.49</v>
      </c>
      <c r="EU27">
        <v>0</v>
      </c>
      <c r="EV27">
        <v>24.47</v>
      </c>
      <c r="EW27">
        <v>2.8</v>
      </c>
      <c r="EX27">
        <v>0</v>
      </c>
      <c r="EY27">
        <v>0</v>
      </c>
      <c r="FQ27">
        <v>0</v>
      </c>
      <c r="FR27">
        <f t="shared" si="42"/>
        <v>0</v>
      </c>
      <c r="FS27">
        <v>0</v>
      </c>
      <c r="FT27" t="s">
        <v>21</v>
      </c>
      <c r="FU27" t="s">
        <v>22</v>
      </c>
      <c r="FX27">
        <v>108</v>
      </c>
      <c r="FY27">
        <v>55.25</v>
      </c>
      <c r="GA27" t="s">
        <v>3</v>
      </c>
      <c r="GD27">
        <v>1</v>
      </c>
      <c r="GF27">
        <v>1882781200</v>
      </c>
      <c r="GG27">
        <v>2</v>
      </c>
      <c r="GH27">
        <v>1</v>
      </c>
      <c r="GI27">
        <v>2</v>
      </c>
      <c r="GJ27">
        <v>0</v>
      </c>
      <c r="GK27">
        <v>0</v>
      </c>
      <c r="GL27">
        <f t="shared" si="43"/>
        <v>0</v>
      </c>
      <c r="GM27">
        <f t="shared" si="44"/>
        <v>19362.599999999999</v>
      </c>
      <c r="GN27">
        <f t="shared" si="45"/>
        <v>19362.599999999999</v>
      </c>
      <c r="GO27">
        <f t="shared" si="46"/>
        <v>0</v>
      </c>
      <c r="GP27">
        <f t="shared" si="47"/>
        <v>0</v>
      </c>
      <c r="GR27">
        <v>0</v>
      </c>
      <c r="GS27">
        <v>3</v>
      </c>
      <c r="GT27">
        <v>0</v>
      </c>
      <c r="GU27" t="s">
        <v>3</v>
      </c>
      <c r="GV27">
        <f t="shared" si="48"/>
        <v>0</v>
      </c>
      <c r="GW27">
        <v>1</v>
      </c>
      <c r="GX27">
        <f t="shared" si="49"/>
        <v>0</v>
      </c>
      <c r="HA27">
        <v>0</v>
      </c>
      <c r="HB27">
        <v>0</v>
      </c>
      <c r="HC27">
        <f t="shared" si="50"/>
        <v>0</v>
      </c>
      <c r="HE27" t="s">
        <v>3</v>
      </c>
      <c r="HF27" t="s">
        <v>3</v>
      </c>
      <c r="IK27">
        <v>0</v>
      </c>
    </row>
    <row r="28" spans="1:245">
      <c r="A28">
        <v>17</v>
      </c>
      <c r="B28">
        <v>1</v>
      </c>
      <c r="C28">
        <f>ROW(SmtRes!A23)</f>
        <v>23</v>
      </c>
      <c r="D28">
        <f>ROW(EtalonRes!A22)</f>
        <v>22</v>
      </c>
      <c r="E28" t="s">
        <v>46</v>
      </c>
      <c r="F28" t="s">
        <v>47</v>
      </c>
      <c r="G28" t="s">
        <v>48</v>
      </c>
      <c r="H28" t="s">
        <v>49</v>
      </c>
      <c r="I28">
        <f>ROUND(90/100,9)</f>
        <v>0.9</v>
      </c>
      <c r="J28">
        <v>0</v>
      </c>
      <c r="O28">
        <f t="shared" si="14"/>
        <v>15250.75</v>
      </c>
      <c r="P28">
        <f t="shared" si="15"/>
        <v>3108.31</v>
      </c>
      <c r="Q28">
        <f t="shared" si="16"/>
        <v>994.8</v>
      </c>
      <c r="R28">
        <f t="shared" si="17"/>
        <v>356.57</v>
      </c>
      <c r="S28">
        <f t="shared" si="18"/>
        <v>11147.64</v>
      </c>
      <c r="T28">
        <f t="shared" si="19"/>
        <v>0</v>
      </c>
      <c r="U28">
        <f t="shared" si="20"/>
        <v>36.7425</v>
      </c>
      <c r="V28">
        <f t="shared" si="21"/>
        <v>0.79874999999999996</v>
      </c>
      <c r="W28">
        <f t="shared" si="22"/>
        <v>0</v>
      </c>
      <c r="X28">
        <f t="shared" si="23"/>
        <v>12424.55</v>
      </c>
      <c r="Y28">
        <f t="shared" si="24"/>
        <v>6327.32</v>
      </c>
      <c r="AA28">
        <v>35779378</v>
      </c>
      <c r="AB28">
        <f t="shared" si="25"/>
        <v>956.971</v>
      </c>
      <c r="AC28">
        <f t="shared" si="26"/>
        <v>462.96</v>
      </c>
      <c r="AD28">
        <f>ROUND(((((ET28*1.25))-((EU28*1.25)))+AE28),6)</f>
        <v>119.2375</v>
      </c>
      <c r="AE28">
        <f>ROUND(((EU28*1.25)),6)</f>
        <v>11.987500000000001</v>
      </c>
      <c r="AF28">
        <f>ROUND(((EV28*1.15)),6)</f>
        <v>374.77350000000001</v>
      </c>
      <c r="AG28">
        <f t="shared" si="28"/>
        <v>0</v>
      </c>
      <c r="AH28">
        <f>((EW28*1.15))</f>
        <v>40.824999999999996</v>
      </c>
      <c r="AI28">
        <f>((EX28*1.25))</f>
        <v>0.88749999999999996</v>
      </c>
      <c r="AJ28">
        <f t="shared" si="30"/>
        <v>0</v>
      </c>
      <c r="AK28">
        <v>884.24</v>
      </c>
      <c r="AL28">
        <v>462.96</v>
      </c>
      <c r="AM28">
        <v>95.39</v>
      </c>
      <c r="AN28">
        <v>9.59</v>
      </c>
      <c r="AO28">
        <v>325.89</v>
      </c>
      <c r="AP28">
        <v>0</v>
      </c>
      <c r="AQ28">
        <v>35.5</v>
      </c>
      <c r="AR28">
        <v>0.71</v>
      </c>
      <c r="AS28">
        <v>0</v>
      </c>
      <c r="AT28">
        <v>108</v>
      </c>
      <c r="AU28">
        <v>55</v>
      </c>
      <c r="AV28">
        <v>1</v>
      </c>
      <c r="AW28">
        <v>1</v>
      </c>
      <c r="AZ28">
        <v>1</v>
      </c>
      <c r="BA28">
        <v>33.049999999999997</v>
      </c>
      <c r="BB28">
        <v>9.27</v>
      </c>
      <c r="BC28">
        <v>7.46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50</v>
      </c>
      <c r="BM28">
        <v>12001</v>
      </c>
      <c r="BN28">
        <v>0</v>
      </c>
      <c r="BO28" t="s">
        <v>47</v>
      </c>
      <c r="BP28">
        <v>1</v>
      </c>
      <c r="BQ28">
        <v>2</v>
      </c>
      <c r="BR28">
        <v>0</v>
      </c>
      <c r="BS28">
        <v>33.049999999999997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120</v>
      </c>
      <c r="CA28">
        <v>65</v>
      </c>
      <c r="CE28">
        <v>0</v>
      </c>
      <c r="CF28">
        <v>0</v>
      </c>
      <c r="CG28">
        <v>0</v>
      </c>
      <c r="CM28">
        <v>0</v>
      </c>
      <c r="CN28" t="s">
        <v>269</v>
      </c>
      <c r="CO28">
        <v>0</v>
      </c>
      <c r="CP28">
        <f t="shared" si="31"/>
        <v>15250.75</v>
      </c>
      <c r="CQ28">
        <f t="shared" si="32"/>
        <v>3453.6815999999999</v>
      </c>
      <c r="CR28">
        <f t="shared" si="33"/>
        <v>1105.331625</v>
      </c>
      <c r="CS28">
        <f t="shared" si="34"/>
        <v>396.18687499999999</v>
      </c>
      <c r="CT28">
        <f t="shared" si="35"/>
        <v>12386.264175</v>
      </c>
      <c r="CU28">
        <f t="shared" si="36"/>
        <v>0</v>
      </c>
      <c r="CV28">
        <f t="shared" si="37"/>
        <v>40.824999999999996</v>
      </c>
      <c r="CW28">
        <f t="shared" si="38"/>
        <v>0.88749999999999996</v>
      </c>
      <c r="CX28">
        <f t="shared" si="39"/>
        <v>0</v>
      </c>
      <c r="CY28">
        <f t="shared" si="40"/>
        <v>12424.5468</v>
      </c>
      <c r="CZ28">
        <f t="shared" si="41"/>
        <v>6327.3154999999997</v>
      </c>
      <c r="DC28" t="s">
        <v>3</v>
      </c>
      <c r="DD28" t="s">
        <v>3</v>
      </c>
      <c r="DE28" t="s">
        <v>41</v>
      </c>
      <c r="DF28" t="s">
        <v>41</v>
      </c>
      <c r="DG28" t="s">
        <v>42</v>
      </c>
      <c r="DH28" t="s">
        <v>3</v>
      </c>
      <c r="DI28" t="s">
        <v>42</v>
      </c>
      <c r="DJ28" t="s">
        <v>41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49</v>
      </c>
      <c r="DW28" t="s">
        <v>49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36260428</v>
      </c>
      <c r="EF28">
        <v>2</v>
      </c>
      <c r="EG28" t="s">
        <v>18</v>
      </c>
      <c r="EH28">
        <v>0</v>
      </c>
      <c r="EI28" t="s">
        <v>3</v>
      </c>
      <c r="EJ28">
        <v>1</v>
      </c>
      <c r="EK28">
        <v>12001</v>
      </c>
      <c r="EL28" t="s">
        <v>43</v>
      </c>
      <c r="EM28" t="s">
        <v>44</v>
      </c>
      <c r="EO28" t="s">
        <v>45</v>
      </c>
      <c r="EQ28">
        <v>0</v>
      </c>
      <c r="ER28">
        <v>884.24</v>
      </c>
      <c r="ES28">
        <v>462.96</v>
      </c>
      <c r="ET28">
        <v>95.39</v>
      </c>
      <c r="EU28">
        <v>9.59</v>
      </c>
      <c r="EV28">
        <v>325.89</v>
      </c>
      <c r="EW28">
        <v>35.5</v>
      </c>
      <c r="EX28">
        <v>0.71</v>
      </c>
      <c r="EY28">
        <v>0</v>
      </c>
      <c r="FQ28">
        <v>0</v>
      </c>
      <c r="FR28">
        <f t="shared" si="42"/>
        <v>0</v>
      </c>
      <c r="FS28">
        <v>0</v>
      </c>
      <c r="FT28" t="s">
        <v>21</v>
      </c>
      <c r="FU28" t="s">
        <v>22</v>
      </c>
      <c r="FX28">
        <v>108</v>
      </c>
      <c r="FY28">
        <v>55.25</v>
      </c>
      <c r="GA28" t="s">
        <v>3</v>
      </c>
      <c r="GD28">
        <v>1</v>
      </c>
      <c r="GF28">
        <v>-977405512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43"/>
        <v>0</v>
      </c>
      <c r="GM28">
        <f t="shared" si="44"/>
        <v>34002.620000000003</v>
      </c>
      <c r="GN28">
        <f t="shared" si="45"/>
        <v>34002.620000000003</v>
      </c>
      <c r="GO28">
        <f t="shared" si="46"/>
        <v>0</v>
      </c>
      <c r="GP28">
        <f t="shared" si="47"/>
        <v>0</v>
      </c>
      <c r="GR28">
        <v>0</v>
      </c>
      <c r="GS28">
        <v>3</v>
      </c>
      <c r="GT28">
        <v>0</v>
      </c>
      <c r="GU28" t="s">
        <v>3</v>
      </c>
      <c r="GV28">
        <f t="shared" si="48"/>
        <v>0</v>
      </c>
      <c r="GW28">
        <v>1</v>
      </c>
      <c r="GX28">
        <f t="shared" si="49"/>
        <v>0</v>
      </c>
      <c r="HA28">
        <v>0</v>
      </c>
      <c r="HB28">
        <v>0</v>
      </c>
      <c r="HC28">
        <f t="shared" si="50"/>
        <v>0</v>
      </c>
      <c r="HE28" t="s">
        <v>3</v>
      </c>
      <c r="HF28" t="s">
        <v>3</v>
      </c>
      <c r="IK28">
        <v>0</v>
      </c>
    </row>
    <row r="29" spans="1:245">
      <c r="A29">
        <v>18</v>
      </c>
      <c r="B29">
        <v>1</v>
      </c>
      <c r="C29">
        <v>21</v>
      </c>
      <c r="E29" t="s">
        <v>51</v>
      </c>
      <c r="F29" t="s">
        <v>52</v>
      </c>
      <c r="G29" t="s">
        <v>53</v>
      </c>
      <c r="H29" t="s">
        <v>54</v>
      </c>
      <c r="I29">
        <f>I28*J29</f>
        <v>226.8</v>
      </c>
      <c r="J29">
        <v>252</v>
      </c>
      <c r="O29">
        <f t="shared" si="14"/>
        <v>0</v>
      </c>
      <c r="P29">
        <f t="shared" si="15"/>
        <v>0</v>
      </c>
      <c r="Q29">
        <f t="shared" si="16"/>
        <v>0</v>
      </c>
      <c r="R29">
        <f t="shared" si="17"/>
        <v>0</v>
      </c>
      <c r="S29">
        <f t="shared" si="18"/>
        <v>0</v>
      </c>
      <c r="T29">
        <f t="shared" si="19"/>
        <v>0</v>
      </c>
      <c r="U29">
        <f t="shared" si="20"/>
        <v>0</v>
      </c>
      <c r="V29">
        <f t="shared" si="21"/>
        <v>0</v>
      </c>
      <c r="W29">
        <f t="shared" si="22"/>
        <v>0</v>
      </c>
      <c r="X29">
        <f t="shared" si="23"/>
        <v>0</v>
      </c>
      <c r="Y29">
        <f t="shared" si="24"/>
        <v>0</v>
      </c>
      <c r="AA29">
        <v>35779378</v>
      </c>
      <c r="AB29">
        <f t="shared" si="25"/>
        <v>0</v>
      </c>
      <c r="AC29">
        <f t="shared" si="26"/>
        <v>0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 t="shared" si="28"/>
        <v>0</v>
      </c>
      <c r="AH29">
        <f>(EW29)</f>
        <v>0</v>
      </c>
      <c r="AI29">
        <f>(EX29)</f>
        <v>0</v>
      </c>
      <c r="AJ29">
        <f t="shared" si="30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108</v>
      </c>
      <c r="AU29">
        <v>55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55</v>
      </c>
      <c r="BM29">
        <v>12001</v>
      </c>
      <c r="BN29">
        <v>0</v>
      </c>
      <c r="BO29" t="s">
        <v>3</v>
      </c>
      <c r="BP29">
        <v>0</v>
      </c>
      <c r="BQ29">
        <v>2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120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1"/>
        <v>0</v>
      </c>
      <c r="CQ29">
        <f t="shared" si="32"/>
        <v>0</v>
      </c>
      <c r="CR29">
        <f t="shared" si="33"/>
        <v>0</v>
      </c>
      <c r="CS29">
        <f t="shared" si="34"/>
        <v>0</v>
      </c>
      <c r="CT29">
        <f t="shared" si="35"/>
        <v>0</v>
      </c>
      <c r="CU29">
        <f t="shared" si="36"/>
        <v>0</v>
      </c>
      <c r="CV29">
        <f t="shared" si="37"/>
        <v>0</v>
      </c>
      <c r="CW29">
        <f t="shared" si="38"/>
        <v>0</v>
      </c>
      <c r="CX29">
        <f t="shared" si="39"/>
        <v>0</v>
      </c>
      <c r="CY29">
        <f t="shared" si="40"/>
        <v>0</v>
      </c>
      <c r="CZ29">
        <f t="shared" si="41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1005</v>
      </c>
      <c r="DV29" t="s">
        <v>54</v>
      </c>
      <c r="DW29" t="s">
        <v>54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36260428</v>
      </c>
      <c r="EF29">
        <v>2</v>
      </c>
      <c r="EG29" t="s">
        <v>18</v>
      </c>
      <c r="EH29">
        <v>0</v>
      </c>
      <c r="EI29" t="s">
        <v>3</v>
      </c>
      <c r="EJ29">
        <v>1</v>
      </c>
      <c r="EK29">
        <v>12001</v>
      </c>
      <c r="EL29" t="s">
        <v>43</v>
      </c>
      <c r="EM29" t="s">
        <v>44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42"/>
        <v>0</v>
      </c>
      <c r="FS29">
        <v>0</v>
      </c>
      <c r="FT29" t="s">
        <v>21</v>
      </c>
      <c r="FU29" t="s">
        <v>22</v>
      </c>
      <c r="FX29">
        <v>108</v>
      </c>
      <c r="FY29">
        <v>55.25</v>
      </c>
      <c r="GA29" t="s">
        <v>3</v>
      </c>
      <c r="GD29">
        <v>1</v>
      </c>
      <c r="GF29">
        <v>715976618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43"/>
        <v>0</v>
      </c>
      <c r="GM29">
        <f t="shared" si="44"/>
        <v>0</v>
      </c>
      <c r="GN29">
        <f t="shared" si="45"/>
        <v>0</v>
      </c>
      <c r="GO29">
        <f t="shared" si="46"/>
        <v>0</v>
      </c>
      <c r="GP29">
        <f t="shared" si="47"/>
        <v>0</v>
      </c>
      <c r="GR29">
        <v>0</v>
      </c>
      <c r="GS29">
        <v>3</v>
      </c>
      <c r="GT29">
        <v>0</v>
      </c>
      <c r="GU29" t="s">
        <v>3</v>
      </c>
      <c r="GV29">
        <f t="shared" si="48"/>
        <v>0</v>
      </c>
      <c r="GW29">
        <v>1</v>
      </c>
      <c r="GX29">
        <f t="shared" si="49"/>
        <v>0</v>
      </c>
      <c r="HA29">
        <v>0</v>
      </c>
      <c r="HB29">
        <v>0</v>
      </c>
      <c r="HC29">
        <f t="shared" si="50"/>
        <v>0</v>
      </c>
      <c r="HE29" t="s">
        <v>3</v>
      </c>
      <c r="HF29" t="s">
        <v>3</v>
      </c>
      <c r="IK29">
        <v>0</v>
      </c>
    </row>
    <row r="30" spans="1:245">
      <c r="A30">
        <v>18</v>
      </c>
      <c r="B30">
        <v>1</v>
      </c>
      <c r="C30">
        <v>23</v>
      </c>
      <c r="E30" t="s">
        <v>56</v>
      </c>
      <c r="F30" t="s">
        <v>57</v>
      </c>
      <c r="G30" t="s">
        <v>58</v>
      </c>
      <c r="H30" t="s">
        <v>59</v>
      </c>
      <c r="I30">
        <f>I28*J30</f>
        <v>226.8</v>
      </c>
      <c r="J30">
        <v>252</v>
      </c>
      <c r="O30">
        <f t="shared" si="14"/>
        <v>43092</v>
      </c>
      <c r="P30">
        <f t="shared" si="15"/>
        <v>43092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0</v>
      </c>
      <c r="X30">
        <f t="shared" si="23"/>
        <v>0</v>
      </c>
      <c r="Y30">
        <f t="shared" si="24"/>
        <v>0</v>
      </c>
      <c r="AA30">
        <v>35779378</v>
      </c>
      <c r="AB30">
        <f t="shared" si="25"/>
        <v>190</v>
      </c>
      <c r="AC30">
        <f t="shared" si="26"/>
        <v>190</v>
      </c>
      <c r="AD30">
        <f>ROUND((((ET30)-(EU30))+AE30),6)</f>
        <v>0</v>
      </c>
      <c r="AE30">
        <f>ROUND((EU30),6)</f>
        <v>0</v>
      </c>
      <c r="AF30">
        <f>ROUND((EV30),6)</f>
        <v>0</v>
      </c>
      <c r="AG30">
        <f t="shared" si="28"/>
        <v>0</v>
      </c>
      <c r="AH30">
        <f>(EW30)</f>
        <v>0</v>
      </c>
      <c r="AI30">
        <f>(EX30)</f>
        <v>0</v>
      </c>
      <c r="AJ30">
        <f t="shared" si="30"/>
        <v>0</v>
      </c>
      <c r="AK30">
        <v>190</v>
      </c>
      <c r="AL30">
        <v>190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108</v>
      </c>
      <c r="AU30">
        <v>55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</v>
      </c>
      <c r="BM30">
        <v>12001</v>
      </c>
      <c r="BN30">
        <v>0</v>
      </c>
      <c r="BO30" t="s">
        <v>3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120</v>
      </c>
      <c r="CA30">
        <v>65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1"/>
        <v>43092</v>
      </c>
      <c r="CQ30">
        <f t="shared" si="32"/>
        <v>190</v>
      </c>
      <c r="CR30">
        <f t="shared" si="33"/>
        <v>0</v>
      </c>
      <c r="CS30">
        <f t="shared" si="34"/>
        <v>0</v>
      </c>
      <c r="CT30">
        <f t="shared" si="35"/>
        <v>0</v>
      </c>
      <c r="CU30">
        <f t="shared" si="36"/>
        <v>0</v>
      </c>
      <c r="CV30">
        <f t="shared" si="37"/>
        <v>0</v>
      </c>
      <c r="CW30">
        <f t="shared" si="38"/>
        <v>0</v>
      </c>
      <c r="CX30">
        <f t="shared" si="39"/>
        <v>0</v>
      </c>
      <c r="CY30">
        <f t="shared" si="40"/>
        <v>0</v>
      </c>
      <c r="CZ30">
        <f t="shared" si="41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1005</v>
      </c>
      <c r="DV30" t="s">
        <v>59</v>
      </c>
      <c r="DW30" t="s">
        <v>60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36260428</v>
      </c>
      <c r="EF30">
        <v>2</v>
      </c>
      <c r="EG30" t="s">
        <v>18</v>
      </c>
      <c r="EH30">
        <v>0</v>
      </c>
      <c r="EI30" t="s">
        <v>3</v>
      </c>
      <c r="EJ30">
        <v>1</v>
      </c>
      <c r="EK30">
        <v>12001</v>
      </c>
      <c r="EL30" t="s">
        <v>43</v>
      </c>
      <c r="EM30" t="s">
        <v>44</v>
      </c>
      <c r="EO30" t="s">
        <v>3</v>
      </c>
      <c r="EQ30">
        <v>0</v>
      </c>
      <c r="ER30">
        <v>190</v>
      </c>
      <c r="ES30">
        <v>190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42"/>
        <v>0</v>
      </c>
      <c r="FS30">
        <v>0</v>
      </c>
      <c r="FT30" t="s">
        <v>21</v>
      </c>
      <c r="FU30" t="s">
        <v>22</v>
      </c>
      <c r="FX30">
        <v>108</v>
      </c>
      <c r="FY30">
        <v>55.25</v>
      </c>
      <c r="GA30" t="s">
        <v>61</v>
      </c>
      <c r="GD30">
        <v>1</v>
      </c>
      <c r="GF30">
        <v>416258569</v>
      </c>
      <c r="GG30">
        <v>2</v>
      </c>
      <c r="GH30">
        <v>0</v>
      </c>
      <c r="GI30">
        <v>-2</v>
      </c>
      <c r="GJ30">
        <v>0</v>
      </c>
      <c r="GK30">
        <v>0</v>
      </c>
      <c r="GL30">
        <f t="shared" si="43"/>
        <v>0</v>
      </c>
      <c r="GM30">
        <f t="shared" si="44"/>
        <v>43092</v>
      </c>
      <c r="GN30">
        <f t="shared" si="45"/>
        <v>43092</v>
      </c>
      <c r="GO30">
        <f t="shared" si="46"/>
        <v>0</v>
      </c>
      <c r="GP30">
        <f t="shared" si="47"/>
        <v>0</v>
      </c>
      <c r="GR30">
        <v>0</v>
      </c>
      <c r="GS30">
        <v>4</v>
      </c>
      <c r="GT30">
        <v>0</v>
      </c>
      <c r="GU30" t="s">
        <v>3</v>
      </c>
      <c r="GV30">
        <f t="shared" si="48"/>
        <v>0</v>
      </c>
      <c r="GW30">
        <v>1</v>
      </c>
      <c r="GX30">
        <f t="shared" si="49"/>
        <v>0</v>
      </c>
      <c r="HA30">
        <v>0</v>
      </c>
      <c r="HB30">
        <v>0</v>
      </c>
      <c r="HC30">
        <f t="shared" si="50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C31">
        <f>ROW(SmtRes!A32)</f>
        <v>32</v>
      </c>
      <c r="D31">
        <f>ROW(EtalonRes!A31)</f>
        <v>31</v>
      </c>
      <c r="E31" t="s">
        <v>62</v>
      </c>
      <c r="F31" t="s">
        <v>63</v>
      </c>
      <c r="G31" t="s">
        <v>64</v>
      </c>
      <c r="H31" t="s">
        <v>39</v>
      </c>
      <c r="I31">
        <f>ROUND(498.4/100,9)</f>
        <v>4.984</v>
      </c>
      <c r="J31">
        <v>0</v>
      </c>
      <c r="O31">
        <f t="shared" si="14"/>
        <v>36057.620000000003</v>
      </c>
      <c r="P31">
        <f t="shared" si="15"/>
        <v>8287.64</v>
      </c>
      <c r="Q31">
        <f t="shared" si="16"/>
        <v>2200.8000000000002</v>
      </c>
      <c r="R31">
        <f t="shared" si="17"/>
        <v>555.92999999999995</v>
      </c>
      <c r="S31">
        <f t="shared" si="18"/>
        <v>25569.18</v>
      </c>
      <c r="T31">
        <f t="shared" si="19"/>
        <v>0</v>
      </c>
      <c r="U31">
        <f t="shared" si="20"/>
        <v>82.305775999999994</v>
      </c>
      <c r="V31">
        <f t="shared" si="21"/>
        <v>1.246</v>
      </c>
      <c r="W31">
        <f t="shared" si="22"/>
        <v>0</v>
      </c>
      <c r="X31">
        <f t="shared" si="23"/>
        <v>28215.119999999999</v>
      </c>
      <c r="Y31">
        <f t="shared" si="24"/>
        <v>14368.81</v>
      </c>
      <c r="AA31">
        <v>35779378</v>
      </c>
      <c r="AB31">
        <f t="shared" si="25"/>
        <v>390.69450000000001</v>
      </c>
      <c r="AC31">
        <f t="shared" si="26"/>
        <v>182.33</v>
      </c>
      <c r="AD31">
        <f>ROUND(((((ET31*1.25))-((EU31*1.25)))+AE31),6)</f>
        <v>53.137500000000003</v>
      </c>
      <c r="AE31">
        <f>ROUND(((EU31*1.25)),6)</f>
        <v>3.375</v>
      </c>
      <c r="AF31">
        <f>ROUND(((EV31*1.15)),6)</f>
        <v>155.227</v>
      </c>
      <c r="AG31">
        <f t="shared" si="28"/>
        <v>0</v>
      </c>
      <c r="AH31">
        <f>((EW31*1.15))</f>
        <v>16.513999999999999</v>
      </c>
      <c r="AI31">
        <f>((EX31*1.25))</f>
        <v>0.25</v>
      </c>
      <c r="AJ31">
        <f t="shared" si="30"/>
        <v>0</v>
      </c>
      <c r="AK31">
        <v>359.82</v>
      </c>
      <c r="AL31">
        <v>182.33</v>
      </c>
      <c r="AM31">
        <v>42.51</v>
      </c>
      <c r="AN31">
        <v>2.7</v>
      </c>
      <c r="AO31">
        <v>134.97999999999999</v>
      </c>
      <c r="AP31">
        <v>0</v>
      </c>
      <c r="AQ31">
        <v>14.36</v>
      </c>
      <c r="AR31">
        <v>0.2</v>
      </c>
      <c r="AS31">
        <v>0</v>
      </c>
      <c r="AT31">
        <v>108</v>
      </c>
      <c r="AU31">
        <v>55</v>
      </c>
      <c r="AV31">
        <v>1</v>
      </c>
      <c r="AW31">
        <v>1</v>
      </c>
      <c r="AZ31">
        <v>1</v>
      </c>
      <c r="BA31">
        <v>33.049999999999997</v>
      </c>
      <c r="BB31">
        <v>8.31</v>
      </c>
      <c r="BC31">
        <v>9.1199999999999992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65</v>
      </c>
      <c r="BM31">
        <v>12001</v>
      </c>
      <c r="BN31">
        <v>0</v>
      </c>
      <c r="BO31" t="s">
        <v>63</v>
      </c>
      <c r="BP31">
        <v>1</v>
      </c>
      <c r="BQ31">
        <v>2</v>
      </c>
      <c r="BR31">
        <v>0</v>
      </c>
      <c r="BS31">
        <v>33.049999999999997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120</v>
      </c>
      <c r="CA31">
        <v>65</v>
      </c>
      <c r="CE31">
        <v>0</v>
      </c>
      <c r="CF31">
        <v>0</v>
      </c>
      <c r="CG31">
        <v>0</v>
      </c>
      <c r="CM31">
        <v>0</v>
      </c>
      <c r="CN31" t="s">
        <v>269</v>
      </c>
      <c r="CO31">
        <v>0</v>
      </c>
      <c r="CP31">
        <f t="shared" si="31"/>
        <v>36057.619999999995</v>
      </c>
      <c r="CQ31">
        <f t="shared" si="32"/>
        <v>1662.8496</v>
      </c>
      <c r="CR31">
        <f t="shared" si="33"/>
        <v>441.57262500000007</v>
      </c>
      <c r="CS31">
        <f t="shared" si="34"/>
        <v>111.54374999999999</v>
      </c>
      <c r="CT31">
        <f t="shared" si="35"/>
        <v>5130.2523499999998</v>
      </c>
      <c r="CU31">
        <f t="shared" si="36"/>
        <v>0</v>
      </c>
      <c r="CV31">
        <f t="shared" si="37"/>
        <v>16.513999999999999</v>
      </c>
      <c r="CW31">
        <f t="shared" si="38"/>
        <v>0.25</v>
      </c>
      <c r="CX31">
        <f t="shared" si="39"/>
        <v>0</v>
      </c>
      <c r="CY31">
        <f t="shared" si="40"/>
        <v>28215.1188</v>
      </c>
      <c r="CZ31">
        <f t="shared" si="41"/>
        <v>14368.8105</v>
      </c>
      <c r="DC31" t="s">
        <v>3</v>
      </c>
      <c r="DD31" t="s">
        <v>3</v>
      </c>
      <c r="DE31" t="s">
        <v>41</v>
      </c>
      <c r="DF31" t="s">
        <v>41</v>
      </c>
      <c r="DG31" t="s">
        <v>42</v>
      </c>
      <c r="DH31" t="s">
        <v>3</v>
      </c>
      <c r="DI31" t="s">
        <v>42</v>
      </c>
      <c r="DJ31" t="s">
        <v>41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39</v>
      </c>
      <c r="DW31" t="s">
        <v>39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36260428</v>
      </c>
      <c r="EF31">
        <v>2</v>
      </c>
      <c r="EG31" t="s">
        <v>18</v>
      </c>
      <c r="EH31">
        <v>0</v>
      </c>
      <c r="EI31" t="s">
        <v>3</v>
      </c>
      <c r="EJ31">
        <v>1</v>
      </c>
      <c r="EK31">
        <v>12001</v>
      </c>
      <c r="EL31" t="s">
        <v>43</v>
      </c>
      <c r="EM31" t="s">
        <v>44</v>
      </c>
      <c r="EO31" t="s">
        <v>45</v>
      </c>
      <c r="EQ31">
        <v>0</v>
      </c>
      <c r="ER31">
        <v>359.82</v>
      </c>
      <c r="ES31">
        <v>182.33</v>
      </c>
      <c r="ET31">
        <v>42.51</v>
      </c>
      <c r="EU31">
        <v>2.7</v>
      </c>
      <c r="EV31">
        <v>134.97999999999999</v>
      </c>
      <c r="EW31">
        <v>14.36</v>
      </c>
      <c r="EX31">
        <v>0.2</v>
      </c>
      <c r="EY31">
        <v>0</v>
      </c>
      <c r="FQ31">
        <v>0</v>
      </c>
      <c r="FR31">
        <f t="shared" si="42"/>
        <v>0</v>
      </c>
      <c r="FS31">
        <v>0</v>
      </c>
      <c r="FT31" t="s">
        <v>21</v>
      </c>
      <c r="FU31" t="s">
        <v>22</v>
      </c>
      <c r="FX31">
        <v>108</v>
      </c>
      <c r="FY31">
        <v>55.25</v>
      </c>
      <c r="GA31" t="s">
        <v>3</v>
      </c>
      <c r="GD31">
        <v>1</v>
      </c>
      <c r="GF31">
        <v>1028182005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3"/>
        <v>0</v>
      </c>
      <c r="GM31">
        <f t="shared" si="44"/>
        <v>78641.55</v>
      </c>
      <c r="GN31">
        <f t="shared" si="45"/>
        <v>78641.55</v>
      </c>
      <c r="GO31">
        <f t="shared" si="46"/>
        <v>0</v>
      </c>
      <c r="GP31">
        <f t="shared" si="47"/>
        <v>0</v>
      </c>
      <c r="GR31">
        <v>0</v>
      </c>
      <c r="GS31">
        <v>3</v>
      </c>
      <c r="GT31">
        <v>0</v>
      </c>
      <c r="GU31" t="s">
        <v>3</v>
      </c>
      <c r="GV31">
        <f t="shared" si="48"/>
        <v>0</v>
      </c>
      <c r="GW31">
        <v>1</v>
      </c>
      <c r="GX31">
        <f t="shared" si="49"/>
        <v>0</v>
      </c>
      <c r="HA31">
        <v>0</v>
      </c>
      <c r="HB31">
        <v>0</v>
      </c>
      <c r="HC31">
        <f t="shared" si="50"/>
        <v>0</v>
      </c>
      <c r="HE31" t="s">
        <v>3</v>
      </c>
      <c r="HF31" t="s">
        <v>3</v>
      </c>
      <c r="IK31">
        <v>0</v>
      </c>
    </row>
    <row r="32" spans="1:245">
      <c r="A32">
        <v>18</v>
      </c>
      <c r="B32">
        <v>1</v>
      </c>
      <c r="C32">
        <v>31</v>
      </c>
      <c r="E32" t="s">
        <v>66</v>
      </c>
      <c r="F32" t="s">
        <v>57</v>
      </c>
      <c r="G32" t="s">
        <v>67</v>
      </c>
      <c r="H32" t="s">
        <v>3</v>
      </c>
      <c r="I32">
        <f>I31*J32</f>
        <v>578.14400000000001</v>
      </c>
      <c r="J32">
        <v>116</v>
      </c>
      <c r="O32">
        <f t="shared" si="14"/>
        <v>86721.600000000006</v>
      </c>
      <c r="P32">
        <f t="shared" si="15"/>
        <v>86721.600000000006</v>
      </c>
      <c r="Q32">
        <f t="shared" si="16"/>
        <v>0</v>
      </c>
      <c r="R32">
        <f t="shared" si="17"/>
        <v>0</v>
      </c>
      <c r="S32">
        <f t="shared" si="18"/>
        <v>0</v>
      </c>
      <c r="T32">
        <f t="shared" si="19"/>
        <v>0</v>
      </c>
      <c r="U32">
        <f t="shared" si="20"/>
        <v>0</v>
      </c>
      <c r="V32">
        <f t="shared" si="21"/>
        <v>0</v>
      </c>
      <c r="W32">
        <f t="shared" si="22"/>
        <v>0</v>
      </c>
      <c r="X32">
        <f t="shared" si="23"/>
        <v>0</v>
      </c>
      <c r="Y32">
        <f t="shared" si="24"/>
        <v>0</v>
      </c>
      <c r="AA32">
        <v>35779378</v>
      </c>
      <c r="AB32">
        <f t="shared" si="25"/>
        <v>150</v>
      </c>
      <c r="AC32">
        <f t="shared" si="26"/>
        <v>150</v>
      </c>
      <c r="AD32">
        <f>ROUND((((ET32)-(EU32))+AE32),6)</f>
        <v>0</v>
      </c>
      <c r="AE32">
        <f>ROUND((EU32),6)</f>
        <v>0</v>
      </c>
      <c r="AF32">
        <f>ROUND((EV32),6)</f>
        <v>0</v>
      </c>
      <c r="AG32">
        <f t="shared" si="28"/>
        <v>0</v>
      </c>
      <c r="AH32">
        <f t="shared" ref="AH32:AI35" si="51">(EW32)</f>
        <v>0</v>
      </c>
      <c r="AI32">
        <f t="shared" si="51"/>
        <v>0</v>
      </c>
      <c r="AJ32">
        <f t="shared" si="30"/>
        <v>0</v>
      </c>
      <c r="AK32">
        <v>150</v>
      </c>
      <c r="AL32">
        <v>150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108</v>
      </c>
      <c r="AU32">
        <v>55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</v>
      </c>
      <c r="BM32">
        <v>12001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120</v>
      </c>
      <c r="CA32">
        <v>65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1"/>
        <v>86721.600000000006</v>
      </c>
      <c r="CQ32">
        <f t="shared" si="32"/>
        <v>150</v>
      </c>
      <c r="CR32">
        <f t="shared" si="33"/>
        <v>0</v>
      </c>
      <c r="CS32">
        <f t="shared" si="34"/>
        <v>0</v>
      </c>
      <c r="CT32">
        <f t="shared" si="35"/>
        <v>0</v>
      </c>
      <c r="CU32">
        <f t="shared" si="36"/>
        <v>0</v>
      </c>
      <c r="CV32">
        <f t="shared" si="37"/>
        <v>0</v>
      </c>
      <c r="CW32">
        <f t="shared" si="38"/>
        <v>0</v>
      </c>
      <c r="CX32">
        <f t="shared" si="39"/>
        <v>0</v>
      </c>
      <c r="CY32">
        <f t="shared" si="40"/>
        <v>0</v>
      </c>
      <c r="CZ32">
        <f t="shared" si="41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Z32" t="s">
        <v>3</v>
      </c>
      <c r="EA32" t="s">
        <v>3</v>
      </c>
      <c r="EB32" t="s">
        <v>3</v>
      </c>
      <c r="EC32" t="s">
        <v>3</v>
      </c>
      <c r="EE32">
        <v>36260428</v>
      </c>
      <c r="EF32">
        <v>2</v>
      </c>
      <c r="EG32" t="s">
        <v>18</v>
      </c>
      <c r="EH32">
        <v>0</v>
      </c>
      <c r="EI32" t="s">
        <v>3</v>
      </c>
      <c r="EJ32">
        <v>1</v>
      </c>
      <c r="EK32">
        <v>12001</v>
      </c>
      <c r="EL32" t="s">
        <v>43</v>
      </c>
      <c r="EM32" t="s">
        <v>44</v>
      </c>
      <c r="EO32" t="s">
        <v>3</v>
      </c>
      <c r="EQ32">
        <v>0</v>
      </c>
      <c r="ER32">
        <v>150</v>
      </c>
      <c r="ES32">
        <v>150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f t="shared" si="42"/>
        <v>0</v>
      </c>
      <c r="FS32">
        <v>0</v>
      </c>
      <c r="FT32" t="s">
        <v>21</v>
      </c>
      <c r="FU32" t="s">
        <v>22</v>
      </c>
      <c r="FX32">
        <v>108</v>
      </c>
      <c r="FY32">
        <v>55.25</v>
      </c>
      <c r="GA32" t="s">
        <v>61</v>
      </c>
      <c r="GD32">
        <v>1</v>
      </c>
      <c r="GF32">
        <v>2098855725</v>
      </c>
      <c r="GG32">
        <v>2</v>
      </c>
      <c r="GH32">
        <v>0</v>
      </c>
      <c r="GI32">
        <v>-2</v>
      </c>
      <c r="GJ32">
        <v>0</v>
      </c>
      <c r="GK32">
        <v>0</v>
      </c>
      <c r="GL32">
        <f t="shared" si="43"/>
        <v>0</v>
      </c>
      <c r="GM32">
        <f t="shared" si="44"/>
        <v>86721.600000000006</v>
      </c>
      <c r="GN32">
        <f t="shared" si="45"/>
        <v>86721.600000000006</v>
      </c>
      <c r="GO32">
        <f t="shared" si="46"/>
        <v>0</v>
      </c>
      <c r="GP32">
        <f t="shared" si="47"/>
        <v>0</v>
      </c>
      <c r="GR32">
        <v>0</v>
      </c>
      <c r="GS32">
        <v>4</v>
      </c>
      <c r="GT32">
        <v>0</v>
      </c>
      <c r="GU32" t="s">
        <v>3</v>
      </c>
      <c r="GV32">
        <f t="shared" si="48"/>
        <v>0</v>
      </c>
      <c r="GW32">
        <v>1</v>
      </c>
      <c r="GX32">
        <f t="shared" si="49"/>
        <v>0</v>
      </c>
      <c r="HA32">
        <v>0</v>
      </c>
      <c r="HB32">
        <v>0</v>
      </c>
      <c r="HC32">
        <f t="shared" si="50"/>
        <v>0</v>
      </c>
      <c r="HE32" t="s">
        <v>3</v>
      </c>
      <c r="HF32" t="s">
        <v>3</v>
      </c>
      <c r="IK32">
        <v>0</v>
      </c>
    </row>
    <row r="33" spans="1:245">
      <c r="A33">
        <v>18</v>
      </c>
      <c r="B33">
        <v>1</v>
      </c>
      <c r="C33">
        <v>32</v>
      </c>
      <c r="E33" t="s">
        <v>68</v>
      </c>
      <c r="F33" t="s">
        <v>57</v>
      </c>
      <c r="G33" t="s">
        <v>69</v>
      </c>
      <c r="H33" t="s">
        <v>3</v>
      </c>
      <c r="I33">
        <f>I31*J33</f>
        <v>568.17600000000004</v>
      </c>
      <c r="J33">
        <v>114.00000000000001</v>
      </c>
      <c r="O33">
        <f t="shared" si="14"/>
        <v>107953.44</v>
      </c>
      <c r="P33">
        <f t="shared" si="15"/>
        <v>107953.44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0</v>
      </c>
      <c r="X33">
        <f t="shared" si="23"/>
        <v>0</v>
      </c>
      <c r="Y33">
        <f t="shared" si="24"/>
        <v>0</v>
      </c>
      <c r="AA33">
        <v>35779378</v>
      </c>
      <c r="AB33">
        <f t="shared" si="25"/>
        <v>190</v>
      </c>
      <c r="AC33">
        <f t="shared" si="26"/>
        <v>190</v>
      </c>
      <c r="AD33">
        <f>ROUND((((ET33)-(EU33))+AE33),6)</f>
        <v>0</v>
      </c>
      <c r="AE33">
        <f>ROUND((EU33),6)</f>
        <v>0</v>
      </c>
      <c r="AF33">
        <f>ROUND((EV33),6)</f>
        <v>0</v>
      </c>
      <c r="AG33">
        <f t="shared" si="28"/>
        <v>0</v>
      </c>
      <c r="AH33">
        <f t="shared" si="51"/>
        <v>0</v>
      </c>
      <c r="AI33">
        <f t="shared" si="51"/>
        <v>0</v>
      </c>
      <c r="AJ33">
        <f t="shared" si="30"/>
        <v>0</v>
      </c>
      <c r="AK33">
        <v>190</v>
      </c>
      <c r="AL33">
        <v>190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108</v>
      </c>
      <c r="AU33">
        <v>55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12001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120</v>
      </c>
      <c r="CA33">
        <v>65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1"/>
        <v>107953.44</v>
      </c>
      <c r="CQ33">
        <f t="shared" si="32"/>
        <v>190</v>
      </c>
      <c r="CR33">
        <f t="shared" si="33"/>
        <v>0</v>
      </c>
      <c r="CS33">
        <f t="shared" si="34"/>
        <v>0</v>
      </c>
      <c r="CT33">
        <f t="shared" si="35"/>
        <v>0</v>
      </c>
      <c r="CU33">
        <f t="shared" si="36"/>
        <v>0</v>
      </c>
      <c r="CV33">
        <f t="shared" si="37"/>
        <v>0</v>
      </c>
      <c r="CW33">
        <f t="shared" si="38"/>
        <v>0</v>
      </c>
      <c r="CX33">
        <f t="shared" si="39"/>
        <v>0</v>
      </c>
      <c r="CY33">
        <f t="shared" si="40"/>
        <v>0</v>
      </c>
      <c r="CZ33">
        <f t="shared" si="41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Z33" t="s">
        <v>3</v>
      </c>
      <c r="EA33" t="s">
        <v>3</v>
      </c>
      <c r="EB33" t="s">
        <v>3</v>
      </c>
      <c r="EC33" t="s">
        <v>3</v>
      </c>
      <c r="EE33">
        <v>36260428</v>
      </c>
      <c r="EF33">
        <v>2</v>
      </c>
      <c r="EG33" t="s">
        <v>18</v>
      </c>
      <c r="EH33">
        <v>0</v>
      </c>
      <c r="EI33" t="s">
        <v>3</v>
      </c>
      <c r="EJ33">
        <v>1</v>
      </c>
      <c r="EK33">
        <v>12001</v>
      </c>
      <c r="EL33" t="s">
        <v>43</v>
      </c>
      <c r="EM33" t="s">
        <v>44</v>
      </c>
      <c r="EO33" t="s">
        <v>3</v>
      </c>
      <c r="EQ33">
        <v>0</v>
      </c>
      <c r="ER33">
        <v>190</v>
      </c>
      <c r="ES33">
        <v>190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2"/>
        <v>0</v>
      </c>
      <c r="FS33">
        <v>0</v>
      </c>
      <c r="FT33" t="s">
        <v>21</v>
      </c>
      <c r="FU33" t="s">
        <v>22</v>
      </c>
      <c r="FX33">
        <v>108</v>
      </c>
      <c r="FY33">
        <v>55.25</v>
      </c>
      <c r="GA33" t="s">
        <v>61</v>
      </c>
      <c r="GD33">
        <v>1</v>
      </c>
      <c r="GF33">
        <v>-620086577</v>
      </c>
      <c r="GG33">
        <v>2</v>
      </c>
      <c r="GH33">
        <v>0</v>
      </c>
      <c r="GI33">
        <v>-2</v>
      </c>
      <c r="GJ33">
        <v>0</v>
      </c>
      <c r="GK33">
        <v>0</v>
      </c>
      <c r="GL33">
        <f t="shared" si="43"/>
        <v>0</v>
      </c>
      <c r="GM33">
        <f t="shared" si="44"/>
        <v>107953.44</v>
      </c>
      <c r="GN33">
        <f t="shared" si="45"/>
        <v>107953.44</v>
      </c>
      <c r="GO33">
        <f t="shared" si="46"/>
        <v>0</v>
      </c>
      <c r="GP33">
        <f t="shared" si="47"/>
        <v>0</v>
      </c>
      <c r="GR33">
        <v>0</v>
      </c>
      <c r="GS33">
        <v>4</v>
      </c>
      <c r="GT33">
        <v>0</v>
      </c>
      <c r="GU33" t="s">
        <v>3</v>
      </c>
      <c r="GV33">
        <f t="shared" si="48"/>
        <v>0</v>
      </c>
      <c r="GW33">
        <v>1</v>
      </c>
      <c r="GX33">
        <f t="shared" si="49"/>
        <v>0</v>
      </c>
      <c r="HA33">
        <v>0</v>
      </c>
      <c r="HB33">
        <v>0</v>
      </c>
      <c r="HC33">
        <f t="shared" si="50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70</v>
      </c>
      <c r="F34" t="s">
        <v>71</v>
      </c>
      <c r="G34" t="s">
        <v>72</v>
      </c>
      <c r="H34" t="s">
        <v>73</v>
      </c>
      <c r="I34">
        <v>3.8</v>
      </c>
      <c r="J34">
        <v>0</v>
      </c>
      <c r="O34">
        <f t="shared" si="14"/>
        <v>2356.77</v>
      </c>
      <c r="P34">
        <f t="shared" si="15"/>
        <v>0</v>
      </c>
      <c r="Q34">
        <f t="shared" si="16"/>
        <v>2356.77</v>
      </c>
      <c r="R34">
        <f t="shared" si="17"/>
        <v>0</v>
      </c>
      <c r="S34">
        <f t="shared" si="18"/>
        <v>0</v>
      </c>
      <c r="T34">
        <f t="shared" si="19"/>
        <v>0</v>
      </c>
      <c r="U34">
        <f t="shared" si="20"/>
        <v>0</v>
      </c>
      <c r="V34">
        <f t="shared" si="21"/>
        <v>0</v>
      </c>
      <c r="W34">
        <f t="shared" si="22"/>
        <v>0</v>
      </c>
      <c r="X34">
        <f t="shared" si="23"/>
        <v>0</v>
      </c>
      <c r="Y34">
        <f t="shared" si="24"/>
        <v>0</v>
      </c>
      <c r="AA34">
        <v>35779378</v>
      </c>
      <c r="AB34">
        <f t="shared" si="25"/>
        <v>42.98</v>
      </c>
      <c r="AC34">
        <f t="shared" si="26"/>
        <v>0</v>
      </c>
      <c r="AD34">
        <f>ROUND(((ET34)+ROUND(((EU34)*1.6),2)),6)</f>
        <v>42.98</v>
      </c>
      <c r="AE34">
        <f>ROUND(((EU34)+ROUND(((EU34)*1.6),2)),6)</f>
        <v>0</v>
      </c>
      <c r="AF34">
        <f>ROUND(((EV34)+ROUND(((EV34)*1.6),2)),6)</f>
        <v>0</v>
      </c>
      <c r="AG34">
        <f t="shared" si="28"/>
        <v>0</v>
      </c>
      <c r="AH34">
        <f t="shared" si="51"/>
        <v>0</v>
      </c>
      <c r="AI34">
        <f t="shared" si="51"/>
        <v>0</v>
      </c>
      <c r="AJ34">
        <f t="shared" si="30"/>
        <v>0</v>
      </c>
      <c r="AK34">
        <v>42.98</v>
      </c>
      <c r="AL34">
        <v>0</v>
      </c>
      <c r="AM34">
        <v>42.98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14.43</v>
      </c>
      <c r="BB34">
        <v>14.43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74</v>
      </c>
      <c r="BM34">
        <v>700004</v>
      </c>
      <c r="BN34">
        <v>0</v>
      </c>
      <c r="BO34" t="s">
        <v>3</v>
      </c>
      <c r="BP34">
        <v>0</v>
      </c>
      <c r="BQ34">
        <v>19</v>
      </c>
      <c r="BR34">
        <v>0</v>
      </c>
      <c r="BS34">
        <v>14.43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1"/>
        <v>2356.77</v>
      </c>
      <c r="CQ34">
        <f t="shared" si="32"/>
        <v>0</v>
      </c>
      <c r="CR34">
        <f t="shared" si="33"/>
        <v>620.20139999999992</v>
      </c>
      <c r="CS34">
        <f t="shared" si="34"/>
        <v>0</v>
      </c>
      <c r="CT34">
        <f t="shared" si="35"/>
        <v>0</v>
      </c>
      <c r="CU34">
        <f t="shared" si="36"/>
        <v>0</v>
      </c>
      <c r="CV34">
        <f t="shared" si="37"/>
        <v>0</v>
      </c>
      <c r="CW34">
        <f t="shared" si="38"/>
        <v>0</v>
      </c>
      <c r="CX34">
        <f t="shared" si="39"/>
        <v>0</v>
      </c>
      <c r="CY34">
        <f t="shared" si="40"/>
        <v>0</v>
      </c>
      <c r="CZ34">
        <f t="shared" si="41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73</v>
      </c>
      <c r="DW34" t="s">
        <v>73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36260614</v>
      </c>
      <c r="EF34">
        <v>19</v>
      </c>
      <c r="EG34" t="s">
        <v>75</v>
      </c>
      <c r="EH34">
        <v>0</v>
      </c>
      <c r="EI34" t="s">
        <v>3</v>
      </c>
      <c r="EJ34">
        <v>1</v>
      </c>
      <c r="EK34">
        <v>700004</v>
      </c>
      <c r="EL34" t="s">
        <v>76</v>
      </c>
      <c r="EM34" t="s">
        <v>77</v>
      </c>
      <c r="EO34" t="s">
        <v>3</v>
      </c>
      <c r="EQ34">
        <v>0</v>
      </c>
      <c r="ER34">
        <v>42.98</v>
      </c>
      <c r="ES34">
        <v>0</v>
      </c>
      <c r="ET34">
        <v>42.98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42"/>
        <v>0</v>
      </c>
      <c r="FS34">
        <v>0</v>
      </c>
      <c r="FX34">
        <v>0</v>
      </c>
      <c r="FY34">
        <v>0</v>
      </c>
      <c r="GA34" t="s">
        <v>3</v>
      </c>
      <c r="GD34">
        <v>1</v>
      </c>
      <c r="GF34">
        <v>-772656430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3"/>
        <v>0</v>
      </c>
      <c r="GM34">
        <f t="shared" si="44"/>
        <v>2356.77</v>
      </c>
      <c r="GN34">
        <f t="shared" si="45"/>
        <v>2356.77</v>
      </c>
      <c r="GO34">
        <f t="shared" si="46"/>
        <v>0</v>
      </c>
      <c r="GP34">
        <f t="shared" si="47"/>
        <v>0</v>
      </c>
      <c r="GR34">
        <v>0</v>
      </c>
      <c r="GS34">
        <v>3</v>
      </c>
      <c r="GT34">
        <v>0</v>
      </c>
      <c r="GU34" t="s">
        <v>3</v>
      </c>
      <c r="GV34">
        <f t="shared" si="48"/>
        <v>0</v>
      </c>
      <c r="GW34">
        <v>1</v>
      </c>
      <c r="GX34">
        <f t="shared" si="49"/>
        <v>0</v>
      </c>
      <c r="HA34">
        <v>0</v>
      </c>
      <c r="HB34">
        <v>0</v>
      </c>
      <c r="HC34">
        <f t="shared" si="50"/>
        <v>0</v>
      </c>
      <c r="HD34">
        <f>GM34</f>
        <v>2356.77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78</v>
      </c>
      <c r="F35" t="s">
        <v>79</v>
      </c>
      <c r="G35" t="s">
        <v>80</v>
      </c>
      <c r="H35" t="s">
        <v>73</v>
      </c>
      <c r="I35">
        <v>3.8</v>
      </c>
      <c r="J35">
        <v>0</v>
      </c>
      <c r="O35">
        <f t="shared" si="14"/>
        <v>785.84</v>
      </c>
      <c r="P35">
        <f t="shared" si="15"/>
        <v>0</v>
      </c>
      <c r="Q35">
        <f t="shared" si="16"/>
        <v>785.84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0</v>
      </c>
      <c r="X35">
        <f t="shared" si="23"/>
        <v>0</v>
      </c>
      <c r="Y35">
        <f t="shared" si="24"/>
        <v>0</v>
      </c>
      <c r="AA35">
        <v>35779378</v>
      </c>
      <c r="AB35">
        <f t="shared" si="25"/>
        <v>20.91</v>
      </c>
      <c r="AC35">
        <f t="shared" si="26"/>
        <v>0</v>
      </c>
      <c r="AD35">
        <f>ROUND(((ET35)+ROUND(((EU35)*1.85),2)),6)</f>
        <v>20.91</v>
      </c>
      <c r="AE35">
        <f>ROUND(((EU35)+ROUND(((EU35)*1.85),2)),6)</f>
        <v>0</v>
      </c>
      <c r="AF35">
        <f>ROUND(((EV35)+ROUND(((EV35)*1.85),2)),6)</f>
        <v>0</v>
      </c>
      <c r="AG35">
        <f t="shared" si="28"/>
        <v>0</v>
      </c>
      <c r="AH35">
        <f t="shared" si="51"/>
        <v>0</v>
      </c>
      <c r="AI35">
        <f t="shared" si="51"/>
        <v>0</v>
      </c>
      <c r="AJ35">
        <f t="shared" si="30"/>
        <v>0</v>
      </c>
      <c r="AK35">
        <v>20.91</v>
      </c>
      <c r="AL35">
        <v>0</v>
      </c>
      <c r="AM35">
        <v>20.91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9.89</v>
      </c>
      <c r="BB35">
        <v>9.89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81</v>
      </c>
      <c r="BM35">
        <v>700001</v>
      </c>
      <c r="BN35">
        <v>0</v>
      </c>
      <c r="BO35" t="s">
        <v>3</v>
      </c>
      <c r="BP35">
        <v>0</v>
      </c>
      <c r="BQ35">
        <v>10</v>
      </c>
      <c r="BR35">
        <v>0</v>
      </c>
      <c r="BS35">
        <v>9.89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1"/>
        <v>785.84</v>
      </c>
      <c r="CQ35">
        <f t="shared" si="32"/>
        <v>0</v>
      </c>
      <c r="CR35">
        <f t="shared" si="33"/>
        <v>206.79990000000001</v>
      </c>
      <c r="CS35">
        <f t="shared" si="34"/>
        <v>0</v>
      </c>
      <c r="CT35">
        <f t="shared" si="35"/>
        <v>0</v>
      </c>
      <c r="CU35">
        <f t="shared" si="36"/>
        <v>0</v>
      </c>
      <c r="CV35">
        <f t="shared" si="37"/>
        <v>0</v>
      </c>
      <c r="CW35">
        <f t="shared" si="38"/>
        <v>0</v>
      </c>
      <c r="CX35">
        <f t="shared" si="39"/>
        <v>0</v>
      </c>
      <c r="CY35">
        <f t="shared" si="40"/>
        <v>0</v>
      </c>
      <c r="CZ35">
        <f t="shared" si="41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73</v>
      </c>
      <c r="DW35" t="s">
        <v>73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36260364</v>
      </c>
      <c r="EF35">
        <v>10</v>
      </c>
      <c r="EG35" t="s">
        <v>82</v>
      </c>
      <c r="EH35">
        <v>0</v>
      </c>
      <c r="EI35" t="s">
        <v>3</v>
      </c>
      <c r="EJ35">
        <v>1</v>
      </c>
      <c r="EK35">
        <v>700001</v>
      </c>
      <c r="EL35" t="s">
        <v>83</v>
      </c>
      <c r="EM35" t="s">
        <v>84</v>
      </c>
      <c r="EO35" t="s">
        <v>3</v>
      </c>
      <c r="EQ35">
        <v>0</v>
      </c>
      <c r="ER35">
        <v>20.91</v>
      </c>
      <c r="ES35">
        <v>0</v>
      </c>
      <c r="ET35">
        <v>20.91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2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-419364396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3"/>
        <v>0</v>
      </c>
      <c r="GM35">
        <f t="shared" si="44"/>
        <v>785.84</v>
      </c>
      <c r="GN35">
        <f t="shared" si="45"/>
        <v>785.84</v>
      </c>
      <c r="GO35">
        <f t="shared" si="46"/>
        <v>0</v>
      </c>
      <c r="GP35">
        <f t="shared" si="47"/>
        <v>0</v>
      </c>
      <c r="GR35">
        <v>0</v>
      </c>
      <c r="GS35">
        <v>3</v>
      </c>
      <c r="GT35">
        <v>0</v>
      </c>
      <c r="GU35" t="s">
        <v>3</v>
      </c>
      <c r="GV35">
        <f t="shared" si="48"/>
        <v>0</v>
      </c>
      <c r="GW35">
        <v>1</v>
      </c>
      <c r="GX35">
        <f t="shared" si="49"/>
        <v>0</v>
      </c>
      <c r="HA35">
        <v>0</v>
      </c>
      <c r="HB35">
        <v>0</v>
      </c>
      <c r="HC35">
        <f t="shared" si="50"/>
        <v>0</v>
      </c>
      <c r="HD35">
        <f>GM35</f>
        <v>785.84</v>
      </c>
      <c r="HE35" t="s">
        <v>3</v>
      </c>
      <c r="HF35" t="s">
        <v>3</v>
      </c>
      <c r="IK35">
        <v>0</v>
      </c>
    </row>
    <row r="37" spans="1:245">
      <c r="A37" s="2">
        <v>51</v>
      </c>
      <c r="B37" s="2">
        <f>B20</f>
        <v>1</v>
      </c>
      <c r="C37" s="2">
        <f>A20</f>
        <v>3</v>
      </c>
      <c r="D37" s="2">
        <f>ROW(A20)</f>
        <v>20</v>
      </c>
      <c r="E37" s="2"/>
      <c r="F37" s="2" t="str">
        <f>IF(F20&lt;&gt;"",F20,"")</f>
        <v>Новая локальная смета</v>
      </c>
      <c r="G37" s="2" t="str">
        <f>IF(G20&lt;&gt;"",G20,"")</f>
        <v>Новая локальная смета</v>
      </c>
      <c r="H37" s="2">
        <v>0</v>
      </c>
      <c r="I37" s="2"/>
      <c r="J37" s="2"/>
      <c r="K37" s="2"/>
      <c r="L37" s="2"/>
      <c r="M37" s="2"/>
      <c r="N37" s="2"/>
      <c r="O37" s="2">
        <f t="shared" ref="O37:T37" si="52">ROUND(AB37,2)</f>
        <v>326745.23</v>
      </c>
      <c r="P37" s="2">
        <f t="shared" si="52"/>
        <v>256428.88</v>
      </c>
      <c r="Q37" s="2">
        <f t="shared" si="52"/>
        <v>8284.1</v>
      </c>
      <c r="R37" s="2">
        <f t="shared" si="52"/>
        <v>935.11</v>
      </c>
      <c r="S37" s="2">
        <f t="shared" si="52"/>
        <v>62032.25</v>
      </c>
      <c r="T37" s="2">
        <f t="shared" si="52"/>
        <v>0</v>
      </c>
      <c r="U37" s="2">
        <f>AH37</f>
        <v>214.29667599999999</v>
      </c>
      <c r="V37" s="2">
        <f>AI37</f>
        <v>2.1127500000000001</v>
      </c>
      <c r="W37" s="2">
        <f>ROUND(AJ37,2)</f>
        <v>0</v>
      </c>
      <c r="X37" s="2">
        <f>ROUND(AK37,2)</f>
        <v>65785.100000000006</v>
      </c>
      <c r="Y37" s="2">
        <f>ROUND(AL37,2)</f>
        <v>35778.57</v>
      </c>
      <c r="Z37" s="2"/>
      <c r="AA37" s="2"/>
      <c r="AB37" s="2">
        <f>ROUND(SUMIF(AA24:AA35,"=35779378",O24:O35),2)</f>
        <v>326745.23</v>
      </c>
      <c r="AC37" s="2">
        <f>ROUND(SUMIF(AA24:AA35,"=35779378",P24:P35),2)</f>
        <v>256428.88</v>
      </c>
      <c r="AD37" s="2">
        <f>ROUND(SUMIF(AA24:AA35,"=35779378",Q24:Q35),2)</f>
        <v>8284.1</v>
      </c>
      <c r="AE37" s="2">
        <f>ROUND(SUMIF(AA24:AA35,"=35779378",R24:R35),2)</f>
        <v>935.11</v>
      </c>
      <c r="AF37" s="2">
        <f>ROUND(SUMIF(AA24:AA35,"=35779378",S24:S35),2)</f>
        <v>62032.25</v>
      </c>
      <c r="AG37" s="2">
        <f>ROUND(SUMIF(AA24:AA35,"=35779378",T24:T35),2)</f>
        <v>0</v>
      </c>
      <c r="AH37" s="2">
        <f>SUMIF(AA24:AA35,"=35779378",U24:U35)</f>
        <v>214.29667599999999</v>
      </c>
      <c r="AI37" s="2">
        <f>SUMIF(AA24:AA35,"=35779378",V24:V35)</f>
        <v>2.1127500000000001</v>
      </c>
      <c r="AJ37" s="2">
        <f>ROUND(SUMIF(AA24:AA35,"=35779378",W24:W35),2)</f>
        <v>0</v>
      </c>
      <c r="AK37" s="2">
        <f>ROUND(SUMIF(AA24:AA35,"=35779378",X24:X35),2)</f>
        <v>65785.100000000006</v>
      </c>
      <c r="AL37" s="2">
        <f>ROUND(SUMIF(AA24:AA35,"=35779378",Y24:Y35),2)</f>
        <v>35778.57</v>
      </c>
      <c r="AM37" s="2"/>
      <c r="AN37" s="2"/>
      <c r="AO37" s="2">
        <f t="shared" ref="AO37:BD37" si="53">ROUND(BX37,2)</f>
        <v>0</v>
      </c>
      <c r="AP37" s="2">
        <f t="shared" si="53"/>
        <v>0</v>
      </c>
      <c r="AQ37" s="2">
        <f t="shared" si="53"/>
        <v>0</v>
      </c>
      <c r="AR37" s="2">
        <f t="shared" si="53"/>
        <v>428308.9</v>
      </c>
      <c r="AS37" s="2">
        <f t="shared" si="53"/>
        <v>428308.9</v>
      </c>
      <c r="AT37" s="2">
        <f t="shared" si="53"/>
        <v>0</v>
      </c>
      <c r="AU37" s="2">
        <f t="shared" si="53"/>
        <v>0</v>
      </c>
      <c r="AV37" s="2">
        <f t="shared" si="53"/>
        <v>256428.88</v>
      </c>
      <c r="AW37" s="2">
        <f t="shared" si="53"/>
        <v>256428.88</v>
      </c>
      <c r="AX37" s="2">
        <f t="shared" si="53"/>
        <v>0</v>
      </c>
      <c r="AY37" s="2">
        <f t="shared" si="53"/>
        <v>256428.88</v>
      </c>
      <c r="AZ37" s="2">
        <f t="shared" si="53"/>
        <v>0</v>
      </c>
      <c r="BA37" s="2">
        <f t="shared" si="53"/>
        <v>0</v>
      </c>
      <c r="BB37" s="2">
        <f t="shared" si="53"/>
        <v>0</v>
      </c>
      <c r="BC37" s="2">
        <f t="shared" si="53"/>
        <v>0</v>
      </c>
      <c r="BD37" s="2">
        <f t="shared" si="53"/>
        <v>3142.61</v>
      </c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>
        <f>ROUND(SUMIF(AA24:AA35,"=35779378",FQ24:FQ35),2)</f>
        <v>0</v>
      </c>
      <c r="BY37" s="2">
        <f>ROUND(SUMIF(AA24:AA35,"=35779378",FR24:FR35),2)</f>
        <v>0</v>
      </c>
      <c r="BZ37" s="2">
        <f>ROUND(SUMIF(AA24:AA35,"=35779378",GL24:GL35),2)</f>
        <v>0</v>
      </c>
      <c r="CA37" s="2">
        <f>ROUND(SUMIF(AA24:AA35,"=35779378",GM24:GM35),2)</f>
        <v>428308.9</v>
      </c>
      <c r="CB37" s="2">
        <f>ROUND(SUMIF(AA24:AA35,"=35779378",GN24:GN35),2)</f>
        <v>428308.9</v>
      </c>
      <c r="CC37" s="2">
        <f>ROUND(SUMIF(AA24:AA35,"=35779378",GO24:GO35),2)</f>
        <v>0</v>
      </c>
      <c r="CD37" s="2">
        <f>ROUND(SUMIF(AA24:AA35,"=35779378",GP24:GP35),2)</f>
        <v>0</v>
      </c>
      <c r="CE37" s="2">
        <f>AC37-BX37</f>
        <v>256428.88</v>
      </c>
      <c r="CF37" s="2">
        <f>AC37-BY37</f>
        <v>256428.88</v>
      </c>
      <c r="CG37" s="2">
        <f>BX37-BZ37</f>
        <v>0</v>
      </c>
      <c r="CH37" s="2">
        <f>AC37-BX37-BY37+BZ37</f>
        <v>256428.88</v>
      </c>
      <c r="CI37" s="2">
        <f>BY37-BZ37</f>
        <v>0</v>
      </c>
      <c r="CJ37" s="2">
        <f>ROUND(SUMIF(AA24:AA35,"=35779378",GX24:GX35),2)</f>
        <v>0</v>
      </c>
      <c r="CK37" s="2">
        <f>ROUND(SUMIF(AA24:AA35,"=35779378",GY24:GY35),2)</f>
        <v>0</v>
      </c>
      <c r="CL37" s="2">
        <f>ROUND(SUMIF(AA24:AA35,"=35779378",GZ24:GZ35),2)</f>
        <v>0</v>
      </c>
      <c r="CM37" s="2">
        <f>ROUND(SUMIF(AA24:AA35,"=35779378",HD24:HD35),2)</f>
        <v>3142.61</v>
      </c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>
        <v>0</v>
      </c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201</v>
      </c>
      <c r="F39" s="4">
        <f>ROUND(Source!O37,O39)</f>
        <v>326745.23</v>
      </c>
      <c r="G39" s="4" t="s">
        <v>85</v>
      </c>
      <c r="H39" s="4" t="s">
        <v>86</v>
      </c>
      <c r="I39" s="4"/>
      <c r="J39" s="4"/>
      <c r="K39" s="4">
        <v>201</v>
      </c>
      <c r="L39" s="4">
        <v>1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202</v>
      </c>
      <c r="F40" s="4">
        <f>ROUND(Source!P37,O40)</f>
        <v>256428.88</v>
      </c>
      <c r="G40" s="4" t="s">
        <v>87</v>
      </c>
      <c r="H40" s="4" t="s">
        <v>88</v>
      </c>
      <c r="I40" s="4"/>
      <c r="J40" s="4"/>
      <c r="K40" s="4">
        <v>202</v>
      </c>
      <c r="L40" s="4">
        <v>2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222</v>
      </c>
      <c r="F41" s="4">
        <f>ROUND(Source!AO37,O41)</f>
        <v>0</v>
      </c>
      <c r="G41" s="4" t="s">
        <v>89</v>
      </c>
      <c r="H41" s="4" t="s">
        <v>90</v>
      </c>
      <c r="I41" s="4"/>
      <c r="J41" s="4"/>
      <c r="K41" s="4">
        <v>222</v>
      </c>
      <c r="L41" s="4">
        <v>3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225</v>
      </c>
      <c r="F42" s="4">
        <f>ROUND(Source!AV37,O42)</f>
        <v>256428.88</v>
      </c>
      <c r="G42" s="4" t="s">
        <v>91</v>
      </c>
      <c r="H42" s="4" t="s">
        <v>92</v>
      </c>
      <c r="I42" s="4"/>
      <c r="J42" s="4"/>
      <c r="K42" s="4">
        <v>225</v>
      </c>
      <c r="L42" s="4">
        <v>4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226</v>
      </c>
      <c r="F43" s="4">
        <f>ROUND(Source!AW37,O43)</f>
        <v>256428.88</v>
      </c>
      <c r="G43" s="4" t="s">
        <v>93</v>
      </c>
      <c r="H43" s="4" t="s">
        <v>94</v>
      </c>
      <c r="I43" s="4"/>
      <c r="J43" s="4"/>
      <c r="K43" s="4">
        <v>226</v>
      </c>
      <c r="L43" s="4">
        <v>5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227</v>
      </c>
      <c r="F44" s="4">
        <f>ROUND(Source!AX37,O44)</f>
        <v>0</v>
      </c>
      <c r="G44" s="4" t="s">
        <v>95</v>
      </c>
      <c r="H44" s="4" t="s">
        <v>96</v>
      </c>
      <c r="I44" s="4"/>
      <c r="J44" s="4"/>
      <c r="K44" s="4">
        <v>227</v>
      </c>
      <c r="L44" s="4">
        <v>6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228</v>
      </c>
      <c r="F45" s="4">
        <f>ROUND(Source!AY37,O45)</f>
        <v>256428.88</v>
      </c>
      <c r="G45" s="4" t="s">
        <v>97</v>
      </c>
      <c r="H45" s="4" t="s">
        <v>98</v>
      </c>
      <c r="I45" s="4"/>
      <c r="J45" s="4"/>
      <c r="K45" s="4">
        <v>228</v>
      </c>
      <c r="L45" s="4">
        <v>7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216</v>
      </c>
      <c r="F46" s="4">
        <f>ROUND(Source!AP37,O46)</f>
        <v>0</v>
      </c>
      <c r="G46" s="4" t="s">
        <v>99</v>
      </c>
      <c r="H46" s="4" t="s">
        <v>100</v>
      </c>
      <c r="I46" s="4"/>
      <c r="J46" s="4"/>
      <c r="K46" s="4">
        <v>216</v>
      </c>
      <c r="L46" s="4">
        <v>8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223</v>
      </c>
      <c r="F47" s="4">
        <f>ROUND(Source!AQ37,O47)</f>
        <v>0</v>
      </c>
      <c r="G47" s="4" t="s">
        <v>101</v>
      </c>
      <c r="H47" s="4" t="s">
        <v>102</v>
      </c>
      <c r="I47" s="4"/>
      <c r="J47" s="4"/>
      <c r="K47" s="4">
        <v>223</v>
      </c>
      <c r="L47" s="4">
        <v>9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229</v>
      </c>
      <c r="F48" s="4">
        <f>ROUND(Source!AZ37,O48)</f>
        <v>0</v>
      </c>
      <c r="G48" s="4" t="s">
        <v>103</v>
      </c>
      <c r="H48" s="4" t="s">
        <v>104</v>
      </c>
      <c r="I48" s="4"/>
      <c r="J48" s="4"/>
      <c r="K48" s="4">
        <v>229</v>
      </c>
      <c r="L48" s="4">
        <v>10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203</v>
      </c>
      <c r="F49" s="4">
        <f>ROUND(Source!Q37,O49)</f>
        <v>8284.1</v>
      </c>
      <c r="G49" s="4" t="s">
        <v>105</v>
      </c>
      <c r="H49" s="4" t="s">
        <v>106</v>
      </c>
      <c r="I49" s="4"/>
      <c r="J49" s="4"/>
      <c r="K49" s="4">
        <v>203</v>
      </c>
      <c r="L49" s="4">
        <v>11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231</v>
      </c>
      <c r="F50" s="4">
        <f>ROUND(Source!BB37,O50)</f>
        <v>0</v>
      </c>
      <c r="G50" s="4" t="s">
        <v>107</v>
      </c>
      <c r="H50" s="4" t="s">
        <v>108</v>
      </c>
      <c r="I50" s="4"/>
      <c r="J50" s="4"/>
      <c r="K50" s="4">
        <v>231</v>
      </c>
      <c r="L50" s="4">
        <v>12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204</v>
      </c>
      <c r="F51" s="4">
        <f>ROUND(Source!R37,O51)</f>
        <v>935.11</v>
      </c>
      <c r="G51" s="4" t="s">
        <v>109</v>
      </c>
      <c r="H51" s="4" t="s">
        <v>110</v>
      </c>
      <c r="I51" s="4"/>
      <c r="J51" s="4"/>
      <c r="K51" s="4">
        <v>204</v>
      </c>
      <c r="L51" s="4">
        <v>13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205</v>
      </c>
      <c r="F52" s="4">
        <f>ROUND(Source!S37,O52)</f>
        <v>62032.25</v>
      </c>
      <c r="G52" s="4" t="s">
        <v>111</v>
      </c>
      <c r="H52" s="4" t="s">
        <v>112</v>
      </c>
      <c r="I52" s="4"/>
      <c r="J52" s="4"/>
      <c r="K52" s="4">
        <v>205</v>
      </c>
      <c r="L52" s="4">
        <v>14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232</v>
      </c>
      <c r="F53" s="4">
        <f>ROUND(Source!BC37,O53)</f>
        <v>0</v>
      </c>
      <c r="G53" s="4" t="s">
        <v>113</v>
      </c>
      <c r="H53" s="4" t="s">
        <v>114</v>
      </c>
      <c r="I53" s="4"/>
      <c r="J53" s="4"/>
      <c r="K53" s="4">
        <v>232</v>
      </c>
      <c r="L53" s="4">
        <v>15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214</v>
      </c>
      <c r="F54" s="4">
        <f>ROUND(Source!AS37,O54)</f>
        <v>428308.9</v>
      </c>
      <c r="G54" s="4" t="s">
        <v>115</v>
      </c>
      <c r="H54" s="4" t="s">
        <v>116</v>
      </c>
      <c r="I54" s="4"/>
      <c r="J54" s="4"/>
      <c r="K54" s="4">
        <v>214</v>
      </c>
      <c r="L54" s="4">
        <v>16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215</v>
      </c>
      <c r="F55" s="4">
        <f>ROUND(Source!AT37,O55)</f>
        <v>0</v>
      </c>
      <c r="G55" s="4" t="s">
        <v>117</v>
      </c>
      <c r="H55" s="4" t="s">
        <v>118</v>
      </c>
      <c r="I55" s="4"/>
      <c r="J55" s="4"/>
      <c r="K55" s="4">
        <v>215</v>
      </c>
      <c r="L55" s="4">
        <v>17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217</v>
      </c>
      <c r="F56" s="4">
        <f>ROUND(Source!AU37,O56)</f>
        <v>0</v>
      </c>
      <c r="G56" s="4" t="s">
        <v>119</v>
      </c>
      <c r="H56" s="4" t="s">
        <v>120</v>
      </c>
      <c r="I56" s="4"/>
      <c r="J56" s="4"/>
      <c r="K56" s="4">
        <v>217</v>
      </c>
      <c r="L56" s="4">
        <v>18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230</v>
      </c>
      <c r="F57" s="4">
        <f>ROUND(Source!BA37,O57)</f>
        <v>0</v>
      </c>
      <c r="G57" s="4" t="s">
        <v>121</v>
      </c>
      <c r="H57" s="4" t="s">
        <v>122</v>
      </c>
      <c r="I57" s="4"/>
      <c r="J57" s="4"/>
      <c r="K57" s="4">
        <v>230</v>
      </c>
      <c r="L57" s="4">
        <v>19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206</v>
      </c>
      <c r="F58" s="4">
        <f>ROUND(Source!T37,O58)</f>
        <v>0</v>
      </c>
      <c r="G58" s="4" t="s">
        <v>123</v>
      </c>
      <c r="H58" s="4" t="s">
        <v>124</v>
      </c>
      <c r="I58" s="4"/>
      <c r="J58" s="4"/>
      <c r="K58" s="4">
        <v>206</v>
      </c>
      <c r="L58" s="4">
        <v>20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207</v>
      </c>
      <c r="F59" s="4">
        <f>Source!U37</f>
        <v>214.29667599999999</v>
      </c>
      <c r="G59" s="4" t="s">
        <v>125</v>
      </c>
      <c r="H59" s="4" t="s">
        <v>126</v>
      </c>
      <c r="I59" s="4"/>
      <c r="J59" s="4"/>
      <c r="K59" s="4">
        <v>207</v>
      </c>
      <c r="L59" s="4">
        <v>21</v>
      </c>
      <c r="M59" s="4">
        <v>3</v>
      </c>
      <c r="N59" s="4" t="s">
        <v>3</v>
      </c>
      <c r="O59" s="4">
        <v>-1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208</v>
      </c>
      <c r="F60" s="4">
        <f>Source!V37</f>
        <v>2.1127500000000001</v>
      </c>
      <c r="G60" s="4" t="s">
        <v>127</v>
      </c>
      <c r="H60" s="4" t="s">
        <v>128</v>
      </c>
      <c r="I60" s="4"/>
      <c r="J60" s="4"/>
      <c r="K60" s="4">
        <v>208</v>
      </c>
      <c r="L60" s="4">
        <v>22</v>
      </c>
      <c r="M60" s="4">
        <v>3</v>
      </c>
      <c r="N60" s="4" t="s">
        <v>3</v>
      </c>
      <c r="O60" s="4">
        <v>-1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209</v>
      </c>
      <c r="F61" s="4">
        <f>ROUND(Source!W37,O61)</f>
        <v>0</v>
      </c>
      <c r="G61" s="4" t="s">
        <v>129</v>
      </c>
      <c r="H61" s="4" t="s">
        <v>130</v>
      </c>
      <c r="I61" s="4"/>
      <c r="J61" s="4"/>
      <c r="K61" s="4">
        <v>209</v>
      </c>
      <c r="L61" s="4">
        <v>23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233</v>
      </c>
      <c r="F62" s="4">
        <f>ROUND(Source!BD37,O62)</f>
        <v>3142.61</v>
      </c>
      <c r="G62" s="4" t="s">
        <v>131</v>
      </c>
      <c r="H62" s="4" t="s">
        <v>132</v>
      </c>
      <c r="I62" s="4"/>
      <c r="J62" s="4"/>
      <c r="K62" s="4">
        <v>233</v>
      </c>
      <c r="L62" s="4">
        <v>24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210</v>
      </c>
      <c r="F63" s="4">
        <f>ROUND(Source!X37,O63)</f>
        <v>65785.100000000006</v>
      </c>
      <c r="G63" s="4" t="s">
        <v>133</v>
      </c>
      <c r="H63" s="4" t="s">
        <v>134</v>
      </c>
      <c r="I63" s="4"/>
      <c r="J63" s="4"/>
      <c r="K63" s="4">
        <v>210</v>
      </c>
      <c r="L63" s="4">
        <v>25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211</v>
      </c>
      <c r="F64" s="4">
        <f>ROUND(Source!Y37,O64)</f>
        <v>35778.57</v>
      </c>
      <c r="G64" s="4" t="s">
        <v>135</v>
      </c>
      <c r="H64" s="4" t="s">
        <v>136</v>
      </c>
      <c r="I64" s="4"/>
      <c r="J64" s="4"/>
      <c r="K64" s="4">
        <v>211</v>
      </c>
      <c r="L64" s="4">
        <v>26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224</v>
      </c>
      <c r="F65" s="4">
        <f>ROUND(Source!AR37,O65)</f>
        <v>428308.9</v>
      </c>
      <c r="G65" s="4" t="s">
        <v>137</v>
      </c>
      <c r="H65" s="4" t="s">
        <v>138</v>
      </c>
      <c r="I65" s="4"/>
      <c r="J65" s="4"/>
      <c r="K65" s="4">
        <v>224</v>
      </c>
      <c r="L65" s="4">
        <v>27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7" spans="1:206">
      <c r="A67" s="2">
        <v>51</v>
      </c>
      <c r="B67" s="2">
        <f>B12</f>
        <v>128</v>
      </c>
      <c r="C67" s="2">
        <f>A12</f>
        <v>1</v>
      </c>
      <c r="D67" s="2">
        <f>ROW(A12)</f>
        <v>12</v>
      </c>
      <c r="E67" s="2"/>
      <c r="F67" s="2" t="str">
        <f>IF(F12&lt;&gt;"",F12,"")</f>
        <v>Новый объект</v>
      </c>
      <c r="G67" s="2" t="str">
        <f>IF(G12&lt;&gt;"",G12,"")</f>
        <v>Ремонт мягкой кровли в Куровском 2021</v>
      </c>
      <c r="H67" s="2">
        <v>0</v>
      </c>
      <c r="I67" s="2"/>
      <c r="J67" s="2"/>
      <c r="K67" s="2"/>
      <c r="L67" s="2"/>
      <c r="M67" s="2"/>
      <c r="N67" s="2"/>
      <c r="O67" s="2">
        <f t="shared" ref="O67:T67" si="54">ROUND(O37,2)</f>
        <v>326745.23</v>
      </c>
      <c r="P67" s="2">
        <f t="shared" si="54"/>
        <v>256428.88</v>
      </c>
      <c r="Q67" s="2">
        <f t="shared" si="54"/>
        <v>8284.1</v>
      </c>
      <c r="R67" s="2">
        <f t="shared" si="54"/>
        <v>935.11</v>
      </c>
      <c r="S67" s="2">
        <f t="shared" si="54"/>
        <v>62032.25</v>
      </c>
      <c r="T67" s="2">
        <f t="shared" si="54"/>
        <v>0</v>
      </c>
      <c r="U67" s="2">
        <f>U37</f>
        <v>214.29667599999999</v>
      </c>
      <c r="V67" s="2">
        <f>V37</f>
        <v>2.1127500000000001</v>
      </c>
      <c r="W67" s="2">
        <f>ROUND(W37,2)</f>
        <v>0</v>
      </c>
      <c r="X67" s="2">
        <f>ROUND(X37,2)</f>
        <v>65785.100000000006</v>
      </c>
      <c r="Y67" s="2">
        <f>ROUND(Y37,2)</f>
        <v>35778.57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>
        <f t="shared" ref="AO67:BD67" si="55">ROUND(AO37,2)</f>
        <v>0</v>
      </c>
      <c r="AP67" s="2">
        <f t="shared" si="55"/>
        <v>0</v>
      </c>
      <c r="AQ67" s="2">
        <f t="shared" si="55"/>
        <v>0</v>
      </c>
      <c r="AR67" s="2">
        <f t="shared" si="55"/>
        <v>428308.9</v>
      </c>
      <c r="AS67" s="2">
        <f t="shared" si="55"/>
        <v>428308.9</v>
      </c>
      <c r="AT67" s="2">
        <f t="shared" si="55"/>
        <v>0</v>
      </c>
      <c r="AU67" s="2">
        <f t="shared" si="55"/>
        <v>0</v>
      </c>
      <c r="AV67" s="2">
        <f t="shared" si="55"/>
        <v>256428.88</v>
      </c>
      <c r="AW67" s="2">
        <f t="shared" si="55"/>
        <v>256428.88</v>
      </c>
      <c r="AX67" s="2">
        <f t="shared" si="55"/>
        <v>0</v>
      </c>
      <c r="AY67" s="2">
        <f t="shared" si="55"/>
        <v>256428.88</v>
      </c>
      <c r="AZ67" s="2">
        <f t="shared" si="55"/>
        <v>0</v>
      </c>
      <c r="BA67" s="2">
        <f t="shared" si="55"/>
        <v>0</v>
      </c>
      <c r="BB67" s="2">
        <f t="shared" si="55"/>
        <v>0</v>
      </c>
      <c r="BC67" s="2">
        <f t="shared" si="55"/>
        <v>0</v>
      </c>
      <c r="BD67" s="2">
        <f t="shared" si="55"/>
        <v>3142.61</v>
      </c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>
        <v>0</v>
      </c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201</v>
      </c>
      <c r="F69" s="4">
        <f>ROUND(Source!O67,O69)</f>
        <v>326745.23</v>
      </c>
      <c r="G69" s="4" t="s">
        <v>85</v>
      </c>
      <c r="H69" s="4" t="s">
        <v>86</v>
      </c>
      <c r="I69" s="4"/>
      <c r="J69" s="4"/>
      <c r="K69" s="4">
        <v>201</v>
      </c>
      <c r="L69" s="4">
        <v>1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202</v>
      </c>
      <c r="F70" s="4">
        <f>ROUND(Source!P67,O70)</f>
        <v>256428.88</v>
      </c>
      <c r="G70" s="4" t="s">
        <v>87</v>
      </c>
      <c r="H70" s="4" t="s">
        <v>88</v>
      </c>
      <c r="I70" s="4"/>
      <c r="J70" s="4"/>
      <c r="K70" s="4">
        <v>202</v>
      </c>
      <c r="L70" s="4">
        <v>2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222</v>
      </c>
      <c r="F71" s="4">
        <f>ROUND(Source!AO67,O71)</f>
        <v>0</v>
      </c>
      <c r="G71" s="4" t="s">
        <v>89</v>
      </c>
      <c r="H71" s="4" t="s">
        <v>90</v>
      </c>
      <c r="I71" s="4"/>
      <c r="J71" s="4"/>
      <c r="K71" s="4">
        <v>222</v>
      </c>
      <c r="L71" s="4">
        <v>3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225</v>
      </c>
      <c r="F72" s="4">
        <f>ROUND(Source!AV67,O72)</f>
        <v>256428.88</v>
      </c>
      <c r="G72" s="4" t="s">
        <v>91</v>
      </c>
      <c r="H72" s="4" t="s">
        <v>92</v>
      </c>
      <c r="I72" s="4"/>
      <c r="J72" s="4"/>
      <c r="K72" s="4">
        <v>225</v>
      </c>
      <c r="L72" s="4">
        <v>4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226</v>
      </c>
      <c r="F73" s="4">
        <f>ROUND(Source!AW67,O73)</f>
        <v>256428.88</v>
      </c>
      <c r="G73" s="4" t="s">
        <v>93</v>
      </c>
      <c r="H73" s="4" t="s">
        <v>94</v>
      </c>
      <c r="I73" s="4"/>
      <c r="J73" s="4"/>
      <c r="K73" s="4">
        <v>226</v>
      </c>
      <c r="L73" s="4">
        <v>5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>
      <c r="A74" s="4">
        <v>50</v>
      </c>
      <c r="B74" s="4">
        <v>0</v>
      </c>
      <c r="C74" s="4">
        <v>0</v>
      </c>
      <c r="D74" s="4">
        <v>1</v>
      </c>
      <c r="E74" s="4">
        <v>227</v>
      </c>
      <c r="F74" s="4">
        <f>ROUND(Source!AX67,O74)</f>
        <v>0</v>
      </c>
      <c r="G74" s="4" t="s">
        <v>95</v>
      </c>
      <c r="H74" s="4" t="s">
        <v>96</v>
      </c>
      <c r="I74" s="4"/>
      <c r="J74" s="4"/>
      <c r="K74" s="4">
        <v>227</v>
      </c>
      <c r="L74" s="4">
        <v>6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228</v>
      </c>
      <c r="F75" s="4">
        <f>ROUND(Source!AY67,O75)</f>
        <v>256428.88</v>
      </c>
      <c r="G75" s="4" t="s">
        <v>97</v>
      </c>
      <c r="H75" s="4" t="s">
        <v>98</v>
      </c>
      <c r="I75" s="4"/>
      <c r="J75" s="4"/>
      <c r="K75" s="4">
        <v>228</v>
      </c>
      <c r="L75" s="4">
        <v>7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216</v>
      </c>
      <c r="F76" s="4">
        <f>ROUND(Source!AP67,O76)</f>
        <v>0</v>
      </c>
      <c r="G76" s="4" t="s">
        <v>99</v>
      </c>
      <c r="H76" s="4" t="s">
        <v>100</v>
      </c>
      <c r="I76" s="4"/>
      <c r="J76" s="4"/>
      <c r="K76" s="4">
        <v>216</v>
      </c>
      <c r="L76" s="4">
        <v>8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223</v>
      </c>
      <c r="F77" s="4">
        <f>ROUND(Source!AQ67,O77)</f>
        <v>0</v>
      </c>
      <c r="G77" s="4" t="s">
        <v>101</v>
      </c>
      <c r="H77" s="4" t="s">
        <v>102</v>
      </c>
      <c r="I77" s="4"/>
      <c r="J77" s="4"/>
      <c r="K77" s="4">
        <v>223</v>
      </c>
      <c r="L77" s="4">
        <v>9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229</v>
      </c>
      <c r="F78" s="4">
        <f>ROUND(Source!AZ67,O78)</f>
        <v>0</v>
      </c>
      <c r="G78" s="4" t="s">
        <v>103</v>
      </c>
      <c r="H78" s="4" t="s">
        <v>104</v>
      </c>
      <c r="I78" s="4"/>
      <c r="J78" s="4"/>
      <c r="K78" s="4">
        <v>229</v>
      </c>
      <c r="L78" s="4">
        <v>10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203</v>
      </c>
      <c r="F79" s="4">
        <f>ROUND(Source!Q67,O79)</f>
        <v>8284.1</v>
      </c>
      <c r="G79" s="4" t="s">
        <v>105</v>
      </c>
      <c r="H79" s="4" t="s">
        <v>106</v>
      </c>
      <c r="I79" s="4"/>
      <c r="J79" s="4"/>
      <c r="K79" s="4">
        <v>203</v>
      </c>
      <c r="L79" s="4">
        <v>11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231</v>
      </c>
      <c r="F80" s="4">
        <f>ROUND(Source!BB67,O80)</f>
        <v>0</v>
      </c>
      <c r="G80" s="4" t="s">
        <v>107</v>
      </c>
      <c r="H80" s="4" t="s">
        <v>108</v>
      </c>
      <c r="I80" s="4"/>
      <c r="J80" s="4"/>
      <c r="K80" s="4">
        <v>231</v>
      </c>
      <c r="L80" s="4">
        <v>12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204</v>
      </c>
      <c r="F81" s="4">
        <f>ROUND(Source!R67,O81)</f>
        <v>935.11</v>
      </c>
      <c r="G81" s="4" t="s">
        <v>109</v>
      </c>
      <c r="H81" s="4" t="s">
        <v>110</v>
      </c>
      <c r="I81" s="4"/>
      <c r="J81" s="4"/>
      <c r="K81" s="4">
        <v>204</v>
      </c>
      <c r="L81" s="4">
        <v>13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205</v>
      </c>
      <c r="F82" s="4">
        <f>ROUND(Source!S67,O82)</f>
        <v>62032.25</v>
      </c>
      <c r="G82" s="4" t="s">
        <v>111</v>
      </c>
      <c r="H82" s="4" t="s">
        <v>112</v>
      </c>
      <c r="I82" s="4"/>
      <c r="J82" s="4"/>
      <c r="K82" s="4">
        <v>205</v>
      </c>
      <c r="L82" s="4">
        <v>14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232</v>
      </c>
      <c r="F83" s="4">
        <f>ROUND(Source!BC67,O83)</f>
        <v>0</v>
      </c>
      <c r="G83" s="4" t="s">
        <v>113</v>
      </c>
      <c r="H83" s="4" t="s">
        <v>114</v>
      </c>
      <c r="I83" s="4"/>
      <c r="J83" s="4"/>
      <c r="K83" s="4">
        <v>232</v>
      </c>
      <c r="L83" s="4">
        <v>15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214</v>
      </c>
      <c r="F84" s="4">
        <f>ROUND(Source!AS67,O84)</f>
        <v>428308.9</v>
      </c>
      <c r="G84" s="4" t="s">
        <v>115</v>
      </c>
      <c r="H84" s="4" t="s">
        <v>116</v>
      </c>
      <c r="I84" s="4"/>
      <c r="J84" s="4"/>
      <c r="K84" s="4">
        <v>214</v>
      </c>
      <c r="L84" s="4">
        <v>16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215</v>
      </c>
      <c r="F85" s="4">
        <f>ROUND(Source!AT67,O85)</f>
        <v>0</v>
      </c>
      <c r="G85" s="4" t="s">
        <v>117</v>
      </c>
      <c r="H85" s="4" t="s">
        <v>118</v>
      </c>
      <c r="I85" s="4"/>
      <c r="J85" s="4"/>
      <c r="K85" s="4">
        <v>215</v>
      </c>
      <c r="L85" s="4">
        <v>17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217</v>
      </c>
      <c r="F86" s="4">
        <f>ROUND(Source!AU67,O86)</f>
        <v>0</v>
      </c>
      <c r="G86" s="4" t="s">
        <v>119</v>
      </c>
      <c r="H86" s="4" t="s">
        <v>120</v>
      </c>
      <c r="I86" s="4"/>
      <c r="J86" s="4"/>
      <c r="K86" s="4">
        <v>217</v>
      </c>
      <c r="L86" s="4">
        <v>18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230</v>
      </c>
      <c r="F87" s="4">
        <f>ROUND(Source!BA67,O87)</f>
        <v>0</v>
      </c>
      <c r="G87" s="4" t="s">
        <v>121</v>
      </c>
      <c r="H87" s="4" t="s">
        <v>122</v>
      </c>
      <c r="I87" s="4"/>
      <c r="J87" s="4"/>
      <c r="K87" s="4">
        <v>230</v>
      </c>
      <c r="L87" s="4">
        <v>19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206</v>
      </c>
      <c r="F88" s="4">
        <f>ROUND(Source!T67,O88)</f>
        <v>0</v>
      </c>
      <c r="G88" s="4" t="s">
        <v>123</v>
      </c>
      <c r="H88" s="4" t="s">
        <v>124</v>
      </c>
      <c r="I88" s="4"/>
      <c r="J88" s="4"/>
      <c r="K88" s="4">
        <v>206</v>
      </c>
      <c r="L88" s="4">
        <v>20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207</v>
      </c>
      <c r="F89" s="4">
        <f>Source!U67</f>
        <v>214.29667599999999</v>
      </c>
      <c r="G89" s="4" t="s">
        <v>125</v>
      </c>
      <c r="H89" s="4" t="s">
        <v>126</v>
      </c>
      <c r="I89" s="4"/>
      <c r="J89" s="4"/>
      <c r="K89" s="4">
        <v>207</v>
      </c>
      <c r="L89" s="4">
        <v>21</v>
      </c>
      <c r="M89" s="4">
        <v>3</v>
      </c>
      <c r="N89" s="4" t="s">
        <v>3</v>
      </c>
      <c r="O89" s="4">
        <v>-1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208</v>
      </c>
      <c r="F90" s="4">
        <f>Source!V67</f>
        <v>2.1127500000000001</v>
      </c>
      <c r="G90" s="4" t="s">
        <v>127</v>
      </c>
      <c r="H90" s="4" t="s">
        <v>128</v>
      </c>
      <c r="I90" s="4"/>
      <c r="J90" s="4"/>
      <c r="K90" s="4">
        <v>208</v>
      </c>
      <c r="L90" s="4">
        <v>22</v>
      </c>
      <c r="M90" s="4">
        <v>3</v>
      </c>
      <c r="N90" s="4" t="s">
        <v>3</v>
      </c>
      <c r="O90" s="4">
        <v>-1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209</v>
      </c>
      <c r="F91" s="4">
        <f>ROUND(Source!W67,O91)</f>
        <v>0</v>
      </c>
      <c r="G91" s="4" t="s">
        <v>129</v>
      </c>
      <c r="H91" s="4" t="s">
        <v>130</v>
      </c>
      <c r="I91" s="4"/>
      <c r="J91" s="4"/>
      <c r="K91" s="4">
        <v>209</v>
      </c>
      <c r="L91" s="4">
        <v>23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233</v>
      </c>
      <c r="F92" s="4">
        <f>ROUND(Source!BD67,O92)</f>
        <v>3142.61</v>
      </c>
      <c r="G92" s="4" t="s">
        <v>131</v>
      </c>
      <c r="H92" s="4" t="s">
        <v>132</v>
      </c>
      <c r="I92" s="4"/>
      <c r="J92" s="4"/>
      <c r="K92" s="4">
        <v>233</v>
      </c>
      <c r="L92" s="4">
        <v>24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210</v>
      </c>
      <c r="F93" s="4">
        <f>ROUND(Source!X67,O93)</f>
        <v>65785.100000000006</v>
      </c>
      <c r="G93" s="4" t="s">
        <v>133</v>
      </c>
      <c r="H93" s="4" t="s">
        <v>134</v>
      </c>
      <c r="I93" s="4"/>
      <c r="J93" s="4"/>
      <c r="K93" s="4">
        <v>210</v>
      </c>
      <c r="L93" s="4">
        <v>25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211</v>
      </c>
      <c r="F94" s="4">
        <f>ROUND(Source!Y67,O94)</f>
        <v>35778.57</v>
      </c>
      <c r="G94" s="4" t="s">
        <v>135</v>
      </c>
      <c r="H94" s="4" t="s">
        <v>136</v>
      </c>
      <c r="I94" s="4"/>
      <c r="J94" s="4"/>
      <c r="K94" s="4">
        <v>211</v>
      </c>
      <c r="L94" s="4">
        <v>26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224</v>
      </c>
      <c r="F95" s="4">
        <f>ROUND(Source!AR67,O95)</f>
        <v>428308.9</v>
      </c>
      <c r="G95" s="4" t="s">
        <v>137</v>
      </c>
      <c r="H95" s="4" t="s">
        <v>138</v>
      </c>
      <c r="I95" s="4"/>
      <c r="J95" s="4"/>
      <c r="K95" s="4">
        <v>224</v>
      </c>
      <c r="L95" s="4">
        <v>27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1</v>
      </c>
      <c r="C96" s="4">
        <v>0</v>
      </c>
      <c r="D96" s="4">
        <v>2</v>
      </c>
      <c r="E96" s="4">
        <v>0</v>
      </c>
      <c r="F96" s="4">
        <f>ROUND(F95*0.2,O96)</f>
        <v>85661.8</v>
      </c>
      <c r="G96" s="4" t="s">
        <v>139</v>
      </c>
      <c r="H96" s="4" t="s">
        <v>140</v>
      </c>
      <c r="I96" s="4"/>
      <c r="J96" s="4"/>
      <c r="K96" s="4">
        <v>212</v>
      </c>
      <c r="L96" s="4">
        <v>28</v>
      </c>
      <c r="M96" s="4">
        <v>0</v>
      </c>
      <c r="N96" s="4" t="s">
        <v>3</v>
      </c>
      <c r="O96" s="4">
        <v>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1</v>
      </c>
      <c r="C97" s="4">
        <v>0</v>
      </c>
      <c r="D97" s="4">
        <v>2</v>
      </c>
      <c r="E97" s="4">
        <v>213</v>
      </c>
      <c r="F97" s="4">
        <f>ROUND(F95*1.2,O97)</f>
        <v>513970.7</v>
      </c>
      <c r="G97" s="4" t="s">
        <v>141</v>
      </c>
      <c r="H97" s="4" t="s">
        <v>142</v>
      </c>
      <c r="I97" s="4"/>
      <c r="J97" s="4"/>
      <c r="K97" s="4">
        <v>212</v>
      </c>
      <c r="L97" s="4">
        <v>29</v>
      </c>
      <c r="M97" s="4">
        <v>0</v>
      </c>
      <c r="N97" s="4" t="s">
        <v>3</v>
      </c>
      <c r="O97" s="4">
        <v>1</v>
      </c>
      <c r="P97" s="4"/>
      <c r="Q97" s="4"/>
      <c r="R97" s="4"/>
      <c r="S97" s="4"/>
      <c r="T97" s="4"/>
      <c r="U97" s="4"/>
      <c r="V97" s="4"/>
      <c r="W97" s="4"/>
    </row>
    <row r="100" spans="1:23">
      <c r="A100">
        <v>70</v>
      </c>
      <c r="B100">
        <v>1</v>
      </c>
      <c r="D100">
        <v>1</v>
      </c>
      <c r="E100" t="s">
        <v>143</v>
      </c>
      <c r="F100" t="s">
        <v>144</v>
      </c>
      <c r="G100">
        <v>0</v>
      </c>
      <c r="H100">
        <v>0</v>
      </c>
      <c r="I100" t="s">
        <v>3</v>
      </c>
      <c r="J100">
        <v>1</v>
      </c>
      <c r="K100">
        <v>0</v>
      </c>
      <c r="L100" t="s">
        <v>3</v>
      </c>
      <c r="M100" t="s">
        <v>3</v>
      </c>
      <c r="N100">
        <v>0</v>
      </c>
    </row>
    <row r="101" spans="1:23">
      <c r="A101">
        <v>70</v>
      </c>
      <c r="B101">
        <v>1</v>
      </c>
      <c r="D101">
        <v>2</v>
      </c>
      <c r="E101" t="s">
        <v>145</v>
      </c>
      <c r="F101" t="s">
        <v>146</v>
      </c>
      <c r="G101">
        <v>1</v>
      </c>
      <c r="H101">
        <v>0</v>
      </c>
      <c r="I101" t="s">
        <v>3</v>
      </c>
      <c r="J101">
        <v>1</v>
      </c>
      <c r="K101">
        <v>0</v>
      </c>
      <c r="L101" t="s">
        <v>3</v>
      </c>
      <c r="M101" t="s">
        <v>3</v>
      </c>
      <c r="N101">
        <v>0</v>
      </c>
    </row>
    <row r="102" spans="1:23">
      <c r="A102">
        <v>70</v>
      </c>
      <c r="B102">
        <v>1</v>
      </c>
      <c r="D102">
        <v>3</v>
      </c>
      <c r="E102" t="s">
        <v>147</v>
      </c>
      <c r="F102" t="s">
        <v>148</v>
      </c>
      <c r="G102">
        <v>0</v>
      </c>
      <c r="H102">
        <v>0</v>
      </c>
      <c r="I102" t="s">
        <v>3</v>
      </c>
      <c r="J102">
        <v>1</v>
      </c>
      <c r="K102">
        <v>0</v>
      </c>
      <c r="L102" t="s">
        <v>3</v>
      </c>
      <c r="M102" t="s">
        <v>3</v>
      </c>
      <c r="N102">
        <v>0</v>
      </c>
    </row>
    <row r="103" spans="1:23">
      <c r="A103">
        <v>70</v>
      </c>
      <c r="B103">
        <v>1</v>
      </c>
      <c r="D103">
        <v>4</v>
      </c>
      <c r="E103" t="s">
        <v>149</v>
      </c>
      <c r="F103" t="s">
        <v>150</v>
      </c>
      <c r="G103">
        <v>0</v>
      </c>
      <c r="H103">
        <v>0</v>
      </c>
      <c r="I103" t="s">
        <v>151</v>
      </c>
      <c r="J103">
        <v>0</v>
      </c>
      <c r="K103">
        <v>0</v>
      </c>
      <c r="L103" t="s">
        <v>3</v>
      </c>
      <c r="M103" t="s">
        <v>3</v>
      </c>
      <c r="N103">
        <v>0</v>
      </c>
    </row>
    <row r="104" spans="1:23">
      <c r="A104">
        <v>70</v>
      </c>
      <c r="B104">
        <v>1</v>
      </c>
      <c r="D104">
        <v>5</v>
      </c>
      <c r="E104" t="s">
        <v>152</v>
      </c>
      <c r="F104" t="s">
        <v>153</v>
      </c>
      <c r="G104">
        <v>0</v>
      </c>
      <c r="H104">
        <v>0</v>
      </c>
      <c r="I104" t="s">
        <v>154</v>
      </c>
      <c r="J104">
        <v>0</v>
      </c>
      <c r="K104">
        <v>0</v>
      </c>
      <c r="L104" t="s">
        <v>3</v>
      </c>
      <c r="M104" t="s">
        <v>3</v>
      </c>
      <c r="N104">
        <v>0</v>
      </c>
    </row>
    <row r="105" spans="1:23">
      <c r="A105">
        <v>70</v>
      </c>
      <c r="B105">
        <v>1</v>
      </c>
      <c r="D105">
        <v>6</v>
      </c>
      <c r="E105" t="s">
        <v>155</v>
      </c>
      <c r="F105" t="s">
        <v>156</v>
      </c>
      <c r="G105">
        <v>0</v>
      </c>
      <c r="H105">
        <v>0</v>
      </c>
      <c r="I105" t="s">
        <v>157</v>
      </c>
      <c r="J105">
        <v>0</v>
      </c>
      <c r="K105">
        <v>0</v>
      </c>
      <c r="L105" t="s">
        <v>3</v>
      </c>
      <c r="M105" t="s">
        <v>3</v>
      </c>
      <c r="N105">
        <v>0</v>
      </c>
    </row>
    <row r="106" spans="1:23">
      <c r="A106">
        <v>70</v>
      </c>
      <c r="B106">
        <v>1</v>
      </c>
      <c r="D106">
        <v>7</v>
      </c>
      <c r="E106" t="s">
        <v>158</v>
      </c>
      <c r="F106" t="s">
        <v>159</v>
      </c>
      <c r="G106">
        <v>1</v>
      </c>
      <c r="H106">
        <v>0</v>
      </c>
      <c r="I106" t="s">
        <v>3</v>
      </c>
      <c r="J106">
        <v>0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8</v>
      </c>
      <c r="E107" t="s">
        <v>160</v>
      </c>
      <c r="F107" t="s">
        <v>161</v>
      </c>
      <c r="G107">
        <v>0</v>
      </c>
      <c r="H107">
        <v>0</v>
      </c>
      <c r="I107" t="s">
        <v>162</v>
      </c>
      <c r="J107">
        <v>0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9</v>
      </c>
      <c r="E108" t="s">
        <v>163</v>
      </c>
      <c r="F108" t="s">
        <v>164</v>
      </c>
      <c r="G108">
        <v>0</v>
      </c>
      <c r="H108">
        <v>0</v>
      </c>
      <c r="I108" t="s">
        <v>165</v>
      </c>
      <c r="J108">
        <v>0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10</v>
      </c>
      <c r="E109" t="s">
        <v>166</v>
      </c>
      <c r="F109" t="s">
        <v>167</v>
      </c>
      <c r="G109">
        <v>0</v>
      </c>
      <c r="H109">
        <v>0</v>
      </c>
      <c r="I109" t="s">
        <v>168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11</v>
      </c>
      <c r="E110" t="s">
        <v>169</v>
      </c>
      <c r="F110" t="s">
        <v>170</v>
      </c>
      <c r="G110">
        <v>0</v>
      </c>
      <c r="H110">
        <v>0</v>
      </c>
      <c r="I110" t="s">
        <v>171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12</v>
      </c>
      <c r="E111" t="s">
        <v>172</v>
      </c>
      <c r="F111" t="s">
        <v>173</v>
      </c>
      <c r="G111">
        <v>0</v>
      </c>
      <c r="H111">
        <v>0</v>
      </c>
      <c r="I111" t="s">
        <v>3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1</v>
      </c>
      <c r="E112" t="s">
        <v>174</v>
      </c>
      <c r="F112" t="s">
        <v>175</v>
      </c>
      <c r="G112">
        <v>0.9</v>
      </c>
      <c r="H112">
        <v>1</v>
      </c>
      <c r="I112" t="s">
        <v>176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5">
      <c r="A113">
        <v>70</v>
      </c>
      <c r="B113">
        <v>1</v>
      </c>
      <c r="D113">
        <v>2</v>
      </c>
      <c r="E113" t="s">
        <v>177</v>
      </c>
      <c r="F113" t="s">
        <v>178</v>
      </c>
      <c r="G113">
        <v>0.85</v>
      </c>
      <c r="H113">
        <v>1</v>
      </c>
      <c r="I113" t="s">
        <v>179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5">
      <c r="A114">
        <v>70</v>
      </c>
      <c r="B114">
        <v>1</v>
      </c>
      <c r="D114">
        <v>3</v>
      </c>
      <c r="E114" t="s">
        <v>180</v>
      </c>
      <c r="F114" t="s">
        <v>181</v>
      </c>
      <c r="G114">
        <v>1</v>
      </c>
      <c r="H114">
        <v>0.85</v>
      </c>
      <c r="I114" t="s">
        <v>182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5">
      <c r="A115">
        <v>70</v>
      </c>
      <c r="B115">
        <v>1</v>
      </c>
      <c r="D115">
        <v>4</v>
      </c>
      <c r="E115" t="s">
        <v>183</v>
      </c>
      <c r="F115" t="s">
        <v>184</v>
      </c>
      <c r="G115">
        <v>1</v>
      </c>
      <c r="H115">
        <v>0</v>
      </c>
      <c r="I115" t="s">
        <v>3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5">
      <c r="A116">
        <v>70</v>
      </c>
      <c r="B116">
        <v>1</v>
      </c>
      <c r="D116">
        <v>5</v>
      </c>
      <c r="E116" t="s">
        <v>185</v>
      </c>
      <c r="F116" t="s">
        <v>186</v>
      </c>
      <c r="G116">
        <v>1</v>
      </c>
      <c r="H116">
        <v>0.8</v>
      </c>
      <c r="I116" t="s">
        <v>187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5">
      <c r="A117">
        <v>70</v>
      </c>
      <c r="B117">
        <v>1</v>
      </c>
      <c r="D117">
        <v>6</v>
      </c>
      <c r="E117" t="s">
        <v>188</v>
      </c>
      <c r="F117" t="s">
        <v>189</v>
      </c>
      <c r="G117">
        <v>0.85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5">
      <c r="A118">
        <v>70</v>
      </c>
      <c r="B118">
        <v>1</v>
      </c>
      <c r="D118">
        <v>7</v>
      </c>
      <c r="E118" t="s">
        <v>190</v>
      </c>
      <c r="F118" t="s">
        <v>191</v>
      </c>
      <c r="G118">
        <v>0.8</v>
      </c>
      <c r="H118">
        <v>0</v>
      </c>
      <c r="I118" t="s">
        <v>3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5">
      <c r="A119">
        <v>70</v>
      </c>
      <c r="B119">
        <v>1</v>
      </c>
      <c r="D119">
        <v>8</v>
      </c>
      <c r="E119" t="s">
        <v>192</v>
      </c>
      <c r="F119" t="s">
        <v>193</v>
      </c>
      <c r="G119">
        <v>0.7</v>
      </c>
      <c r="H119">
        <v>0</v>
      </c>
      <c r="I119" t="s">
        <v>3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5">
      <c r="A120">
        <v>70</v>
      </c>
      <c r="B120">
        <v>1</v>
      </c>
      <c r="D120">
        <v>9</v>
      </c>
      <c r="E120" t="s">
        <v>194</v>
      </c>
      <c r="F120" t="s">
        <v>195</v>
      </c>
      <c r="G120">
        <v>0.9</v>
      </c>
      <c r="H120">
        <v>0</v>
      </c>
      <c r="I120" t="s">
        <v>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5">
      <c r="A121">
        <v>70</v>
      </c>
      <c r="B121">
        <v>1</v>
      </c>
      <c r="D121">
        <v>10</v>
      </c>
      <c r="E121" t="s">
        <v>196</v>
      </c>
      <c r="F121" t="s">
        <v>197</v>
      </c>
      <c r="G121">
        <v>0.6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5">
      <c r="A122">
        <v>70</v>
      </c>
      <c r="B122">
        <v>1</v>
      </c>
      <c r="D122">
        <v>11</v>
      </c>
      <c r="E122" t="s">
        <v>198</v>
      </c>
      <c r="F122" t="s">
        <v>199</v>
      </c>
      <c r="G122">
        <v>1.2</v>
      </c>
      <c r="H122">
        <v>0</v>
      </c>
      <c r="I122" t="s">
        <v>3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5">
      <c r="A123">
        <v>70</v>
      </c>
      <c r="B123">
        <v>1</v>
      </c>
      <c r="D123">
        <v>12</v>
      </c>
      <c r="E123" t="s">
        <v>200</v>
      </c>
      <c r="F123" t="s">
        <v>201</v>
      </c>
      <c r="G123">
        <v>0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5">
      <c r="A124">
        <v>70</v>
      </c>
      <c r="B124">
        <v>1</v>
      </c>
      <c r="D124">
        <v>13</v>
      </c>
      <c r="E124" t="s">
        <v>202</v>
      </c>
      <c r="F124" t="s">
        <v>203</v>
      </c>
      <c r="G124">
        <v>1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6" spans="1:15">
      <c r="A126">
        <v>-1</v>
      </c>
    </row>
    <row r="128" spans="1:15">
      <c r="A128" s="3">
        <v>75</v>
      </c>
      <c r="B128" s="3" t="s">
        <v>204</v>
      </c>
      <c r="C128" s="3">
        <v>2021</v>
      </c>
      <c r="D128" s="3">
        <v>0</v>
      </c>
      <c r="E128" s="3">
        <v>2</v>
      </c>
      <c r="F128" s="3"/>
      <c r="G128" s="3">
        <v>0</v>
      </c>
      <c r="H128" s="3">
        <v>1</v>
      </c>
      <c r="I128" s="3">
        <v>0</v>
      </c>
      <c r="J128" s="3">
        <v>3</v>
      </c>
      <c r="K128" s="3">
        <v>0</v>
      </c>
      <c r="L128" s="3">
        <v>0</v>
      </c>
      <c r="M128" s="3">
        <v>0</v>
      </c>
      <c r="N128" s="3">
        <v>35779378</v>
      </c>
      <c r="O128" s="3">
        <v>1</v>
      </c>
    </row>
    <row r="129" spans="1:40">
      <c r="A129" s="5">
        <v>1</v>
      </c>
      <c r="B129" s="5" t="s">
        <v>205</v>
      </c>
      <c r="C129" s="5" t="s">
        <v>206</v>
      </c>
      <c r="D129" s="5">
        <v>2021</v>
      </c>
      <c r="E129" s="5">
        <v>2</v>
      </c>
      <c r="F129" s="5">
        <v>1</v>
      </c>
      <c r="G129" s="5">
        <v>1</v>
      </c>
      <c r="H129" s="5">
        <v>0</v>
      </c>
      <c r="I129" s="5">
        <v>2</v>
      </c>
      <c r="J129" s="5">
        <v>1</v>
      </c>
      <c r="K129" s="5">
        <v>1</v>
      </c>
      <c r="L129" s="5">
        <v>1</v>
      </c>
      <c r="M129" s="5">
        <v>1</v>
      </c>
      <c r="N129" s="5">
        <v>1</v>
      </c>
      <c r="O129" s="5">
        <v>1</v>
      </c>
      <c r="P129" s="5">
        <v>1</v>
      </c>
      <c r="Q129" s="5">
        <v>1</v>
      </c>
      <c r="R129" s="5" t="s">
        <v>3</v>
      </c>
      <c r="S129" s="5" t="s">
        <v>3</v>
      </c>
      <c r="T129" s="5" t="s">
        <v>3</v>
      </c>
      <c r="U129" s="5" t="s">
        <v>3</v>
      </c>
      <c r="V129" s="5" t="s">
        <v>3</v>
      </c>
      <c r="W129" s="5" t="s">
        <v>3</v>
      </c>
      <c r="X129" s="5" t="s">
        <v>3</v>
      </c>
      <c r="Y129" s="5" t="s">
        <v>3</v>
      </c>
      <c r="Z129" s="5" t="s">
        <v>3</v>
      </c>
      <c r="AA129" s="5" t="s">
        <v>3</v>
      </c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>
        <v>35779379</v>
      </c>
    </row>
    <row r="130" spans="1:40">
      <c r="A130" s="5">
        <v>2</v>
      </c>
      <c r="B130" s="5" t="s">
        <v>207</v>
      </c>
      <c r="C130" s="5" t="s">
        <v>208</v>
      </c>
      <c r="D130" s="5">
        <v>0</v>
      </c>
      <c r="E130" s="5">
        <v>0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>
        <v>35779380</v>
      </c>
    </row>
    <row r="134" spans="1:40">
      <c r="A134">
        <v>65</v>
      </c>
      <c r="C134">
        <v>1</v>
      </c>
      <c r="D134">
        <v>0</v>
      </c>
      <c r="E13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35779378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(Source!F54)/1000</f>
        <v>428.30890000000005</v>
      </c>
      <c r="F16" s="7">
        <f>(Source!F55)/1000</f>
        <v>0</v>
      </c>
      <c r="G16" s="7">
        <f>(Source!F46)/1000</f>
        <v>0</v>
      </c>
      <c r="H16" s="7">
        <f>(Source!F56)/1000+(Source!F57)/1000</f>
        <v>0</v>
      </c>
      <c r="I16" s="7">
        <f>E16+F16+G16+H16</f>
        <v>428.30890000000005</v>
      </c>
      <c r="J16" s="7">
        <f>(Source!F52)/1000</f>
        <v>62.032249999999998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326745.23</v>
      </c>
      <c r="AU16" s="7">
        <v>256428.88</v>
      </c>
      <c r="AV16" s="7">
        <v>0</v>
      </c>
      <c r="AW16" s="7">
        <v>0</v>
      </c>
      <c r="AX16" s="7">
        <v>0</v>
      </c>
      <c r="AY16" s="7">
        <v>8284.1</v>
      </c>
      <c r="AZ16" s="7">
        <v>935.11</v>
      </c>
      <c r="BA16" s="7">
        <v>62032.25</v>
      </c>
      <c r="BB16" s="7">
        <v>428308.9</v>
      </c>
      <c r="BC16" s="7">
        <v>0</v>
      </c>
      <c r="BD16" s="7">
        <v>0</v>
      </c>
      <c r="BE16" s="7">
        <v>0</v>
      </c>
      <c r="BF16" s="7">
        <v>214.29667599999999</v>
      </c>
      <c r="BG16" s="7">
        <v>2.1127500000000001</v>
      </c>
      <c r="BH16" s="7">
        <v>0</v>
      </c>
      <c r="BI16" s="7">
        <v>65785.100000000006</v>
      </c>
      <c r="BJ16" s="7">
        <v>35778.57</v>
      </c>
      <c r="BK16" s="7">
        <v>428308.9</v>
      </c>
    </row>
    <row r="18" spans="1:19">
      <c r="A18">
        <v>51</v>
      </c>
      <c r="E18" s="8">
        <f>SUMIF(A16:A17,3,E16:E17)</f>
        <v>428.30890000000005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428.30890000000005</v>
      </c>
      <c r="J18" s="8">
        <f>SUMIF(A16:A17,3,J16:J17)</f>
        <v>62.032249999999998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326745.23</v>
      </c>
      <c r="G20" s="4" t="s">
        <v>85</v>
      </c>
      <c r="H20" s="4" t="s">
        <v>86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256428.88</v>
      </c>
      <c r="G21" s="4" t="s">
        <v>87</v>
      </c>
      <c r="H21" s="4" t="s">
        <v>88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89</v>
      </c>
      <c r="H22" s="4" t="s">
        <v>90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256428.88</v>
      </c>
      <c r="G23" s="4" t="s">
        <v>91</v>
      </c>
      <c r="H23" s="4" t="s">
        <v>92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256428.88</v>
      </c>
      <c r="G24" s="4" t="s">
        <v>93</v>
      </c>
      <c r="H24" s="4" t="s">
        <v>94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95</v>
      </c>
      <c r="H25" s="4" t="s">
        <v>96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256428.88</v>
      </c>
      <c r="G26" s="4" t="s">
        <v>97</v>
      </c>
      <c r="H26" s="4" t="s">
        <v>98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99</v>
      </c>
      <c r="H27" s="4" t="s">
        <v>100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101</v>
      </c>
      <c r="H28" s="4" t="s">
        <v>102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103</v>
      </c>
      <c r="H29" s="4" t="s">
        <v>104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8284.1</v>
      </c>
      <c r="G30" s="4" t="s">
        <v>105</v>
      </c>
      <c r="H30" s="4" t="s">
        <v>106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107</v>
      </c>
      <c r="H31" s="4" t="s">
        <v>108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935.11</v>
      </c>
      <c r="G32" s="4" t="s">
        <v>109</v>
      </c>
      <c r="H32" s="4" t="s">
        <v>110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62032.25</v>
      </c>
      <c r="G33" s="4" t="s">
        <v>111</v>
      </c>
      <c r="H33" s="4" t="s">
        <v>112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113</v>
      </c>
      <c r="H34" s="4" t="s">
        <v>114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428308.9</v>
      </c>
      <c r="G35" s="4" t="s">
        <v>115</v>
      </c>
      <c r="H35" s="4" t="s">
        <v>116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117</v>
      </c>
      <c r="H36" s="4" t="s">
        <v>118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119</v>
      </c>
      <c r="H37" s="4" t="s">
        <v>120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121</v>
      </c>
      <c r="H38" s="4" t="s">
        <v>122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123</v>
      </c>
      <c r="H39" s="4" t="s">
        <v>124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214.29667599999999</v>
      </c>
      <c r="G40" s="4" t="s">
        <v>125</v>
      </c>
      <c r="H40" s="4" t="s">
        <v>126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2.1127500000000001</v>
      </c>
      <c r="G41" s="4" t="s">
        <v>127</v>
      </c>
      <c r="H41" s="4" t="s">
        <v>128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129</v>
      </c>
      <c r="H42" s="4" t="s">
        <v>130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3142.61</v>
      </c>
      <c r="G43" s="4" t="s">
        <v>131</v>
      </c>
      <c r="H43" s="4" t="s">
        <v>132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65785.100000000006</v>
      </c>
      <c r="G44" s="4" t="s">
        <v>133</v>
      </c>
      <c r="H44" s="4" t="s">
        <v>134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35778.57</v>
      </c>
      <c r="G45" s="4" t="s">
        <v>135</v>
      </c>
      <c r="H45" s="4" t="s">
        <v>136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428308.9</v>
      </c>
      <c r="G46" s="4" t="s">
        <v>137</v>
      </c>
      <c r="H46" s="4" t="s">
        <v>138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85661.8</v>
      </c>
      <c r="G47" s="4" t="s">
        <v>139</v>
      </c>
      <c r="H47" s="4" t="s">
        <v>140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513970.7</v>
      </c>
      <c r="G48" s="4" t="s">
        <v>141</v>
      </c>
      <c r="H48" s="4" t="s">
        <v>142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204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35779378</v>
      </c>
      <c r="O53" s="3">
        <v>1</v>
      </c>
    </row>
    <row r="54" spans="1:40">
      <c r="A54" s="5">
        <v>1</v>
      </c>
      <c r="B54" s="5" t="s">
        <v>205</v>
      </c>
      <c r="C54" s="5" t="s">
        <v>206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35779379</v>
      </c>
    </row>
    <row r="55" spans="1:40">
      <c r="A55" s="5">
        <v>2</v>
      </c>
      <c r="B55" s="5" t="s">
        <v>207</v>
      </c>
      <c r="C55" s="5" t="s">
        <v>208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35779380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32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35779378</v>
      </c>
      <c r="C1">
        <v>35779515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210</v>
      </c>
      <c r="J1" t="s">
        <v>3</v>
      </c>
      <c r="K1" t="s">
        <v>211</v>
      </c>
      <c r="L1">
        <v>1369</v>
      </c>
      <c r="N1">
        <v>1013</v>
      </c>
      <c r="O1" t="s">
        <v>212</v>
      </c>
      <c r="P1" t="s">
        <v>212</v>
      </c>
      <c r="Q1">
        <v>1</v>
      </c>
      <c r="W1">
        <v>0</v>
      </c>
      <c r="X1">
        <v>254330056</v>
      </c>
      <c r="Y1">
        <v>14.38</v>
      </c>
      <c r="AA1">
        <v>0</v>
      </c>
      <c r="AB1">
        <v>0</v>
      </c>
      <c r="AC1">
        <v>0</v>
      </c>
      <c r="AD1">
        <v>254.67</v>
      </c>
      <c r="AE1">
        <v>0</v>
      </c>
      <c r="AF1">
        <v>0</v>
      </c>
      <c r="AG1">
        <v>0</v>
      </c>
      <c r="AH1">
        <v>254.67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14.38</v>
      </c>
      <c r="AU1" t="s">
        <v>3</v>
      </c>
      <c r="AV1">
        <v>1</v>
      </c>
      <c r="AW1">
        <v>2</v>
      </c>
      <c r="AX1">
        <v>35779516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71.669920000000005</v>
      </c>
      <c r="CY1">
        <f>AD1</f>
        <v>254.67</v>
      </c>
      <c r="CZ1">
        <f>AH1</f>
        <v>254.67</v>
      </c>
      <c r="DA1">
        <f>AL1</f>
        <v>1</v>
      </c>
      <c r="DB1">
        <f t="shared" ref="DB1:DB10" si="0">ROUND(ROUND(AT1*CZ1,2),6)</f>
        <v>3662.15</v>
      </c>
      <c r="DC1">
        <f t="shared" ref="DC1:DC10" si="1">ROUND(ROUND(AT1*AG1,2),6)</f>
        <v>0</v>
      </c>
    </row>
    <row r="2" spans="1:107">
      <c r="A2">
        <f>ROW(Source!A24)</f>
        <v>24</v>
      </c>
      <c r="B2">
        <v>35779378</v>
      </c>
      <c r="C2">
        <v>35779515</v>
      </c>
      <c r="D2">
        <v>29172515</v>
      </c>
      <c r="E2">
        <v>1</v>
      </c>
      <c r="F2">
        <v>1</v>
      </c>
      <c r="G2">
        <v>1</v>
      </c>
      <c r="H2">
        <v>2</v>
      </c>
      <c r="I2" t="s">
        <v>213</v>
      </c>
      <c r="J2" t="s">
        <v>214</v>
      </c>
      <c r="K2" t="s">
        <v>215</v>
      </c>
      <c r="L2">
        <v>1368</v>
      </c>
      <c r="N2">
        <v>1011</v>
      </c>
      <c r="O2" t="s">
        <v>216</v>
      </c>
      <c r="P2" t="s">
        <v>216</v>
      </c>
      <c r="Q2">
        <v>1</v>
      </c>
      <c r="W2">
        <v>0</v>
      </c>
      <c r="X2">
        <v>-434635516</v>
      </c>
      <c r="Y2">
        <v>6.22</v>
      </c>
      <c r="AA2">
        <v>0</v>
      </c>
      <c r="AB2">
        <v>54.01</v>
      </c>
      <c r="AC2">
        <v>0</v>
      </c>
      <c r="AD2">
        <v>0</v>
      </c>
      <c r="AE2">
        <v>0</v>
      </c>
      <c r="AF2">
        <v>6.66</v>
      </c>
      <c r="AG2">
        <v>0</v>
      </c>
      <c r="AH2">
        <v>0</v>
      </c>
      <c r="AI2">
        <v>1</v>
      </c>
      <c r="AJ2">
        <v>8.11</v>
      </c>
      <c r="AK2">
        <v>33.049999999999997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6.22</v>
      </c>
      <c r="AU2" t="s">
        <v>3</v>
      </c>
      <c r="AV2">
        <v>0</v>
      </c>
      <c r="AW2">
        <v>2</v>
      </c>
      <c r="AX2">
        <v>35779517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31.00048</v>
      </c>
      <c r="CY2">
        <f>AB2</f>
        <v>54.01</v>
      </c>
      <c r="CZ2">
        <f>AF2</f>
        <v>6.66</v>
      </c>
      <c r="DA2">
        <f>AJ2</f>
        <v>8.11</v>
      </c>
      <c r="DB2">
        <f t="shared" si="0"/>
        <v>41.43</v>
      </c>
      <c r="DC2">
        <f t="shared" si="1"/>
        <v>0</v>
      </c>
    </row>
    <row r="3" spans="1:107">
      <c r="A3">
        <f>ROW(Source!A25)</f>
        <v>25</v>
      </c>
      <c r="B3">
        <v>35779378</v>
      </c>
      <c r="C3">
        <v>35779518</v>
      </c>
      <c r="D3">
        <v>18406785</v>
      </c>
      <c r="E3">
        <v>1</v>
      </c>
      <c r="F3">
        <v>1</v>
      </c>
      <c r="G3">
        <v>1</v>
      </c>
      <c r="H3">
        <v>1</v>
      </c>
      <c r="I3" t="s">
        <v>217</v>
      </c>
      <c r="J3" t="s">
        <v>3</v>
      </c>
      <c r="K3" t="s">
        <v>218</v>
      </c>
      <c r="L3">
        <v>1369</v>
      </c>
      <c r="N3">
        <v>1013</v>
      </c>
      <c r="O3" t="s">
        <v>212</v>
      </c>
      <c r="P3" t="s">
        <v>212</v>
      </c>
      <c r="Q3">
        <v>1</v>
      </c>
      <c r="W3">
        <v>0</v>
      </c>
      <c r="X3">
        <v>645971194</v>
      </c>
      <c r="Y3">
        <v>75.3</v>
      </c>
      <c r="AA3">
        <v>0</v>
      </c>
      <c r="AB3">
        <v>0</v>
      </c>
      <c r="AC3">
        <v>0</v>
      </c>
      <c r="AD3">
        <v>289.27999999999997</v>
      </c>
      <c r="AE3">
        <v>0</v>
      </c>
      <c r="AF3">
        <v>0</v>
      </c>
      <c r="AG3">
        <v>0</v>
      </c>
      <c r="AH3">
        <v>289.27999999999997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75.3</v>
      </c>
      <c r="AU3" t="s">
        <v>3</v>
      </c>
      <c r="AV3">
        <v>1</v>
      </c>
      <c r="AW3">
        <v>2</v>
      </c>
      <c r="AX3">
        <v>35848664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Y3*Source!I25</f>
        <v>7.53</v>
      </c>
      <c r="CY3">
        <f>AD3</f>
        <v>289.27999999999997</v>
      </c>
      <c r="CZ3">
        <f>AH3</f>
        <v>289.27999999999997</v>
      </c>
      <c r="DA3">
        <f>AL3</f>
        <v>1</v>
      </c>
      <c r="DB3">
        <f t="shared" si="0"/>
        <v>21782.78</v>
      </c>
      <c r="DC3">
        <f t="shared" si="1"/>
        <v>0</v>
      </c>
    </row>
    <row r="4" spans="1:107">
      <c r="A4">
        <f>ROW(Source!A25)</f>
        <v>25</v>
      </c>
      <c r="B4">
        <v>35779378</v>
      </c>
      <c r="C4">
        <v>35779518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13</v>
      </c>
      <c r="J4" t="s">
        <v>3</v>
      </c>
      <c r="K4" t="s">
        <v>219</v>
      </c>
      <c r="L4">
        <v>608254</v>
      </c>
      <c r="N4">
        <v>1013</v>
      </c>
      <c r="O4" t="s">
        <v>220</v>
      </c>
      <c r="P4" t="s">
        <v>220</v>
      </c>
      <c r="Q4">
        <v>1</v>
      </c>
      <c r="W4">
        <v>0</v>
      </c>
      <c r="X4">
        <v>-185737400</v>
      </c>
      <c r="Y4">
        <v>0.68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0.68</v>
      </c>
      <c r="AU4" t="s">
        <v>3</v>
      </c>
      <c r="AV4">
        <v>2</v>
      </c>
      <c r="AW4">
        <v>2</v>
      </c>
      <c r="AX4">
        <v>35848665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Y4*Source!I25</f>
        <v>6.8000000000000005E-2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>
      <c r="A5">
        <f>ROW(Source!A25)</f>
        <v>25</v>
      </c>
      <c r="B5">
        <v>35779378</v>
      </c>
      <c r="C5">
        <v>35779518</v>
      </c>
      <c r="D5">
        <v>29172513</v>
      </c>
      <c r="E5">
        <v>1</v>
      </c>
      <c r="F5">
        <v>1</v>
      </c>
      <c r="G5">
        <v>1</v>
      </c>
      <c r="H5">
        <v>2</v>
      </c>
      <c r="I5" t="s">
        <v>221</v>
      </c>
      <c r="J5" t="s">
        <v>222</v>
      </c>
      <c r="K5" t="s">
        <v>223</v>
      </c>
      <c r="L5">
        <v>1368</v>
      </c>
      <c r="N5">
        <v>1011</v>
      </c>
      <c r="O5" t="s">
        <v>216</v>
      </c>
      <c r="P5" t="s">
        <v>216</v>
      </c>
      <c r="Q5">
        <v>1</v>
      </c>
      <c r="W5">
        <v>0</v>
      </c>
      <c r="X5">
        <v>1679132089</v>
      </c>
      <c r="Y5">
        <v>1.02</v>
      </c>
      <c r="AA5">
        <v>0</v>
      </c>
      <c r="AB5">
        <v>18.02</v>
      </c>
      <c r="AC5">
        <v>0</v>
      </c>
      <c r="AD5">
        <v>0</v>
      </c>
      <c r="AE5">
        <v>0</v>
      </c>
      <c r="AF5">
        <v>1.7</v>
      </c>
      <c r="AG5">
        <v>0</v>
      </c>
      <c r="AH5">
        <v>0</v>
      </c>
      <c r="AI5">
        <v>1</v>
      </c>
      <c r="AJ5">
        <v>10.6</v>
      </c>
      <c r="AK5">
        <v>33.049999999999997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1.02</v>
      </c>
      <c r="AU5" t="s">
        <v>3</v>
      </c>
      <c r="AV5">
        <v>0</v>
      </c>
      <c r="AW5">
        <v>2</v>
      </c>
      <c r="AX5">
        <v>35848666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Y5*Source!I25</f>
        <v>0.10200000000000001</v>
      </c>
      <c r="CY5">
        <f>AB5</f>
        <v>18.02</v>
      </c>
      <c r="CZ5">
        <f>AF5</f>
        <v>1.7</v>
      </c>
      <c r="DA5">
        <f>AJ5</f>
        <v>10.6</v>
      </c>
      <c r="DB5">
        <f t="shared" si="0"/>
        <v>1.73</v>
      </c>
      <c r="DC5">
        <f t="shared" si="1"/>
        <v>0</v>
      </c>
    </row>
    <row r="6" spans="1:107">
      <c r="A6">
        <f>ROW(Source!A25)</f>
        <v>25</v>
      </c>
      <c r="B6">
        <v>35779378</v>
      </c>
      <c r="C6">
        <v>35779518</v>
      </c>
      <c r="D6">
        <v>29172710</v>
      </c>
      <c r="E6">
        <v>1</v>
      </c>
      <c r="F6">
        <v>1</v>
      </c>
      <c r="G6">
        <v>1</v>
      </c>
      <c r="H6">
        <v>2</v>
      </c>
      <c r="I6" t="s">
        <v>224</v>
      </c>
      <c r="J6" t="s">
        <v>225</v>
      </c>
      <c r="K6" t="s">
        <v>226</v>
      </c>
      <c r="L6">
        <v>1368</v>
      </c>
      <c r="N6">
        <v>1011</v>
      </c>
      <c r="O6" t="s">
        <v>216</v>
      </c>
      <c r="P6" t="s">
        <v>216</v>
      </c>
      <c r="Q6">
        <v>1</v>
      </c>
      <c r="W6">
        <v>0</v>
      </c>
      <c r="X6">
        <v>-1676841219</v>
      </c>
      <c r="Y6">
        <v>0.68</v>
      </c>
      <c r="AA6">
        <v>0</v>
      </c>
      <c r="AB6">
        <v>539.16</v>
      </c>
      <c r="AC6">
        <v>332.48</v>
      </c>
      <c r="AD6">
        <v>0</v>
      </c>
      <c r="AE6">
        <v>0</v>
      </c>
      <c r="AF6">
        <v>46.56</v>
      </c>
      <c r="AG6">
        <v>10.06</v>
      </c>
      <c r="AH6">
        <v>0</v>
      </c>
      <c r="AI6">
        <v>1</v>
      </c>
      <c r="AJ6">
        <v>11.58</v>
      </c>
      <c r="AK6">
        <v>33.049999999999997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0.68</v>
      </c>
      <c r="AU6" t="s">
        <v>3</v>
      </c>
      <c r="AV6">
        <v>0</v>
      </c>
      <c r="AW6">
        <v>2</v>
      </c>
      <c r="AX6">
        <v>35848667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Y6*Source!I25</f>
        <v>6.8000000000000005E-2</v>
      </c>
      <c r="CY6">
        <f>AB6</f>
        <v>539.16</v>
      </c>
      <c r="CZ6">
        <f>AF6</f>
        <v>46.56</v>
      </c>
      <c r="DA6">
        <f>AJ6</f>
        <v>11.58</v>
      </c>
      <c r="DB6">
        <f t="shared" si="0"/>
        <v>31.66</v>
      </c>
      <c r="DC6">
        <f t="shared" si="1"/>
        <v>6.84</v>
      </c>
    </row>
    <row r="7" spans="1:107">
      <c r="A7">
        <f>ROW(Source!A25)</f>
        <v>25</v>
      </c>
      <c r="B7">
        <v>35779378</v>
      </c>
      <c r="C7">
        <v>35779518</v>
      </c>
      <c r="D7">
        <v>29174533</v>
      </c>
      <c r="E7">
        <v>1</v>
      </c>
      <c r="F7">
        <v>1</v>
      </c>
      <c r="G7">
        <v>1</v>
      </c>
      <c r="H7">
        <v>2</v>
      </c>
      <c r="I7" t="s">
        <v>227</v>
      </c>
      <c r="J7" t="s">
        <v>228</v>
      </c>
      <c r="K7" t="s">
        <v>229</v>
      </c>
      <c r="L7">
        <v>1368</v>
      </c>
      <c r="N7">
        <v>1011</v>
      </c>
      <c r="O7" t="s">
        <v>216</v>
      </c>
      <c r="P7" t="s">
        <v>216</v>
      </c>
      <c r="Q7">
        <v>1</v>
      </c>
      <c r="W7">
        <v>0</v>
      </c>
      <c r="X7">
        <v>1235896746</v>
      </c>
      <c r="Y7">
        <v>0.68</v>
      </c>
      <c r="AA7">
        <v>0</v>
      </c>
      <c r="AB7">
        <v>5.0599999999999996</v>
      </c>
      <c r="AC7">
        <v>0</v>
      </c>
      <c r="AD7">
        <v>0</v>
      </c>
      <c r="AE7">
        <v>0</v>
      </c>
      <c r="AF7">
        <v>1.53</v>
      </c>
      <c r="AG7">
        <v>0</v>
      </c>
      <c r="AH7">
        <v>0</v>
      </c>
      <c r="AI7">
        <v>1</v>
      </c>
      <c r="AJ7">
        <v>3.31</v>
      </c>
      <c r="AK7">
        <v>33.049999999999997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0.68</v>
      </c>
      <c r="AU7" t="s">
        <v>3</v>
      </c>
      <c r="AV7">
        <v>0</v>
      </c>
      <c r="AW7">
        <v>2</v>
      </c>
      <c r="AX7">
        <v>35848668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Y7*Source!I25</f>
        <v>6.8000000000000005E-2</v>
      </c>
      <c r="CY7">
        <f>AB7</f>
        <v>5.0599999999999996</v>
      </c>
      <c r="CZ7">
        <f>AF7</f>
        <v>1.53</v>
      </c>
      <c r="DA7">
        <f>AJ7</f>
        <v>3.31</v>
      </c>
      <c r="DB7">
        <f t="shared" si="0"/>
        <v>1.04</v>
      </c>
      <c r="DC7">
        <f t="shared" si="1"/>
        <v>0</v>
      </c>
    </row>
    <row r="8" spans="1:107">
      <c r="A8">
        <f>ROW(Source!A25)</f>
        <v>25</v>
      </c>
      <c r="B8">
        <v>35779378</v>
      </c>
      <c r="C8">
        <v>35779518</v>
      </c>
      <c r="D8">
        <v>29109197</v>
      </c>
      <c r="E8">
        <v>1</v>
      </c>
      <c r="F8">
        <v>1</v>
      </c>
      <c r="G8">
        <v>1</v>
      </c>
      <c r="H8">
        <v>3</v>
      </c>
      <c r="I8" t="s">
        <v>230</v>
      </c>
      <c r="J8" t="s">
        <v>231</v>
      </c>
      <c r="K8" t="s">
        <v>232</v>
      </c>
      <c r="L8">
        <v>1348</v>
      </c>
      <c r="N8">
        <v>1009</v>
      </c>
      <c r="O8" t="s">
        <v>34</v>
      </c>
      <c r="P8" t="s">
        <v>34</v>
      </c>
      <c r="Q8">
        <v>1000</v>
      </c>
      <c r="W8">
        <v>0</v>
      </c>
      <c r="X8">
        <v>-725440123</v>
      </c>
      <c r="Y8">
        <v>8.9999999999999993E-3</v>
      </c>
      <c r="AA8">
        <v>3675.13</v>
      </c>
      <c r="AB8">
        <v>0</v>
      </c>
      <c r="AC8">
        <v>0</v>
      </c>
      <c r="AD8">
        <v>0</v>
      </c>
      <c r="AE8">
        <v>412.01</v>
      </c>
      <c r="AF8">
        <v>0</v>
      </c>
      <c r="AG8">
        <v>0</v>
      </c>
      <c r="AH8">
        <v>0</v>
      </c>
      <c r="AI8">
        <v>8.92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8.9999999999999993E-3</v>
      </c>
      <c r="AU8" t="s">
        <v>3</v>
      </c>
      <c r="AV8">
        <v>0</v>
      </c>
      <c r="AW8">
        <v>2</v>
      </c>
      <c r="AX8">
        <v>35848669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Y8*Source!I25</f>
        <v>8.9999999999999998E-4</v>
      </c>
      <c r="CY8">
        <f>AA8</f>
        <v>3675.13</v>
      </c>
      <c r="CZ8">
        <f>AE8</f>
        <v>412.01</v>
      </c>
      <c r="DA8">
        <f>AI8</f>
        <v>8.92</v>
      </c>
      <c r="DB8">
        <f t="shared" si="0"/>
        <v>3.71</v>
      </c>
      <c r="DC8">
        <f t="shared" si="1"/>
        <v>0</v>
      </c>
    </row>
    <row r="9" spans="1:107">
      <c r="A9">
        <f>ROW(Source!A25)</f>
        <v>25</v>
      </c>
      <c r="B9">
        <v>35779378</v>
      </c>
      <c r="C9">
        <v>35779518</v>
      </c>
      <c r="D9">
        <v>29145157</v>
      </c>
      <c r="E9">
        <v>1</v>
      </c>
      <c r="F9">
        <v>1</v>
      </c>
      <c r="G9">
        <v>1</v>
      </c>
      <c r="H9">
        <v>3</v>
      </c>
      <c r="I9" t="s">
        <v>233</v>
      </c>
      <c r="J9" t="s">
        <v>234</v>
      </c>
      <c r="K9" t="s">
        <v>235</v>
      </c>
      <c r="L9">
        <v>1339</v>
      </c>
      <c r="N9">
        <v>1007</v>
      </c>
      <c r="O9" t="s">
        <v>236</v>
      </c>
      <c r="P9" t="s">
        <v>236</v>
      </c>
      <c r="Q9">
        <v>1</v>
      </c>
      <c r="W9">
        <v>0</v>
      </c>
      <c r="X9">
        <v>54517115</v>
      </c>
      <c r="Y9">
        <v>1</v>
      </c>
      <c r="AA9">
        <v>3233.16</v>
      </c>
      <c r="AB9">
        <v>0</v>
      </c>
      <c r="AC9">
        <v>0</v>
      </c>
      <c r="AD9">
        <v>0</v>
      </c>
      <c r="AE9">
        <v>519.79999999999995</v>
      </c>
      <c r="AF9">
        <v>0</v>
      </c>
      <c r="AG9">
        <v>0</v>
      </c>
      <c r="AH9">
        <v>0</v>
      </c>
      <c r="AI9">
        <v>6.22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</v>
      </c>
      <c r="AU9" t="s">
        <v>3</v>
      </c>
      <c r="AV9">
        <v>0</v>
      </c>
      <c r="AW9">
        <v>2</v>
      </c>
      <c r="AX9">
        <v>35848670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Y9*Source!I25</f>
        <v>0.1</v>
      </c>
      <c r="CY9">
        <f>AA9</f>
        <v>3233.16</v>
      </c>
      <c r="CZ9">
        <f>AE9</f>
        <v>519.79999999999995</v>
      </c>
      <c r="DA9">
        <f>AI9</f>
        <v>6.22</v>
      </c>
      <c r="DB9">
        <f t="shared" si="0"/>
        <v>519.79999999999995</v>
      </c>
      <c r="DC9">
        <f t="shared" si="1"/>
        <v>0</v>
      </c>
    </row>
    <row r="10" spans="1:107">
      <c r="A10">
        <f>ROW(Source!A25)</f>
        <v>25</v>
      </c>
      <c r="B10">
        <v>35779378</v>
      </c>
      <c r="C10">
        <v>35779518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32</v>
      </c>
      <c r="J10" t="s">
        <v>35</v>
      </c>
      <c r="K10" t="s">
        <v>33</v>
      </c>
      <c r="L10">
        <v>1348</v>
      </c>
      <c r="N10">
        <v>1009</v>
      </c>
      <c r="O10" t="s">
        <v>34</v>
      </c>
      <c r="P10" t="s">
        <v>34</v>
      </c>
      <c r="Q10">
        <v>1000</v>
      </c>
      <c r="W10">
        <v>0</v>
      </c>
      <c r="X10">
        <v>-304821490</v>
      </c>
      <c r="Y10">
        <v>0.7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3</v>
      </c>
      <c r="AT10">
        <v>0.7</v>
      </c>
      <c r="AU10" t="s">
        <v>3</v>
      </c>
      <c r="AV10">
        <v>0</v>
      </c>
      <c r="AW10">
        <v>2</v>
      </c>
      <c r="AX10">
        <v>35848671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Y10*Source!I25</f>
        <v>6.9999999999999993E-2</v>
      </c>
      <c r="CY10">
        <f>AA10</f>
        <v>0</v>
      </c>
      <c r="CZ10">
        <f>AE10</f>
        <v>0</v>
      </c>
      <c r="DA10">
        <f>AI10</f>
        <v>1</v>
      </c>
      <c r="DB10">
        <f t="shared" si="0"/>
        <v>0</v>
      </c>
      <c r="DC10">
        <f t="shared" si="1"/>
        <v>0</v>
      </c>
    </row>
    <row r="11" spans="1:107">
      <c r="A11">
        <f>ROW(Source!A27)</f>
        <v>27</v>
      </c>
      <c r="B11">
        <v>35779378</v>
      </c>
      <c r="C11">
        <v>36379254</v>
      </c>
      <c r="D11">
        <v>18410572</v>
      </c>
      <c r="E11">
        <v>1</v>
      </c>
      <c r="F11">
        <v>1</v>
      </c>
      <c r="G11">
        <v>1</v>
      </c>
      <c r="H11">
        <v>1</v>
      </c>
      <c r="I11" t="s">
        <v>237</v>
      </c>
      <c r="J11" t="s">
        <v>3</v>
      </c>
      <c r="K11" t="s">
        <v>238</v>
      </c>
      <c r="L11">
        <v>1369</v>
      </c>
      <c r="N11">
        <v>1013</v>
      </c>
      <c r="O11" t="s">
        <v>212</v>
      </c>
      <c r="P11" t="s">
        <v>212</v>
      </c>
      <c r="Q11">
        <v>1</v>
      </c>
      <c r="W11">
        <v>0</v>
      </c>
      <c r="X11">
        <v>-546915240</v>
      </c>
      <c r="Y11">
        <v>3.2199999999999998</v>
      </c>
      <c r="AA11">
        <v>0</v>
      </c>
      <c r="AB11">
        <v>0</v>
      </c>
      <c r="AC11">
        <v>0</v>
      </c>
      <c r="AD11">
        <v>285.36</v>
      </c>
      <c r="AE11">
        <v>0</v>
      </c>
      <c r="AF11">
        <v>0</v>
      </c>
      <c r="AG11">
        <v>0</v>
      </c>
      <c r="AH11">
        <v>285.36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2.8</v>
      </c>
      <c r="AU11" t="s">
        <v>42</v>
      </c>
      <c r="AV11">
        <v>1</v>
      </c>
      <c r="AW11">
        <v>2</v>
      </c>
      <c r="AX11">
        <v>36379255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Y11*Source!I27</f>
        <v>16.048479999999998</v>
      </c>
      <c r="CY11">
        <f>AD11</f>
        <v>285.36</v>
      </c>
      <c r="CZ11">
        <f>AH11</f>
        <v>285.36</v>
      </c>
      <c r="DA11">
        <f>AL11</f>
        <v>1</v>
      </c>
      <c r="DB11">
        <f>ROUND((ROUND(AT11*CZ11,2)*1.15),6)</f>
        <v>918.86149999999998</v>
      </c>
      <c r="DC11">
        <f>ROUND((ROUND(AT11*AG11,2)*1.15),6)</f>
        <v>0</v>
      </c>
    </row>
    <row r="12" spans="1:107">
      <c r="A12">
        <f>ROW(Source!A27)</f>
        <v>27</v>
      </c>
      <c r="B12">
        <v>35779378</v>
      </c>
      <c r="C12">
        <v>36379254</v>
      </c>
      <c r="D12">
        <v>29174913</v>
      </c>
      <c r="E12">
        <v>1</v>
      </c>
      <c r="F12">
        <v>1</v>
      </c>
      <c r="G12">
        <v>1</v>
      </c>
      <c r="H12">
        <v>2</v>
      </c>
      <c r="I12" t="s">
        <v>239</v>
      </c>
      <c r="J12" t="s">
        <v>240</v>
      </c>
      <c r="K12" t="s">
        <v>241</v>
      </c>
      <c r="L12">
        <v>1368</v>
      </c>
      <c r="N12">
        <v>1011</v>
      </c>
      <c r="O12" t="s">
        <v>216</v>
      </c>
      <c r="P12" t="s">
        <v>216</v>
      </c>
      <c r="Q12">
        <v>1</v>
      </c>
      <c r="W12">
        <v>0</v>
      </c>
      <c r="X12">
        <v>1230759911</v>
      </c>
      <c r="Y12">
        <v>0.05</v>
      </c>
      <c r="AA12">
        <v>0</v>
      </c>
      <c r="AB12">
        <v>932.72</v>
      </c>
      <c r="AC12">
        <v>383.38</v>
      </c>
      <c r="AD12">
        <v>0</v>
      </c>
      <c r="AE12">
        <v>0</v>
      </c>
      <c r="AF12">
        <v>87.17</v>
      </c>
      <c r="AG12">
        <v>11.6</v>
      </c>
      <c r="AH12">
        <v>0</v>
      </c>
      <c r="AI12">
        <v>1</v>
      </c>
      <c r="AJ12">
        <v>10.7</v>
      </c>
      <c r="AK12">
        <v>33.049999999999997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0.04</v>
      </c>
      <c r="AU12" t="s">
        <v>41</v>
      </c>
      <c r="AV12">
        <v>0</v>
      </c>
      <c r="AW12">
        <v>2</v>
      </c>
      <c r="AX12">
        <v>36379256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Y12*Source!I27</f>
        <v>0.2492</v>
      </c>
      <c r="CY12">
        <f>AB12</f>
        <v>932.72</v>
      </c>
      <c r="CZ12">
        <f>AF12</f>
        <v>87.17</v>
      </c>
      <c r="DA12">
        <f>AJ12</f>
        <v>10.7</v>
      </c>
      <c r="DB12">
        <f>ROUND((ROUND(AT12*CZ12,2)*1.25),6)</f>
        <v>4.3624999999999998</v>
      </c>
      <c r="DC12">
        <f>ROUND((ROUND(AT12*AG12,2)*1.25),6)</f>
        <v>0.57499999999999996</v>
      </c>
    </row>
    <row r="13" spans="1:107">
      <c r="A13">
        <f>ROW(Source!A27)</f>
        <v>27</v>
      </c>
      <c r="B13">
        <v>35779378</v>
      </c>
      <c r="C13">
        <v>36379254</v>
      </c>
      <c r="D13">
        <v>29108495</v>
      </c>
      <c r="E13">
        <v>1</v>
      </c>
      <c r="F13">
        <v>1</v>
      </c>
      <c r="G13">
        <v>1</v>
      </c>
      <c r="H13">
        <v>3</v>
      </c>
      <c r="I13" t="s">
        <v>242</v>
      </c>
      <c r="J13" t="s">
        <v>243</v>
      </c>
      <c r="K13" t="s">
        <v>244</v>
      </c>
      <c r="L13">
        <v>1348</v>
      </c>
      <c r="N13">
        <v>1009</v>
      </c>
      <c r="O13" t="s">
        <v>34</v>
      </c>
      <c r="P13" t="s">
        <v>34</v>
      </c>
      <c r="Q13">
        <v>1000</v>
      </c>
      <c r="W13">
        <v>0</v>
      </c>
      <c r="X13">
        <v>1304084455</v>
      </c>
      <c r="Y13">
        <v>4.4999999999999998E-2</v>
      </c>
      <c r="AA13">
        <v>30920</v>
      </c>
      <c r="AB13">
        <v>0</v>
      </c>
      <c r="AC13">
        <v>0</v>
      </c>
      <c r="AD13">
        <v>0</v>
      </c>
      <c r="AE13">
        <v>2000</v>
      </c>
      <c r="AF13">
        <v>0</v>
      </c>
      <c r="AG13">
        <v>0</v>
      </c>
      <c r="AH13">
        <v>0</v>
      </c>
      <c r="AI13">
        <v>15.46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4.4999999999999998E-2</v>
      </c>
      <c r="AU13" t="s">
        <v>3</v>
      </c>
      <c r="AV13">
        <v>0</v>
      </c>
      <c r="AW13">
        <v>2</v>
      </c>
      <c r="AX13">
        <v>36379257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Y13*Source!I27</f>
        <v>0.22427999999999998</v>
      </c>
      <c r="CY13">
        <f>AA13</f>
        <v>30920</v>
      </c>
      <c r="CZ13">
        <f>AE13</f>
        <v>2000</v>
      </c>
      <c r="DA13">
        <f>AI13</f>
        <v>15.46</v>
      </c>
      <c r="DB13">
        <f>ROUND(ROUND(AT13*CZ13,2),6)</f>
        <v>90</v>
      </c>
      <c r="DC13">
        <f>ROUND(ROUND(AT13*AG13,2),6)</f>
        <v>0</v>
      </c>
    </row>
    <row r="14" spans="1:107">
      <c r="A14">
        <f>ROW(Source!A28)</f>
        <v>28</v>
      </c>
      <c r="B14">
        <v>35779378</v>
      </c>
      <c r="C14">
        <v>35848650</v>
      </c>
      <c r="D14">
        <v>18413230</v>
      </c>
      <c r="E14">
        <v>1</v>
      </c>
      <c r="F14">
        <v>1</v>
      </c>
      <c r="G14">
        <v>1</v>
      </c>
      <c r="H14">
        <v>1</v>
      </c>
      <c r="I14" t="s">
        <v>245</v>
      </c>
      <c r="J14" t="s">
        <v>3</v>
      </c>
      <c r="K14" t="s">
        <v>246</v>
      </c>
      <c r="L14">
        <v>1369</v>
      </c>
      <c r="N14">
        <v>1013</v>
      </c>
      <c r="O14" t="s">
        <v>212</v>
      </c>
      <c r="P14" t="s">
        <v>212</v>
      </c>
      <c r="Q14">
        <v>1</v>
      </c>
      <c r="W14">
        <v>0</v>
      </c>
      <c r="X14">
        <v>355262106</v>
      </c>
      <c r="Y14">
        <v>40.824999999999996</v>
      </c>
      <c r="AA14">
        <v>0</v>
      </c>
      <c r="AB14">
        <v>0</v>
      </c>
      <c r="AC14">
        <v>0</v>
      </c>
      <c r="AD14">
        <v>299.72000000000003</v>
      </c>
      <c r="AE14">
        <v>0</v>
      </c>
      <c r="AF14">
        <v>0</v>
      </c>
      <c r="AG14">
        <v>0</v>
      </c>
      <c r="AH14">
        <v>299.72000000000003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1</v>
      </c>
      <c r="AQ14">
        <v>0</v>
      </c>
      <c r="AR14">
        <v>0</v>
      </c>
      <c r="AS14" t="s">
        <v>3</v>
      </c>
      <c r="AT14">
        <v>35.5</v>
      </c>
      <c r="AU14" t="s">
        <v>42</v>
      </c>
      <c r="AV14">
        <v>1</v>
      </c>
      <c r="AW14">
        <v>2</v>
      </c>
      <c r="AX14">
        <v>35848651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Y14*Source!I28</f>
        <v>36.7425</v>
      </c>
      <c r="CY14">
        <f>AD14</f>
        <v>299.72000000000003</v>
      </c>
      <c r="CZ14">
        <f>AH14</f>
        <v>299.72000000000003</v>
      </c>
      <c r="DA14">
        <f>AL14</f>
        <v>1</v>
      </c>
      <c r="DB14">
        <f>ROUND((ROUND(AT14*CZ14,2)*1.15),6)</f>
        <v>12236.069</v>
      </c>
      <c r="DC14">
        <f>ROUND((ROUND(AT14*AG14,2)*1.15),6)</f>
        <v>0</v>
      </c>
    </row>
    <row r="15" spans="1:107">
      <c r="A15">
        <f>ROW(Source!A28)</f>
        <v>28</v>
      </c>
      <c r="B15">
        <v>35779378</v>
      </c>
      <c r="C15">
        <v>35848650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13</v>
      </c>
      <c r="J15" t="s">
        <v>3</v>
      </c>
      <c r="K15" t="s">
        <v>219</v>
      </c>
      <c r="L15">
        <v>608254</v>
      </c>
      <c r="N15">
        <v>1013</v>
      </c>
      <c r="O15" t="s">
        <v>220</v>
      </c>
      <c r="P15" t="s">
        <v>220</v>
      </c>
      <c r="Q15">
        <v>1</v>
      </c>
      <c r="W15">
        <v>0</v>
      </c>
      <c r="X15">
        <v>-185737400</v>
      </c>
      <c r="Y15">
        <v>0.88749999999999996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0.71</v>
      </c>
      <c r="AU15" t="s">
        <v>41</v>
      </c>
      <c r="AV15">
        <v>2</v>
      </c>
      <c r="AW15">
        <v>2</v>
      </c>
      <c r="AX15">
        <v>35848652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Y15*Source!I28</f>
        <v>0.79874999999999996</v>
      </c>
      <c r="CY15">
        <f>AD15</f>
        <v>0</v>
      </c>
      <c r="CZ15">
        <f>AH15</f>
        <v>0</v>
      </c>
      <c r="DA15">
        <f>AL15</f>
        <v>1</v>
      </c>
      <c r="DB15">
        <f>ROUND((ROUND(AT15*CZ15,2)*1.25),6)</f>
        <v>0</v>
      </c>
      <c r="DC15">
        <f>ROUND((ROUND(AT15*AG15,2)*1.25),6)</f>
        <v>0</v>
      </c>
    </row>
    <row r="16" spans="1:107">
      <c r="A16">
        <f>ROW(Source!A28)</f>
        <v>28</v>
      </c>
      <c r="B16">
        <v>35779378</v>
      </c>
      <c r="C16">
        <v>35848650</v>
      </c>
      <c r="D16">
        <v>29172268</v>
      </c>
      <c r="E16">
        <v>1</v>
      </c>
      <c r="F16">
        <v>1</v>
      </c>
      <c r="G16">
        <v>1</v>
      </c>
      <c r="H16">
        <v>2</v>
      </c>
      <c r="I16" t="s">
        <v>247</v>
      </c>
      <c r="J16" t="s">
        <v>248</v>
      </c>
      <c r="K16" t="s">
        <v>249</v>
      </c>
      <c r="L16">
        <v>1368</v>
      </c>
      <c r="N16">
        <v>1011</v>
      </c>
      <c r="O16" t="s">
        <v>216</v>
      </c>
      <c r="P16" t="s">
        <v>216</v>
      </c>
      <c r="Q16">
        <v>1</v>
      </c>
      <c r="W16">
        <v>0</v>
      </c>
      <c r="X16">
        <v>-1117034689</v>
      </c>
      <c r="Y16">
        <v>0.76249999999999996</v>
      </c>
      <c r="AA16">
        <v>0</v>
      </c>
      <c r="AB16">
        <v>889.06</v>
      </c>
      <c r="AC16">
        <v>446.18</v>
      </c>
      <c r="AD16">
        <v>0</v>
      </c>
      <c r="AE16">
        <v>0</v>
      </c>
      <c r="AF16">
        <v>86.4</v>
      </c>
      <c r="AG16">
        <v>13.5</v>
      </c>
      <c r="AH16">
        <v>0</v>
      </c>
      <c r="AI16">
        <v>1</v>
      </c>
      <c r="AJ16">
        <v>10.29</v>
      </c>
      <c r="AK16">
        <v>33.049999999999997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0.61</v>
      </c>
      <c r="AU16" t="s">
        <v>41</v>
      </c>
      <c r="AV16">
        <v>0</v>
      </c>
      <c r="AW16">
        <v>2</v>
      </c>
      <c r="AX16">
        <v>35848653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0.68625000000000003</v>
      </c>
      <c r="CY16">
        <f>AB16</f>
        <v>889.06</v>
      </c>
      <c r="CZ16">
        <f>AF16</f>
        <v>86.4</v>
      </c>
      <c r="DA16">
        <f>AJ16</f>
        <v>10.29</v>
      </c>
      <c r="DB16">
        <f>ROUND((ROUND(AT16*CZ16,2)*1.25),6)</f>
        <v>65.875</v>
      </c>
      <c r="DC16">
        <f>ROUND((ROUND(AT16*AG16,2)*1.25),6)</f>
        <v>10.3</v>
      </c>
    </row>
    <row r="17" spans="1:107">
      <c r="A17">
        <f>ROW(Source!A28)</f>
        <v>28</v>
      </c>
      <c r="B17">
        <v>35779378</v>
      </c>
      <c r="C17">
        <v>35848650</v>
      </c>
      <c r="D17">
        <v>29172379</v>
      </c>
      <c r="E17">
        <v>1</v>
      </c>
      <c r="F17">
        <v>1</v>
      </c>
      <c r="G17">
        <v>1</v>
      </c>
      <c r="H17">
        <v>2</v>
      </c>
      <c r="I17" t="s">
        <v>250</v>
      </c>
      <c r="J17" t="s">
        <v>251</v>
      </c>
      <c r="K17" t="s">
        <v>252</v>
      </c>
      <c r="L17">
        <v>1368</v>
      </c>
      <c r="N17">
        <v>1011</v>
      </c>
      <c r="O17" t="s">
        <v>216</v>
      </c>
      <c r="P17" t="s">
        <v>216</v>
      </c>
      <c r="Q17">
        <v>1</v>
      </c>
      <c r="W17">
        <v>0</v>
      </c>
      <c r="X17">
        <v>-151619853</v>
      </c>
      <c r="Y17">
        <v>0.125</v>
      </c>
      <c r="AA17">
        <v>0</v>
      </c>
      <c r="AB17">
        <v>1102.08</v>
      </c>
      <c r="AC17">
        <v>446.18</v>
      </c>
      <c r="AD17">
        <v>0</v>
      </c>
      <c r="AE17">
        <v>0</v>
      </c>
      <c r="AF17">
        <v>112</v>
      </c>
      <c r="AG17">
        <v>13.5</v>
      </c>
      <c r="AH17">
        <v>0</v>
      </c>
      <c r="AI17">
        <v>1</v>
      </c>
      <c r="AJ17">
        <v>9.84</v>
      </c>
      <c r="AK17">
        <v>33.049999999999997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0.1</v>
      </c>
      <c r="AU17" t="s">
        <v>41</v>
      </c>
      <c r="AV17">
        <v>0</v>
      </c>
      <c r="AW17">
        <v>2</v>
      </c>
      <c r="AX17">
        <v>35848654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0.1125</v>
      </c>
      <c r="CY17">
        <f>AB17</f>
        <v>1102.08</v>
      </c>
      <c r="CZ17">
        <f>AF17</f>
        <v>112</v>
      </c>
      <c r="DA17">
        <f>AJ17</f>
        <v>9.84</v>
      </c>
      <c r="DB17">
        <f>ROUND((ROUND(AT17*CZ17,2)*1.25),6)</f>
        <v>14</v>
      </c>
      <c r="DC17">
        <f>ROUND((ROUND(AT17*AG17,2)*1.25),6)</f>
        <v>1.6875</v>
      </c>
    </row>
    <row r="18" spans="1:107">
      <c r="A18">
        <f>ROW(Source!A28)</f>
        <v>28</v>
      </c>
      <c r="B18">
        <v>35779378</v>
      </c>
      <c r="C18">
        <v>35848650</v>
      </c>
      <c r="D18">
        <v>29173572</v>
      </c>
      <c r="E18">
        <v>1</v>
      </c>
      <c r="F18">
        <v>1</v>
      </c>
      <c r="G18">
        <v>1</v>
      </c>
      <c r="H18">
        <v>2</v>
      </c>
      <c r="I18" t="s">
        <v>253</v>
      </c>
      <c r="J18" t="s">
        <v>254</v>
      </c>
      <c r="K18" t="s">
        <v>255</v>
      </c>
      <c r="L18">
        <v>1368</v>
      </c>
      <c r="N18">
        <v>1011</v>
      </c>
      <c r="O18" t="s">
        <v>216</v>
      </c>
      <c r="P18" t="s">
        <v>216</v>
      </c>
      <c r="Q18">
        <v>1</v>
      </c>
      <c r="W18">
        <v>0</v>
      </c>
      <c r="X18">
        <v>598315873</v>
      </c>
      <c r="Y18">
        <v>6.5749999999999993</v>
      </c>
      <c r="AA18">
        <v>0</v>
      </c>
      <c r="AB18">
        <v>17.57</v>
      </c>
      <c r="AC18">
        <v>0</v>
      </c>
      <c r="AD18">
        <v>0</v>
      </c>
      <c r="AE18">
        <v>0</v>
      </c>
      <c r="AF18">
        <v>3.5</v>
      </c>
      <c r="AG18">
        <v>0</v>
      </c>
      <c r="AH18">
        <v>0</v>
      </c>
      <c r="AI18">
        <v>1</v>
      </c>
      <c r="AJ18">
        <v>5.0199999999999996</v>
      </c>
      <c r="AK18">
        <v>33.049999999999997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5.26</v>
      </c>
      <c r="AU18" t="s">
        <v>41</v>
      </c>
      <c r="AV18">
        <v>0</v>
      </c>
      <c r="AW18">
        <v>2</v>
      </c>
      <c r="AX18">
        <v>35848655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5.9174999999999995</v>
      </c>
      <c r="CY18">
        <f>AB18</f>
        <v>17.57</v>
      </c>
      <c r="CZ18">
        <f>AF18</f>
        <v>3.5</v>
      </c>
      <c r="DA18">
        <f>AJ18</f>
        <v>5.0199999999999996</v>
      </c>
      <c r="DB18">
        <f>ROUND((ROUND(AT18*CZ18,2)*1.25),6)</f>
        <v>23.012499999999999</v>
      </c>
      <c r="DC18">
        <f>ROUND((ROUND(AT18*AG18,2)*1.25),6)</f>
        <v>0</v>
      </c>
    </row>
    <row r="19" spans="1:107">
      <c r="A19">
        <f>ROW(Source!A28)</f>
        <v>28</v>
      </c>
      <c r="B19">
        <v>35779378</v>
      </c>
      <c r="C19">
        <v>35848650</v>
      </c>
      <c r="D19">
        <v>29174913</v>
      </c>
      <c r="E19">
        <v>1</v>
      </c>
      <c r="F19">
        <v>1</v>
      </c>
      <c r="G19">
        <v>1</v>
      </c>
      <c r="H19">
        <v>2</v>
      </c>
      <c r="I19" t="s">
        <v>239</v>
      </c>
      <c r="J19" t="s">
        <v>256</v>
      </c>
      <c r="K19" t="s">
        <v>241</v>
      </c>
      <c r="L19">
        <v>1368</v>
      </c>
      <c r="N19">
        <v>1011</v>
      </c>
      <c r="O19" t="s">
        <v>216</v>
      </c>
      <c r="P19" t="s">
        <v>216</v>
      </c>
      <c r="Q19">
        <v>1</v>
      </c>
      <c r="W19">
        <v>0</v>
      </c>
      <c r="X19">
        <v>458544584</v>
      </c>
      <c r="Y19">
        <v>0.1875</v>
      </c>
      <c r="AA19">
        <v>0</v>
      </c>
      <c r="AB19">
        <v>932.72</v>
      </c>
      <c r="AC19">
        <v>383.38</v>
      </c>
      <c r="AD19">
        <v>0</v>
      </c>
      <c r="AE19">
        <v>0</v>
      </c>
      <c r="AF19">
        <v>87.17</v>
      </c>
      <c r="AG19">
        <v>11.6</v>
      </c>
      <c r="AH19">
        <v>0</v>
      </c>
      <c r="AI19">
        <v>1</v>
      </c>
      <c r="AJ19">
        <v>10.7</v>
      </c>
      <c r="AK19">
        <v>33.049999999999997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0.15</v>
      </c>
      <c r="AU19" t="s">
        <v>41</v>
      </c>
      <c r="AV19">
        <v>0</v>
      </c>
      <c r="AW19">
        <v>2</v>
      </c>
      <c r="AX19">
        <v>35848656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0.16875000000000001</v>
      </c>
      <c r="CY19">
        <f>AB19</f>
        <v>932.72</v>
      </c>
      <c r="CZ19">
        <f>AF19</f>
        <v>87.17</v>
      </c>
      <c r="DA19">
        <f>AJ19</f>
        <v>10.7</v>
      </c>
      <c r="DB19">
        <f>ROUND((ROUND(AT19*CZ19,2)*1.25),6)</f>
        <v>16.350000000000001</v>
      </c>
      <c r="DC19">
        <f>ROUND((ROUND(AT19*AG19,2)*1.25),6)</f>
        <v>2.1749999999999998</v>
      </c>
    </row>
    <row r="20" spans="1:107">
      <c r="A20">
        <f>ROW(Source!A28)</f>
        <v>28</v>
      </c>
      <c r="B20">
        <v>35779378</v>
      </c>
      <c r="C20">
        <v>35848650</v>
      </c>
      <c r="D20">
        <v>29107444</v>
      </c>
      <c r="E20">
        <v>1</v>
      </c>
      <c r="F20">
        <v>1</v>
      </c>
      <c r="G20">
        <v>1</v>
      </c>
      <c r="H20">
        <v>3</v>
      </c>
      <c r="I20" t="s">
        <v>257</v>
      </c>
      <c r="J20" t="s">
        <v>258</v>
      </c>
      <c r="K20" t="s">
        <v>259</v>
      </c>
      <c r="L20">
        <v>1346</v>
      </c>
      <c r="N20">
        <v>1009</v>
      </c>
      <c r="O20" t="s">
        <v>260</v>
      </c>
      <c r="P20" t="s">
        <v>260</v>
      </c>
      <c r="Q20">
        <v>1</v>
      </c>
      <c r="W20">
        <v>0</v>
      </c>
      <c r="X20">
        <v>-1984574147</v>
      </c>
      <c r="Y20">
        <v>32.49</v>
      </c>
      <c r="AA20">
        <v>55.54</v>
      </c>
      <c r="AB20">
        <v>0</v>
      </c>
      <c r="AC20">
        <v>0</v>
      </c>
      <c r="AD20">
        <v>0</v>
      </c>
      <c r="AE20">
        <v>6.09</v>
      </c>
      <c r="AF20">
        <v>0</v>
      </c>
      <c r="AG20">
        <v>0</v>
      </c>
      <c r="AH20">
        <v>0</v>
      </c>
      <c r="AI20">
        <v>9.1199999999999992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32.49</v>
      </c>
      <c r="AU20" t="s">
        <v>3</v>
      </c>
      <c r="AV20">
        <v>0</v>
      </c>
      <c r="AW20">
        <v>2</v>
      </c>
      <c r="AX20">
        <v>35848657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29.241000000000003</v>
      </c>
      <c r="CY20">
        <f>AA20</f>
        <v>55.54</v>
      </c>
      <c r="CZ20">
        <f>AE20</f>
        <v>6.09</v>
      </c>
      <c r="DA20">
        <f>AI20</f>
        <v>9.1199999999999992</v>
      </c>
      <c r="DB20">
        <f>ROUND(ROUND(AT20*CZ20,2),6)</f>
        <v>197.86</v>
      </c>
      <c r="DC20">
        <f>ROUND(ROUND(AT20*AG20,2),6)</f>
        <v>0</v>
      </c>
    </row>
    <row r="21" spans="1:107">
      <c r="A21">
        <f>ROW(Source!A28)</f>
        <v>28</v>
      </c>
      <c r="B21">
        <v>35779378</v>
      </c>
      <c r="C21">
        <v>35848650</v>
      </c>
      <c r="D21">
        <v>29108762</v>
      </c>
      <c r="E21">
        <v>1</v>
      </c>
      <c r="F21">
        <v>1</v>
      </c>
      <c r="G21">
        <v>1</v>
      </c>
      <c r="H21">
        <v>3</v>
      </c>
      <c r="I21" t="s">
        <v>52</v>
      </c>
      <c r="J21" t="s">
        <v>55</v>
      </c>
      <c r="K21" t="s">
        <v>53</v>
      </c>
      <c r="L21">
        <v>1327</v>
      </c>
      <c r="N21">
        <v>1005</v>
      </c>
      <c r="O21" t="s">
        <v>54</v>
      </c>
      <c r="P21" t="s">
        <v>54</v>
      </c>
      <c r="Q21">
        <v>1</v>
      </c>
      <c r="W21">
        <v>1</v>
      </c>
      <c r="X21">
        <v>715976618</v>
      </c>
      <c r="Y21">
        <v>252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0</v>
      </c>
      <c r="AP21">
        <v>0</v>
      </c>
      <c r="AQ21">
        <v>0</v>
      </c>
      <c r="AR21">
        <v>0</v>
      </c>
      <c r="AS21" t="s">
        <v>3</v>
      </c>
      <c r="AT21">
        <v>252</v>
      </c>
      <c r="AU21" t="s">
        <v>3</v>
      </c>
      <c r="AV21">
        <v>0</v>
      </c>
      <c r="AW21">
        <v>2</v>
      </c>
      <c r="AX21">
        <v>35848658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226.8</v>
      </c>
      <c r="CY21">
        <f>AA21</f>
        <v>0</v>
      </c>
      <c r="CZ21">
        <f>AE21</f>
        <v>0</v>
      </c>
      <c r="DA21">
        <f>AI21</f>
        <v>1</v>
      </c>
      <c r="DB21">
        <f>ROUND(ROUND(AT21*CZ21,2),6)</f>
        <v>0</v>
      </c>
      <c r="DC21">
        <f>ROUND(ROUND(AT21*AG21,2),6)</f>
        <v>0</v>
      </c>
    </row>
    <row r="22" spans="1:107">
      <c r="A22">
        <f>ROW(Source!A28)</f>
        <v>28</v>
      </c>
      <c r="B22">
        <v>35779378</v>
      </c>
      <c r="C22">
        <v>35848650</v>
      </c>
      <c r="D22">
        <v>29145157</v>
      </c>
      <c r="E22">
        <v>1</v>
      </c>
      <c r="F22">
        <v>1</v>
      </c>
      <c r="G22">
        <v>1</v>
      </c>
      <c r="H22">
        <v>3</v>
      </c>
      <c r="I22" t="s">
        <v>233</v>
      </c>
      <c r="J22" t="s">
        <v>234</v>
      </c>
      <c r="K22" t="s">
        <v>235</v>
      </c>
      <c r="L22">
        <v>1339</v>
      </c>
      <c r="N22">
        <v>1007</v>
      </c>
      <c r="O22" t="s">
        <v>236</v>
      </c>
      <c r="P22" t="s">
        <v>236</v>
      </c>
      <c r="Q22">
        <v>1</v>
      </c>
      <c r="W22">
        <v>0</v>
      </c>
      <c r="X22">
        <v>54517115</v>
      </c>
      <c r="Y22">
        <v>0.51</v>
      </c>
      <c r="AA22">
        <v>3233.16</v>
      </c>
      <c r="AB22">
        <v>0</v>
      </c>
      <c r="AC22">
        <v>0</v>
      </c>
      <c r="AD22">
        <v>0</v>
      </c>
      <c r="AE22">
        <v>519.79999999999995</v>
      </c>
      <c r="AF22">
        <v>0</v>
      </c>
      <c r="AG22">
        <v>0</v>
      </c>
      <c r="AH22">
        <v>0</v>
      </c>
      <c r="AI22">
        <v>6.22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0.51</v>
      </c>
      <c r="AU22" t="s">
        <v>3</v>
      </c>
      <c r="AV22">
        <v>0</v>
      </c>
      <c r="AW22">
        <v>2</v>
      </c>
      <c r="AX22">
        <v>35848659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0.45900000000000002</v>
      </c>
      <c r="CY22">
        <f>AA22</f>
        <v>3233.16</v>
      </c>
      <c r="CZ22">
        <f>AE22</f>
        <v>519.79999999999995</v>
      </c>
      <c r="DA22">
        <f>AI22</f>
        <v>6.22</v>
      </c>
      <c r="DB22">
        <f>ROUND(ROUND(AT22*CZ22,2),6)</f>
        <v>265.10000000000002</v>
      </c>
      <c r="DC22">
        <f>ROUND(ROUND(AT22*AG22,2),6)</f>
        <v>0</v>
      </c>
    </row>
    <row r="23" spans="1:107">
      <c r="A23">
        <f>ROW(Source!A28)</f>
        <v>28</v>
      </c>
      <c r="B23">
        <v>35779378</v>
      </c>
      <c r="C23">
        <v>35848650</v>
      </c>
      <c r="D23">
        <v>0</v>
      </c>
      <c r="E23">
        <v>0</v>
      </c>
      <c r="F23">
        <v>1</v>
      </c>
      <c r="G23">
        <v>1</v>
      </c>
      <c r="H23">
        <v>3</v>
      </c>
      <c r="I23" t="s">
        <v>57</v>
      </c>
      <c r="J23" t="s">
        <v>3</v>
      </c>
      <c r="K23" t="s">
        <v>58</v>
      </c>
      <c r="L23">
        <v>688405</v>
      </c>
      <c r="N23">
        <v>1005</v>
      </c>
      <c r="O23" t="s">
        <v>59</v>
      </c>
      <c r="P23" t="s">
        <v>60</v>
      </c>
      <c r="Q23">
        <v>1</v>
      </c>
      <c r="W23">
        <v>0</v>
      </c>
      <c r="X23">
        <v>416258569</v>
      </c>
      <c r="Y23">
        <v>252</v>
      </c>
      <c r="AA23">
        <v>190</v>
      </c>
      <c r="AB23">
        <v>0</v>
      </c>
      <c r="AC23">
        <v>0</v>
      </c>
      <c r="AD23">
        <v>0</v>
      </c>
      <c r="AE23">
        <v>190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0</v>
      </c>
      <c r="AP23">
        <v>2</v>
      </c>
      <c r="AQ23">
        <v>0</v>
      </c>
      <c r="AR23">
        <v>0</v>
      </c>
      <c r="AS23" t="s">
        <v>3</v>
      </c>
      <c r="AT23">
        <v>252</v>
      </c>
      <c r="AU23" t="s">
        <v>3</v>
      </c>
      <c r="AV23">
        <v>0</v>
      </c>
      <c r="AW23">
        <v>1</v>
      </c>
      <c r="AX23">
        <v>-1</v>
      </c>
      <c r="AY23">
        <v>0</v>
      </c>
      <c r="AZ23">
        <v>0</v>
      </c>
      <c r="BA23" t="s">
        <v>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226.8</v>
      </c>
      <c r="CY23">
        <f>AA23</f>
        <v>190</v>
      </c>
      <c r="CZ23">
        <f>AE23</f>
        <v>190</v>
      </c>
      <c r="DA23">
        <f>AI23</f>
        <v>1</v>
      </c>
      <c r="DB23">
        <f>ROUND(ROUND(AT23*CZ23,2),6)</f>
        <v>47880</v>
      </c>
      <c r="DC23">
        <f>ROUND(ROUND(AT23*AG23,2),6)</f>
        <v>0</v>
      </c>
    </row>
    <row r="24" spans="1:107">
      <c r="A24">
        <f>ROW(Source!A31)</f>
        <v>31</v>
      </c>
      <c r="B24">
        <v>35779378</v>
      </c>
      <c r="C24">
        <v>36168629</v>
      </c>
      <c r="D24">
        <v>18407546</v>
      </c>
      <c r="E24">
        <v>1</v>
      </c>
      <c r="F24">
        <v>1</v>
      </c>
      <c r="G24">
        <v>1</v>
      </c>
      <c r="H24">
        <v>1</v>
      </c>
      <c r="I24" t="s">
        <v>261</v>
      </c>
      <c r="J24" t="s">
        <v>3</v>
      </c>
      <c r="K24" t="s">
        <v>262</v>
      </c>
      <c r="L24">
        <v>1369</v>
      </c>
      <c r="N24">
        <v>1013</v>
      </c>
      <c r="O24" t="s">
        <v>212</v>
      </c>
      <c r="P24" t="s">
        <v>212</v>
      </c>
      <c r="Q24">
        <v>1</v>
      </c>
      <c r="W24">
        <v>0</v>
      </c>
      <c r="X24">
        <v>1709986911</v>
      </c>
      <c r="Y24">
        <v>16.513999999999999</v>
      </c>
      <c r="AA24">
        <v>0</v>
      </c>
      <c r="AB24">
        <v>0</v>
      </c>
      <c r="AC24">
        <v>0</v>
      </c>
      <c r="AD24">
        <v>306.91000000000003</v>
      </c>
      <c r="AE24">
        <v>0</v>
      </c>
      <c r="AF24">
        <v>0</v>
      </c>
      <c r="AG24">
        <v>0</v>
      </c>
      <c r="AH24">
        <v>306.91000000000003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14.36</v>
      </c>
      <c r="AU24" t="s">
        <v>42</v>
      </c>
      <c r="AV24">
        <v>1</v>
      </c>
      <c r="AW24">
        <v>2</v>
      </c>
      <c r="AX24">
        <v>36168630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Y24*Source!I31</f>
        <v>82.305775999999994</v>
      </c>
      <c r="CY24">
        <f>AD24</f>
        <v>306.91000000000003</v>
      </c>
      <c r="CZ24">
        <f>AH24</f>
        <v>306.91000000000003</v>
      </c>
      <c r="DA24">
        <f>AL24</f>
        <v>1</v>
      </c>
      <c r="DB24">
        <f>ROUND((ROUND(AT24*CZ24,2)*1.15),6)</f>
        <v>5068.3145000000004</v>
      </c>
      <c r="DC24">
        <f>ROUND((ROUND(AT24*AG24,2)*1.15),6)</f>
        <v>0</v>
      </c>
    </row>
    <row r="25" spans="1:107">
      <c r="A25">
        <f>ROW(Source!A31)</f>
        <v>31</v>
      </c>
      <c r="B25">
        <v>35779378</v>
      </c>
      <c r="C25">
        <v>36168629</v>
      </c>
      <c r="D25">
        <v>121548</v>
      </c>
      <c r="E25">
        <v>1</v>
      </c>
      <c r="F25">
        <v>1</v>
      </c>
      <c r="G25">
        <v>1</v>
      </c>
      <c r="H25">
        <v>1</v>
      </c>
      <c r="I25" t="s">
        <v>13</v>
      </c>
      <c r="J25" t="s">
        <v>3</v>
      </c>
      <c r="K25" t="s">
        <v>219</v>
      </c>
      <c r="L25">
        <v>608254</v>
      </c>
      <c r="N25">
        <v>1013</v>
      </c>
      <c r="O25" t="s">
        <v>220</v>
      </c>
      <c r="P25" t="s">
        <v>220</v>
      </c>
      <c r="Q25">
        <v>1</v>
      </c>
      <c r="W25">
        <v>0</v>
      </c>
      <c r="X25">
        <v>-185737400</v>
      </c>
      <c r="Y25">
        <v>0.25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0.2</v>
      </c>
      <c r="AU25" t="s">
        <v>41</v>
      </c>
      <c r="AV25">
        <v>2</v>
      </c>
      <c r="AW25">
        <v>2</v>
      </c>
      <c r="AX25">
        <v>36168631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Y25*Source!I31</f>
        <v>1.246</v>
      </c>
      <c r="CY25">
        <f>AD25</f>
        <v>0</v>
      </c>
      <c r="CZ25">
        <f>AH25</f>
        <v>0</v>
      </c>
      <c r="DA25">
        <f>AL25</f>
        <v>1</v>
      </c>
      <c r="DB25">
        <f>ROUND((ROUND(AT25*CZ25,2)*1.25),6)</f>
        <v>0</v>
      </c>
      <c r="DC25">
        <f>ROUND((ROUND(AT25*AG25,2)*1.25),6)</f>
        <v>0</v>
      </c>
    </row>
    <row r="26" spans="1:107">
      <c r="A26">
        <f>ROW(Source!A31)</f>
        <v>31</v>
      </c>
      <c r="B26">
        <v>35779378</v>
      </c>
      <c r="C26">
        <v>36168629</v>
      </c>
      <c r="D26">
        <v>29172268</v>
      </c>
      <c r="E26">
        <v>1</v>
      </c>
      <c r="F26">
        <v>1</v>
      </c>
      <c r="G26">
        <v>1</v>
      </c>
      <c r="H26">
        <v>2</v>
      </c>
      <c r="I26" t="s">
        <v>247</v>
      </c>
      <c r="J26" t="s">
        <v>248</v>
      </c>
      <c r="K26" t="s">
        <v>249</v>
      </c>
      <c r="L26">
        <v>1368</v>
      </c>
      <c r="N26">
        <v>1011</v>
      </c>
      <c r="O26" t="s">
        <v>216</v>
      </c>
      <c r="P26" t="s">
        <v>216</v>
      </c>
      <c r="Q26">
        <v>1</v>
      </c>
      <c r="W26">
        <v>0</v>
      </c>
      <c r="X26">
        <v>-1117034689</v>
      </c>
      <c r="Y26">
        <v>0.1875</v>
      </c>
      <c r="AA26">
        <v>0</v>
      </c>
      <c r="AB26">
        <v>889.06</v>
      </c>
      <c r="AC26">
        <v>446.18</v>
      </c>
      <c r="AD26">
        <v>0</v>
      </c>
      <c r="AE26">
        <v>0</v>
      </c>
      <c r="AF26">
        <v>86.4</v>
      </c>
      <c r="AG26">
        <v>13.5</v>
      </c>
      <c r="AH26">
        <v>0</v>
      </c>
      <c r="AI26">
        <v>1</v>
      </c>
      <c r="AJ26">
        <v>10.29</v>
      </c>
      <c r="AK26">
        <v>33.049999999999997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0.15</v>
      </c>
      <c r="AU26" t="s">
        <v>41</v>
      </c>
      <c r="AV26">
        <v>0</v>
      </c>
      <c r="AW26">
        <v>2</v>
      </c>
      <c r="AX26">
        <v>36168632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Y26*Source!I31</f>
        <v>0.9345</v>
      </c>
      <c r="CY26">
        <f>AB26</f>
        <v>889.06</v>
      </c>
      <c r="CZ26">
        <f>AF26</f>
        <v>86.4</v>
      </c>
      <c r="DA26">
        <f>AJ26</f>
        <v>10.29</v>
      </c>
      <c r="DB26">
        <f>ROUND((ROUND(AT26*CZ26,2)*1.25),6)</f>
        <v>16.2</v>
      </c>
      <c r="DC26">
        <f>ROUND((ROUND(AT26*AG26,2)*1.25),6)</f>
        <v>2.5375000000000001</v>
      </c>
    </row>
    <row r="27" spans="1:107">
      <c r="A27">
        <f>ROW(Source!A31)</f>
        <v>31</v>
      </c>
      <c r="B27">
        <v>35779378</v>
      </c>
      <c r="C27">
        <v>36168629</v>
      </c>
      <c r="D27">
        <v>29172379</v>
      </c>
      <c r="E27">
        <v>1</v>
      </c>
      <c r="F27">
        <v>1</v>
      </c>
      <c r="G27">
        <v>1</v>
      </c>
      <c r="H27">
        <v>2</v>
      </c>
      <c r="I27" t="s">
        <v>250</v>
      </c>
      <c r="J27" t="s">
        <v>251</v>
      </c>
      <c r="K27" t="s">
        <v>252</v>
      </c>
      <c r="L27">
        <v>1368</v>
      </c>
      <c r="N27">
        <v>1011</v>
      </c>
      <c r="O27" t="s">
        <v>216</v>
      </c>
      <c r="P27" t="s">
        <v>216</v>
      </c>
      <c r="Q27">
        <v>1</v>
      </c>
      <c r="W27">
        <v>0</v>
      </c>
      <c r="X27">
        <v>-151619853</v>
      </c>
      <c r="Y27">
        <v>6.25E-2</v>
      </c>
      <c r="AA27">
        <v>0</v>
      </c>
      <c r="AB27">
        <v>1102.08</v>
      </c>
      <c r="AC27">
        <v>446.18</v>
      </c>
      <c r="AD27">
        <v>0</v>
      </c>
      <c r="AE27">
        <v>0</v>
      </c>
      <c r="AF27">
        <v>112</v>
      </c>
      <c r="AG27">
        <v>13.5</v>
      </c>
      <c r="AH27">
        <v>0</v>
      </c>
      <c r="AI27">
        <v>1</v>
      </c>
      <c r="AJ27">
        <v>9.84</v>
      </c>
      <c r="AK27">
        <v>33.049999999999997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0.05</v>
      </c>
      <c r="AU27" t="s">
        <v>41</v>
      </c>
      <c r="AV27">
        <v>0</v>
      </c>
      <c r="AW27">
        <v>2</v>
      </c>
      <c r="AX27">
        <v>36168633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Y27*Source!I31</f>
        <v>0.3115</v>
      </c>
      <c r="CY27">
        <f>AB27</f>
        <v>1102.08</v>
      </c>
      <c r="CZ27">
        <f>AF27</f>
        <v>112</v>
      </c>
      <c r="DA27">
        <f>AJ27</f>
        <v>9.84</v>
      </c>
      <c r="DB27">
        <f>ROUND((ROUND(AT27*CZ27,2)*1.25),6)</f>
        <v>7</v>
      </c>
      <c r="DC27">
        <f>ROUND((ROUND(AT27*AG27,2)*1.25),6)</f>
        <v>0.85</v>
      </c>
    </row>
    <row r="28" spans="1:107">
      <c r="A28">
        <f>ROW(Source!A31)</f>
        <v>31</v>
      </c>
      <c r="B28">
        <v>35779378</v>
      </c>
      <c r="C28">
        <v>36168629</v>
      </c>
      <c r="D28">
        <v>29173572</v>
      </c>
      <c r="E28">
        <v>1</v>
      </c>
      <c r="F28">
        <v>1</v>
      </c>
      <c r="G28">
        <v>1</v>
      </c>
      <c r="H28">
        <v>2</v>
      </c>
      <c r="I28" t="s">
        <v>253</v>
      </c>
      <c r="J28" t="s">
        <v>254</v>
      </c>
      <c r="K28" t="s">
        <v>255</v>
      </c>
      <c r="L28">
        <v>1368</v>
      </c>
      <c r="N28">
        <v>1011</v>
      </c>
      <c r="O28" t="s">
        <v>216</v>
      </c>
      <c r="P28" t="s">
        <v>216</v>
      </c>
      <c r="Q28">
        <v>1</v>
      </c>
      <c r="W28">
        <v>0</v>
      </c>
      <c r="X28">
        <v>598315873</v>
      </c>
      <c r="Y28">
        <v>5.75</v>
      </c>
      <c r="AA28">
        <v>0</v>
      </c>
      <c r="AB28">
        <v>17.57</v>
      </c>
      <c r="AC28">
        <v>0</v>
      </c>
      <c r="AD28">
        <v>0</v>
      </c>
      <c r="AE28">
        <v>0</v>
      </c>
      <c r="AF28">
        <v>3.5</v>
      </c>
      <c r="AG28">
        <v>0</v>
      </c>
      <c r="AH28">
        <v>0</v>
      </c>
      <c r="AI28">
        <v>1</v>
      </c>
      <c r="AJ28">
        <v>5.0199999999999996</v>
      </c>
      <c r="AK28">
        <v>33.049999999999997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4.5999999999999996</v>
      </c>
      <c r="AU28" t="s">
        <v>41</v>
      </c>
      <c r="AV28">
        <v>0</v>
      </c>
      <c r="AW28">
        <v>2</v>
      </c>
      <c r="AX28">
        <v>36168634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Y28*Source!I31</f>
        <v>28.658000000000001</v>
      </c>
      <c r="CY28">
        <f>AB28</f>
        <v>17.57</v>
      </c>
      <c r="CZ28">
        <f>AF28</f>
        <v>3.5</v>
      </c>
      <c r="DA28">
        <f>AJ28</f>
        <v>5.0199999999999996</v>
      </c>
      <c r="DB28">
        <f>ROUND((ROUND(AT28*CZ28,2)*1.25),6)</f>
        <v>20.125</v>
      </c>
      <c r="DC28">
        <f>ROUND((ROUND(AT28*AG28,2)*1.25),6)</f>
        <v>0</v>
      </c>
    </row>
    <row r="29" spans="1:107">
      <c r="A29">
        <f>ROW(Source!A31)</f>
        <v>31</v>
      </c>
      <c r="B29">
        <v>35779378</v>
      </c>
      <c r="C29">
        <v>36168629</v>
      </c>
      <c r="D29">
        <v>29174913</v>
      </c>
      <c r="E29">
        <v>1</v>
      </c>
      <c r="F29">
        <v>1</v>
      </c>
      <c r="G29">
        <v>1</v>
      </c>
      <c r="H29">
        <v>2</v>
      </c>
      <c r="I29" t="s">
        <v>239</v>
      </c>
      <c r="J29" t="s">
        <v>256</v>
      </c>
      <c r="K29" t="s">
        <v>241</v>
      </c>
      <c r="L29">
        <v>1368</v>
      </c>
      <c r="N29">
        <v>1011</v>
      </c>
      <c r="O29" t="s">
        <v>216</v>
      </c>
      <c r="P29" t="s">
        <v>216</v>
      </c>
      <c r="Q29">
        <v>1</v>
      </c>
      <c r="W29">
        <v>0</v>
      </c>
      <c r="X29">
        <v>458544584</v>
      </c>
      <c r="Y29">
        <v>0.11249999999999999</v>
      </c>
      <c r="AA29">
        <v>0</v>
      </c>
      <c r="AB29">
        <v>932.72</v>
      </c>
      <c r="AC29">
        <v>383.38</v>
      </c>
      <c r="AD29">
        <v>0</v>
      </c>
      <c r="AE29">
        <v>0</v>
      </c>
      <c r="AF29">
        <v>87.17</v>
      </c>
      <c r="AG29">
        <v>11.6</v>
      </c>
      <c r="AH29">
        <v>0</v>
      </c>
      <c r="AI29">
        <v>1</v>
      </c>
      <c r="AJ29">
        <v>10.7</v>
      </c>
      <c r="AK29">
        <v>33.049999999999997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0.09</v>
      </c>
      <c r="AU29" t="s">
        <v>41</v>
      </c>
      <c r="AV29">
        <v>0</v>
      </c>
      <c r="AW29">
        <v>2</v>
      </c>
      <c r="AX29">
        <v>36168635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Y29*Source!I31</f>
        <v>0.56069999999999998</v>
      </c>
      <c r="CY29">
        <f>AB29</f>
        <v>932.72</v>
      </c>
      <c r="CZ29">
        <f>AF29</f>
        <v>87.17</v>
      </c>
      <c r="DA29">
        <f>AJ29</f>
        <v>10.7</v>
      </c>
      <c r="DB29">
        <f>ROUND((ROUND(AT29*CZ29,2)*1.25),6)</f>
        <v>9.8125</v>
      </c>
      <c r="DC29">
        <f>ROUND((ROUND(AT29*AG29,2)*1.25),6)</f>
        <v>1.3</v>
      </c>
    </row>
    <row r="30" spans="1:107">
      <c r="A30">
        <f>ROW(Source!A31)</f>
        <v>31</v>
      </c>
      <c r="B30">
        <v>35779378</v>
      </c>
      <c r="C30">
        <v>36168629</v>
      </c>
      <c r="D30">
        <v>29107444</v>
      </c>
      <c r="E30">
        <v>1</v>
      </c>
      <c r="F30">
        <v>1</v>
      </c>
      <c r="G30">
        <v>1</v>
      </c>
      <c r="H30">
        <v>3</v>
      </c>
      <c r="I30" t="s">
        <v>257</v>
      </c>
      <c r="J30" t="s">
        <v>258</v>
      </c>
      <c r="K30" t="s">
        <v>259</v>
      </c>
      <c r="L30">
        <v>1346</v>
      </c>
      <c r="N30">
        <v>1009</v>
      </c>
      <c r="O30" t="s">
        <v>260</v>
      </c>
      <c r="P30" t="s">
        <v>260</v>
      </c>
      <c r="Q30">
        <v>1</v>
      </c>
      <c r="W30">
        <v>0</v>
      </c>
      <c r="X30">
        <v>-1984574147</v>
      </c>
      <c r="Y30">
        <v>29.94</v>
      </c>
      <c r="AA30">
        <v>55.54</v>
      </c>
      <c r="AB30">
        <v>0</v>
      </c>
      <c r="AC30">
        <v>0</v>
      </c>
      <c r="AD30">
        <v>0</v>
      </c>
      <c r="AE30">
        <v>6.09</v>
      </c>
      <c r="AF30">
        <v>0</v>
      </c>
      <c r="AG30">
        <v>0</v>
      </c>
      <c r="AH30">
        <v>0</v>
      </c>
      <c r="AI30">
        <v>9.1199999999999992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29.94</v>
      </c>
      <c r="AU30" t="s">
        <v>3</v>
      </c>
      <c r="AV30">
        <v>0</v>
      </c>
      <c r="AW30">
        <v>2</v>
      </c>
      <c r="AX30">
        <v>36168636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Y30*Source!I31</f>
        <v>149.22096000000002</v>
      </c>
      <c r="CY30">
        <f>AA30</f>
        <v>55.54</v>
      </c>
      <c r="CZ30">
        <f>AE30</f>
        <v>6.09</v>
      </c>
      <c r="DA30">
        <f>AI30</f>
        <v>9.1199999999999992</v>
      </c>
      <c r="DB30">
        <f>ROUND(ROUND(AT30*CZ30,2),6)</f>
        <v>182.33</v>
      </c>
      <c r="DC30">
        <f>ROUND(ROUND(AT30*AG30,2),6)</f>
        <v>0</v>
      </c>
    </row>
    <row r="31" spans="1:107">
      <c r="A31">
        <f>ROW(Source!A31)</f>
        <v>31</v>
      </c>
      <c r="B31">
        <v>35779378</v>
      </c>
      <c r="C31">
        <v>36168629</v>
      </c>
      <c r="D31">
        <v>0</v>
      </c>
      <c r="E31">
        <v>0</v>
      </c>
      <c r="F31">
        <v>1</v>
      </c>
      <c r="G31">
        <v>1</v>
      </c>
      <c r="H31">
        <v>3</v>
      </c>
      <c r="I31" t="s">
        <v>57</v>
      </c>
      <c r="J31" t="s">
        <v>3</v>
      </c>
      <c r="K31" t="s">
        <v>67</v>
      </c>
      <c r="L31">
        <v>0</v>
      </c>
      <c r="W31">
        <v>0</v>
      </c>
      <c r="X31">
        <v>2098855725</v>
      </c>
      <c r="Y31">
        <v>116</v>
      </c>
      <c r="AA31">
        <v>150</v>
      </c>
      <c r="AB31">
        <v>0</v>
      </c>
      <c r="AC31">
        <v>0</v>
      </c>
      <c r="AD31">
        <v>0</v>
      </c>
      <c r="AE31">
        <v>150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0</v>
      </c>
      <c r="AP31">
        <v>2</v>
      </c>
      <c r="AQ31">
        <v>0</v>
      </c>
      <c r="AR31">
        <v>0</v>
      </c>
      <c r="AS31" t="s">
        <v>3</v>
      </c>
      <c r="AT31">
        <v>116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Y31*Source!I31</f>
        <v>578.14400000000001</v>
      </c>
      <c r="CY31">
        <f>AA31</f>
        <v>150</v>
      </c>
      <c r="CZ31">
        <f>AE31</f>
        <v>150</v>
      </c>
      <c r="DA31">
        <f>AI31</f>
        <v>1</v>
      </c>
      <c r="DB31">
        <f>ROUND(ROUND(AT31*CZ31,2),6)</f>
        <v>17400</v>
      </c>
      <c r="DC31">
        <f>ROUND(ROUND(AT31*AG31,2),6)</f>
        <v>0</v>
      </c>
    </row>
    <row r="32" spans="1:107">
      <c r="A32">
        <f>ROW(Source!A31)</f>
        <v>31</v>
      </c>
      <c r="B32">
        <v>35779378</v>
      </c>
      <c r="C32">
        <v>36168629</v>
      </c>
      <c r="D32">
        <v>0</v>
      </c>
      <c r="E32">
        <v>0</v>
      </c>
      <c r="F32">
        <v>1</v>
      </c>
      <c r="G32">
        <v>1</v>
      </c>
      <c r="H32">
        <v>3</v>
      </c>
      <c r="I32" t="s">
        <v>57</v>
      </c>
      <c r="J32" t="s">
        <v>3</v>
      </c>
      <c r="K32" t="s">
        <v>69</v>
      </c>
      <c r="L32">
        <v>0</v>
      </c>
      <c r="W32">
        <v>0</v>
      </c>
      <c r="X32">
        <v>-620086577</v>
      </c>
      <c r="Y32">
        <v>114</v>
      </c>
      <c r="AA32">
        <v>190</v>
      </c>
      <c r="AB32">
        <v>0</v>
      </c>
      <c r="AC32">
        <v>0</v>
      </c>
      <c r="AD32">
        <v>0</v>
      </c>
      <c r="AE32">
        <v>190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0</v>
      </c>
      <c r="AP32">
        <v>2</v>
      </c>
      <c r="AQ32">
        <v>0</v>
      </c>
      <c r="AR32">
        <v>0</v>
      </c>
      <c r="AS32" t="s">
        <v>3</v>
      </c>
      <c r="AT32">
        <v>114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Y32*Source!I31</f>
        <v>568.17600000000004</v>
      </c>
      <c r="CY32">
        <f>AA32</f>
        <v>190</v>
      </c>
      <c r="CZ32">
        <f>AE32</f>
        <v>190</v>
      </c>
      <c r="DA32">
        <f>AI32</f>
        <v>1</v>
      </c>
      <c r="DB32">
        <f>ROUND(ROUND(AT32*CZ32,2),6)</f>
        <v>21660</v>
      </c>
      <c r="DC32">
        <f>ROUND(ROUND(AT32*AG32,2),6)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31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35779516</v>
      </c>
      <c r="C1">
        <v>35779515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210</v>
      </c>
      <c r="J1" t="s">
        <v>3</v>
      </c>
      <c r="K1" t="s">
        <v>211</v>
      </c>
      <c r="L1">
        <v>1369</v>
      </c>
      <c r="N1">
        <v>1013</v>
      </c>
      <c r="O1" t="s">
        <v>212</v>
      </c>
      <c r="P1" t="s">
        <v>212</v>
      </c>
      <c r="Q1">
        <v>1</v>
      </c>
      <c r="X1">
        <v>14.38</v>
      </c>
      <c r="Y1">
        <v>0</v>
      </c>
      <c r="Z1">
        <v>0</v>
      </c>
      <c r="AA1">
        <v>0</v>
      </c>
      <c r="AB1">
        <v>254.67</v>
      </c>
      <c r="AC1">
        <v>0</v>
      </c>
      <c r="AD1">
        <v>1</v>
      </c>
      <c r="AE1">
        <v>1</v>
      </c>
      <c r="AF1" t="s">
        <v>3</v>
      </c>
      <c r="AG1">
        <v>14.38</v>
      </c>
      <c r="AH1">
        <v>2</v>
      </c>
      <c r="AI1">
        <v>35779516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35779517</v>
      </c>
      <c r="C2">
        <v>35779515</v>
      </c>
      <c r="D2">
        <v>29172515</v>
      </c>
      <c r="E2">
        <v>1</v>
      </c>
      <c r="F2">
        <v>1</v>
      </c>
      <c r="G2">
        <v>1</v>
      </c>
      <c r="H2">
        <v>2</v>
      </c>
      <c r="I2" t="s">
        <v>213</v>
      </c>
      <c r="J2" t="s">
        <v>214</v>
      </c>
      <c r="K2" t="s">
        <v>215</v>
      </c>
      <c r="L2">
        <v>1368</v>
      </c>
      <c r="N2">
        <v>1011</v>
      </c>
      <c r="O2" t="s">
        <v>216</v>
      </c>
      <c r="P2" t="s">
        <v>216</v>
      </c>
      <c r="Q2">
        <v>1</v>
      </c>
      <c r="X2">
        <v>6.22</v>
      </c>
      <c r="Y2">
        <v>0</v>
      </c>
      <c r="Z2">
        <v>6.66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6.22</v>
      </c>
      <c r="AH2">
        <v>2</v>
      </c>
      <c r="AI2">
        <v>35779517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ROW(Source!A25)</f>
        <v>25</v>
      </c>
      <c r="B3">
        <v>35848664</v>
      </c>
      <c r="C3">
        <v>35779518</v>
      </c>
      <c r="D3">
        <v>18406785</v>
      </c>
      <c r="E3">
        <v>1</v>
      </c>
      <c r="F3">
        <v>1</v>
      </c>
      <c r="G3">
        <v>1</v>
      </c>
      <c r="H3">
        <v>1</v>
      </c>
      <c r="I3" t="s">
        <v>217</v>
      </c>
      <c r="J3" t="s">
        <v>3</v>
      </c>
      <c r="K3" t="s">
        <v>218</v>
      </c>
      <c r="L3">
        <v>1369</v>
      </c>
      <c r="N3">
        <v>1013</v>
      </c>
      <c r="O3" t="s">
        <v>212</v>
      </c>
      <c r="P3" t="s">
        <v>212</v>
      </c>
      <c r="Q3">
        <v>1</v>
      </c>
      <c r="X3">
        <v>75.3</v>
      </c>
      <c r="Y3">
        <v>0</v>
      </c>
      <c r="Z3">
        <v>0</v>
      </c>
      <c r="AA3">
        <v>0</v>
      </c>
      <c r="AB3">
        <v>289.27999999999997</v>
      </c>
      <c r="AC3">
        <v>0</v>
      </c>
      <c r="AD3">
        <v>1</v>
      </c>
      <c r="AE3">
        <v>1</v>
      </c>
      <c r="AF3" t="s">
        <v>3</v>
      </c>
      <c r="AG3">
        <v>75.3</v>
      </c>
      <c r="AH3">
        <v>2</v>
      </c>
      <c r="AI3">
        <v>35848664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ROW(Source!A25)</f>
        <v>25</v>
      </c>
      <c r="B4">
        <v>35848665</v>
      </c>
      <c r="C4">
        <v>35779518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13</v>
      </c>
      <c r="J4" t="s">
        <v>3</v>
      </c>
      <c r="K4" t="s">
        <v>219</v>
      </c>
      <c r="L4">
        <v>608254</v>
      </c>
      <c r="N4">
        <v>1013</v>
      </c>
      <c r="O4" t="s">
        <v>220</v>
      </c>
      <c r="P4" t="s">
        <v>220</v>
      </c>
      <c r="Q4">
        <v>1</v>
      </c>
      <c r="X4">
        <v>0.68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3</v>
      </c>
      <c r="AG4">
        <v>0.68</v>
      </c>
      <c r="AH4">
        <v>2</v>
      </c>
      <c r="AI4">
        <v>35848665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ROW(Source!A25)</f>
        <v>25</v>
      </c>
      <c r="B5">
        <v>35848666</v>
      </c>
      <c r="C5">
        <v>35779518</v>
      </c>
      <c r="D5">
        <v>29172513</v>
      </c>
      <c r="E5">
        <v>1</v>
      </c>
      <c r="F5">
        <v>1</v>
      </c>
      <c r="G5">
        <v>1</v>
      </c>
      <c r="H5">
        <v>2</v>
      </c>
      <c r="I5" t="s">
        <v>221</v>
      </c>
      <c r="J5" t="s">
        <v>222</v>
      </c>
      <c r="K5" t="s">
        <v>223</v>
      </c>
      <c r="L5">
        <v>1368</v>
      </c>
      <c r="N5">
        <v>1011</v>
      </c>
      <c r="O5" t="s">
        <v>216</v>
      </c>
      <c r="P5" t="s">
        <v>216</v>
      </c>
      <c r="Q5">
        <v>1</v>
      </c>
      <c r="X5">
        <v>1.02</v>
      </c>
      <c r="Y5">
        <v>0</v>
      </c>
      <c r="Z5">
        <v>1.7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1.02</v>
      </c>
      <c r="AH5">
        <v>2</v>
      </c>
      <c r="AI5">
        <v>35848666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ROW(Source!A25)</f>
        <v>25</v>
      </c>
      <c r="B6">
        <v>35848667</v>
      </c>
      <c r="C6">
        <v>35779518</v>
      </c>
      <c r="D6">
        <v>29172710</v>
      </c>
      <c r="E6">
        <v>1</v>
      </c>
      <c r="F6">
        <v>1</v>
      </c>
      <c r="G6">
        <v>1</v>
      </c>
      <c r="H6">
        <v>2</v>
      </c>
      <c r="I6" t="s">
        <v>224</v>
      </c>
      <c r="J6" t="s">
        <v>225</v>
      </c>
      <c r="K6" t="s">
        <v>226</v>
      </c>
      <c r="L6">
        <v>1368</v>
      </c>
      <c r="N6">
        <v>1011</v>
      </c>
      <c r="O6" t="s">
        <v>216</v>
      </c>
      <c r="P6" t="s">
        <v>216</v>
      </c>
      <c r="Q6">
        <v>1</v>
      </c>
      <c r="X6">
        <v>0.68</v>
      </c>
      <c r="Y6">
        <v>0</v>
      </c>
      <c r="Z6">
        <v>46.56</v>
      </c>
      <c r="AA6">
        <v>10.06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0.68</v>
      </c>
      <c r="AH6">
        <v>2</v>
      </c>
      <c r="AI6">
        <v>35848667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ROW(Source!A25)</f>
        <v>25</v>
      </c>
      <c r="B7">
        <v>35848668</v>
      </c>
      <c r="C7">
        <v>35779518</v>
      </c>
      <c r="D7">
        <v>29174533</v>
      </c>
      <c r="E7">
        <v>1</v>
      </c>
      <c r="F7">
        <v>1</v>
      </c>
      <c r="G7">
        <v>1</v>
      </c>
      <c r="H7">
        <v>2</v>
      </c>
      <c r="I7" t="s">
        <v>227</v>
      </c>
      <c r="J7" t="s">
        <v>228</v>
      </c>
      <c r="K7" t="s">
        <v>229</v>
      </c>
      <c r="L7">
        <v>1368</v>
      </c>
      <c r="N7">
        <v>1011</v>
      </c>
      <c r="O7" t="s">
        <v>216</v>
      </c>
      <c r="P7" t="s">
        <v>216</v>
      </c>
      <c r="Q7">
        <v>1</v>
      </c>
      <c r="X7">
        <v>0.68</v>
      </c>
      <c r="Y7">
        <v>0</v>
      </c>
      <c r="Z7">
        <v>1.53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0.68</v>
      </c>
      <c r="AH7">
        <v>2</v>
      </c>
      <c r="AI7">
        <v>35848668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ROW(Source!A25)</f>
        <v>25</v>
      </c>
      <c r="B8">
        <v>35848669</v>
      </c>
      <c r="C8">
        <v>35779518</v>
      </c>
      <c r="D8">
        <v>29109197</v>
      </c>
      <c r="E8">
        <v>1</v>
      </c>
      <c r="F8">
        <v>1</v>
      </c>
      <c r="G8">
        <v>1</v>
      </c>
      <c r="H8">
        <v>3</v>
      </c>
      <c r="I8" t="s">
        <v>230</v>
      </c>
      <c r="J8" t="s">
        <v>231</v>
      </c>
      <c r="K8" t="s">
        <v>232</v>
      </c>
      <c r="L8">
        <v>1348</v>
      </c>
      <c r="N8">
        <v>1009</v>
      </c>
      <c r="O8" t="s">
        <v>34</v>
      </c>
      <c r="P8" t="s">
        <v>34</v>
      </c>
      <c r="Q8">
        <v>1000</v>
      </c>
      <c r="X8">
        <v>8.9999999999999993E-3</v>
      </c>
      <c r="Y8">
        <v>412.01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8.9999999999999993E-3</v>
      </c>
      <c r="AH8">
        <v>2</v>
      </c>
      <c r="AI8">
        <v>35848669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ROW(Source!A25)</f>
        <v>25</v>
      </c>
      <c r="B9">
        <v>35848670</v>
      </c>
      <c r="C9">
        <v>35779518</v>
      </c>
      <c r="D9">
        <v>29145157</v>
      </c>
      <c r="E9">
        <v>1</v>
      </c>
      <c r="F9">
        <v>1</v>
      </c>
      <c r="G9">
        <v>1</v>
      </c>
      <c r="H9">
        <v>3</v>
      </c>
      <c r="I9" t="s">
        <v>233</v>
      </c>
      <c r="J9" t="s">
        <v>234</v>
      </c>
      <c r="K9" t="s">
        <v>235</v>
      </c>
      <c r="L9">
        <v>1339</v>
      </c>
      <c r="N9">
        <v>1007</v>
      </c>
      <c r="O9" t="s">
        <v>236</v>
      </c>
      <c r="P9" t="s">
        <v>236</v>
      </c>
      <c r="Q9">
        <v>1</v>
      </c>
      <c r="X9">
        <v>1</v>
      </c>
      <c r="Y9">
        <v>519.79999999999995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</v>
      </c>
      <c r="AH9">
        <v>2</v>
      </c>
      <c r="AI9">
        <v>35848670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ROW(Source!A25)</f>
        <v>25</v>
      </c>
      <c r="B10">
        <v>35848671</v>
      </c>
      <c r="C10">
        <v>35779518</v>
      </c>
      <c r="D10">
        <v>29164349</v>
      </c>
      <c r="E10">
        <v>1</v>
      </c>
      <c r="F10">
        <v>1</v>
      </c>
      <c r="G10">
        <v>1</v>
      </c>
      <c r="H10">
        <v>3</v>
      </c>
      <c r="I10" t="s">
        <v>32</v>
      </c>
      <c r="J10" t="s">
        <v>35</v>
      </c>
      <c r="K10" t="s">
        <v>33</v>
      </c>
      <c r="L10">
        <v>1348</v>
      </c>
      <c r="N10">
        <v>1009</v>
      </c>
      <c r="O10" t="s">
        <v>34</v>
      </c>
      <c r="P10" t="s">
        <v>34</v>
      </c>
      <c r="Q10">
        <v>1000</v>
      </c>
      <c r="X10">
        <v>0.7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</v>
      </c>
      <c r="AG10">
        <v>0.7</v>
      </c>
      <c r="AH10">
        <v>2</v>
      </c>
      <c r="AI10">
        <v>35848671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ROW(Source!A27)</f>
        <v>27</v>
      </c>
      <c r="B11">
        <v>36379255</v>
      </c>
      <c r="C11">
        <v>36379254</v>
      </c>
      <c r="D11">
        <v>18410572</v>
      </c>
      <c r="E11">
        <v>1</v>
      </c>
      <c r="F11">
        <v>1</v>
      </c>
      <c r="G11">
        <v>1</v>
      </c>
      <c r="H11">
        <v>1</v>
      </c>
      <c r="I11" t="s">
        <v>237</v>
      </c>
      <c r="J11" t="s">
        <v>3</v>
      </c>
      <c r="K11" t="s">
        <v>238</v>
      </c>
      <c r="L11">
        <v>1369</v>
      </c>
      <c r="N11">
        <v>1013</v>
      </c>
      <c r="O11" t="s">
        <v>212</v>
      </c>
      <c r="P11" t="s">
        <v>212</v>
      </c>
      <c r="Q11">
        <v>1</v>
      </c>
      <c r="X11">
        <v>2.8</v>
      </c>
      <c r="Y11">
        <v>0</v>
      </c>
      <c r="Z11">
        <v>0</v>
      </c>
      <c r="AA11">
        <v>0</v>
      </c>
      <c r="AB11">
        <v>285.36</v>
      </c>
      <c r="AC11">
        <v>0</v>
      </c>
      <c r="AD11">
        <v>1</v>
      </c>
      <c r="AE11">
        <v>1</v>
      </c>
      <c r="AF11" t="s">
        <v>42</v>
      </c>
      <c r="AG11">
        <v>3.2199999999999998</v>
      </c>
      <c r="AH11">
        <v>2</v>
      </c>
      <c r="AI11">
        <v>36379255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ROW(Source!A27)</f>
        <v>27</v>
      </c>
      <c r="B12">
        <v>36379256</v>
      </c>
      <c r="C12">
        <v>36379254</v>
      </c>
      <c r="D12">
        <v>29174913</v>
      </c>
      <c r="E12">
        <v>1</v>
      </c>
      <c r="F12">
        <v>1</v>
      </c>
      <c r="G12">
        <v>1</v>
      </c>
      <c r="H12">
        <v>2</v>
      </c>
      <c r="I12" t="s">
        <v>239</v>
      </c>
      <c r="J12" t="s">
        <v>240</v>
      </c>
      <c r="K12" t="s">
        <v>241</v>
      </c>
      <c r="L12">
        <v>1368</v>
      </c>
      <c r="N12">
        <v>1011</v>
      </c>
      <c r="O12" t="s">
        <v>216</v>
      </c>
      <c r="P12" t="s">
        <v>216</v>
      </c>
      <c r="Q12">
        <v>1</v>
      </c>
      <c r="X12">
        <v>0.04</v>
      </c>
      <c r="Y12">
        <v>0</v>
      </c>
      <c r="Z12">
        <v>87.17</v>
      </c>
      <c r="AA12">
        <v>11.6</v>
      </c>
      <c r="AB12">
        <v>0</v>
      </c>
      <c r="AC12">
        <v>0</v>
      </c>
      <c r="AD12">
        <v>1</v>
      </c>
      <c r="AE12">
        <v>0</v>
      </c>
      <c r="AF12" t="s">
        <v>41</v>
      </c>
      <c r="AG12">
        <v>0.05</v>
      </c>
      <c r="AH12">
        <v>2</v>
      </c>
      <c r="AI12">
        <v>36379256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ROW(Source!A27)</f>
        <v>27</v>
      </c>
      <c r="B13">
        <v>36379257</v>
      </c>
      <c r="C13">
        <v>36379254</v>
      </c>
      <c r="D13">
        <v>29108495</v>
      </c>
      <c r="E13">
        <v>1</v>
      </c>
      <c r="F13">
        <v>1</v>
      </c>
      <c r="G13">
        <v>1</v>
      </c>
      <c r="H13">
        <v>3</v>
      </c>
      <c r="I13" t="s">
        <v>242</v>
      </c>
      <c r="J13" t="s">
        <v>243</v>
      </c>
      <c r="K13" t="s">
        <v>244</v>
      </c>
      <c r="L13">
        <v>1348</v>
      </c>
      <c r="N13">
        <v>1009</v>
      </c>
      <c r="O13" t="s">
        <v>34</v>
      </c>
      <c r="P13" t="s">
        <v>34</v>
      </c>
      <c r="Q13">
        <v>1000</v>
      </c>
      <c r="X13">
        <v>4.4999999999999998E-2</v>
      </c>
      <c r="Y13">
        <v>2000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4.4999999999999998E-2</v>
      </c>
      <c r="AH13">
        <v>2</v>
      </c>
      <c r="AI13">
        <v>36379257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ROW(Source!A28)</f>
        <v>28</v>
      </c>
      <c r="B14">
        <v>35848651</v>
      </c>
      <c r="C14">
        <v>35848650</v>
      </c>
      <c r="D14">
        <v>18413230</v>
      </c>
      <c r="E14">
        <v>1</v>
      </c>
      <c r="F14">
        <v>1</v>
      </c>
      <c r="G14">
        <v>1</v>
      </c>
      <c r="H14">
        <v>1</v>
      </c>
      <c r="I14" t="s">
        <v>245</v>
      </c>
      <c r="J14" t="s">
        <v>3</v>
      </c>
      <c r="K14" t="s">
        <v>246</v>
      </c>
      <c r="L14">
        <v>1369</v>
      </c>
      <c r="N14">
        <v>1013</v>
      </c>
      <c r="O14" t="s">
        <v>212</v>
      </c>
      <c r="P14" t="s">
        <v>212</v>
      </c>
      <c r="Q14">
        <v>1</v>
      </c>
      <c r="X14">
        <v>35.5</v>
      </c>
      <c r="Y14">
        <v>0</v>
      </c>
      <c r="Z14">
        <v>0</v>
      </c>
      <c r="AA14">
        <v>0</v>
      </c>
      <c r="AB14">
        <v>299.72000000000003</v>
      </c>
      <c r="AC14">
        <v>0</v>
      </c>
      <c r="AD14">
        <v>1</v>
      </c>
      <c r="AE14">
        <v>1</v>
      </c>
      <c r="AF14" t="s">
        <v>42</v>
      </c>
      <c r="AG14">
        <v>40.824999999999996</v>
      </c>
      <c r="AH14">
        <v>2</v>
      </c>
      <c r="AI14">
        <v>35848651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ROW(Source!A28)</f>
        <v>28</v>
      </c>
      <c r="B15">
        <v>35848652</v>
      </c>
      <c r="C15">
        <v>35848650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13</v>
      </c>
      <c r="J15" t="s">
        <v>3</v>
      </c>
      <c r="K15" t="s">
        <v>219</v>
      </c>
      <c r="L15">
        <v>608254</v>
      </c>
      <c r="N15">
        <v>1013</v>
      </c>
      <c r="O15" t="s">
        <v>220</v>
      </c>
      <c r="P15" t="s">
        <v>220</v>
      </c>
      <c r="Q15">
        <v>1</v>
      </c>
      <c r="X15">
        <v>0.71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41</v>
      </c>
      <c r="AG15">
        <v>0.88749999999999996</v>
      </c>
      <c r="AH15">
        <v>2</v>
      </c>
      <c r="AI15">
        <v>35848652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ROW(Source!A28)</f>
        <v>28</v>
      </c>
      <c r="B16">
        <v>35848653</v>
      </c>
      <c r="C16">
        <v>35848650</v>
      </c>
      <c r="D16">
        <v>29172268</v>
      </c>
      <c r="E16">
        <v>1</v>
      </c>
      <c r="F16">
        <v>1</v>
      </c>
      <c r="G16">
        <v>1</v>
      </c>
      <c r="H16">
        <v>2</v>
      </c>
      <c r="I16" t="s">
        <v>247</v>
      </c>
      <c r="J16" t="s">
        <v>248</v>
      </c>
      <c r="K16" t="s">
        <v>249</v>
      </c>
      <c r="L16">
        <v>1368</v>
      </c>
      <c r="N16">
        <v>1011</v>
      </c>
      <c r="O16" t="s">
        <v>216</v>
      </c>
      <c r="P16" t="s">
        <v>216</v>
      </c>
      <c r="Q16">
        <v>1</v>
      </c>
      <c r="X16">
        <v>0.61</v>
      </c>
      <c r="Y16">
        <v>0</v>
      </c>
      <c r="Z16">
        <v>86.4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41</v>
      </c>
      <c r="AG16">
        <v>0.76249999999999996</v>
      </c>
      <c r="AH16">
        <v>2</v>
      </c>
      <c r="AI16">
        <v>35848653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ROW(Source!A28)</f>
        <v>28</v>
      </c>
      <c r="B17">
        <v>35848654</v>
      </c>
      <c r="C17">
        <v>35848650</v>
      </c>
      <c r="D17">
        <v>29172379</v>
      </c>
      <c r="E17">
        <v>1</v>
      </c>
      <c r="F17">
        <v>1</v>
      </c>
      <c r="G17">
        <v>1</v>
      </c>
      <c r="H17">
        <v>2</v>
      </c>
      <c r="I17" t="s">
        <v>250</v>
      </c>
      <c r="J17" t="s">
        <v>251</v>
      </c>
      <c r="K17" t="s">
        <v>252</v>
      </c>
      <c r="L17">
        <v>1368</v>
      </c>
      <c r="N17">
        <v>1011</v>
      </c>
      <c r="O17" t="s">
        <v>216</v>
      </c>
      <c r="P17" t="s">
        <v>216</v>
      </c>
      <c r="Q17">
        <v>1</v>
      </c>
      <c r="X17">
        <v>0.1</v>
      </c>
      <c r="Y17">
        <v>0</v>
      </c>
      <c r="Z17">
        <v>112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41</v>
      </c>
      <c r="AG17">
        <v>0.125</v>
      </c>
      <c r="AH17">
        <v>2</v>
      </c>
      <c r="AI17">
        <v>35848654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35848655</v>
      </c>
      <c r="C18">
        <v>35848650</v>
      </c>
      <c r="D18">
        <v>29173572</v>
      </c>
      <c r="E18">
        <v>1</v>
      </c>
      <c r="F18">
        <v>1</v>
      </c>
      <c r="G18">
        <v>1</v>
      </c>
      <c r="H18">
        <v>2</v>
      </c>
      <c r="I18" t="s">
        <v>253</v>
      </c>
      <c r="J18" t="s">
        <v>254</v>
      </c>
      <c r="K18" t="s">
        <v>255</v>
      </c>
      <c r="L18">
        <v>1368</v>
      </c>
      <c r="N18">
        <v>1011</v>
      </c>
      <c r="O18" t="s">
        <v>216</v>
      </c>
      <c r="P18" t="s">
        <v>216</v>
      </c>
      <c r="Q18">
        <v>1</v>
      </c>
      <c r="X18">
        <v>5.26</v>
      </c>
      <c r="Y18">
        <v>0</v>
      </c>
      <c r="Z18">
        <v>3.5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41</v>
      </c>
      <c r="AG18">
        <v>6.5749999999999993</v>
      </c>
      <c r="AH18">
        <v>2</v>
      </c>
      <c r="AI18">
        <v>35848655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35848656</v>
      </c>
      <c r="C19">
        <v>35848650</v>
      </c>
      <c r="D19">
        <v>29174913</v>
      </c>
      <c r="E19">
        <v>1</v>
      </c>
      <c r="F19">
        <v>1</v>
      </c>
      <c r="G19">
        <v>1</v>
      </c>
      <c r="H19">
        <v>2</v>
      </c>
      <c r="I19" t="s">
        <v>239</v>
      </c>
      <c r="J19" t="s">
        <v>256</v>
      </c>
      <c r="K19" t="s">
        <v>241</v>
      </c>
      <c r="L19">
        <v>1368</v>
      </c>
      <c r="N19">
        <v>1011</v>
      </c>
      <c r="O19" t="s">
        <v>216</v>
      </c>
      <c r="P19" t="s">
        <v>216</v>
      </c>
      <c r="Q19">
        <v>1</v>
      </c>
      <c r="X19">
        <v>0.15</v>
      </c>
      <c r="Y19">
        <v>0</v>
      </c>
      <c r="Z19">
        <v>87.17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41</v>
      </c>
      <c r="AG19">
        <v>0.1875</v>
      </c>
      <c r="AH19">
        <v>2</v>
      </c>
      <c r="AI19">
        <v>35848656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35848657</v>
      </c>
      <c r="C20">
        <v>35848650</v>
      </c>
      <c r="D20">
        <v>29107444</v>
      </c>
      <c r="E20">
        <v>1</v>
      </c>
      <c r="F20">
        <v>1</v>
      </c>
      <c r="G20">
        <v>1</v>
      </c>
      <c r="H20">
        <v>3</v>
      </c>
      <c r="I20" t="s">
        <v>257</v>
      </c>
      <c r="J20" t="s">
        <v>258</v>
      </c>
      <c r="K20" t="s">
        <v>259</v>
      </c>
      <c r="L20">
        <v>1346</v>
      </c>
      <c r="N20">
        <v>1009</v>
      </c>
      <c r="O20" t="s">
        <v>260</v>
      </c>
      <c r="P20" t="s">
        <v>260</v>
      </c>
      <c r="Q20">
        <v>1</v>
      </c>
      <c r="X20">
        <v>32.49</v>
      </c>
      <c r="Y20">
        <v>6.09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32.49</v>
      </c>
      <c r="AH20">
        <v>2</v>
      </c>
      <c r="AI20">
        <v>35848657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35848658</v>
      </c>
      <c r="C21">
        <v>35848650</v>
      </c>
      <c r="D21">
        <v>29108762</v>
      </c>
      <c r="E21">
        <v>1</v>
      </c>
      <c r="F21">
        <v>1</v>
      </c>
      <c r="G21">
        <v>1</v>
      </c>
      <c r="H21">
        <v>3</v>
      </c>
      <c r="I21" t="s">
        <v>52</v>
      </c>
      <c r="J21" t="s">
        <v>55</v>
      </c>
      <c r="K21" t="s">
        <v>53</v>
      </c>
      <c r="L21">
        <v>1327</v>
      </c>
      <c r="N21">
        <v>1005</v>
      </c>
      <c r="O21" t="s">
        <v>54</v>
      </c>
      <c r="P21" t="s">
        <v>54</v>
      </c>
      <c r="Q21">
        <v>1</v>
      </c>
      <c r="X21">
        <v>252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3</v>
      </c>
      <c r="AG21">
        <v>252</v>
      </c>
      <c r="AH21">
        <v>2</v>
      </c>
      <c r="AI21">
        <v>35848658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ROW(Source!A28)</f>
        <v>28</v>
      </c>
      <c r="B22">
        <v>35848659</v>
      </c>
      <c r="C22">
        <v>35848650</v>
      </c>
      <c r="D22">
        <v>29145157</v>
      </c>
      <c r="E22">
        <v>1</v>
      </c>
      <c r="F22">
        <v>1</v>
      </c>
      <c r="G22">
        <v>1</v>
      </c>
      <c r="H22">
        <v>3</v>
      </c>
      <c r="I22" t="s">
        <v>233</v>
      </c>
      <c r="J22" t="s">
        <v>234</v>
      </c>
      <c r="K22" t="s">
        <v>235</v>
      </c>
      <c r="L22">
        <v>1339</v>
      </c>
      <c r="N22">
        <v>1007</v>
      </c>
      <c r="O22" t="s">
        <v>236</v>
      </c>
      <c r="P22" t="s">
        <v>236</v>
      </c>
      <c r="Q22">
        <v>1</v>
      </c>
      <c r="X22">
        <v>0.51</v>
      </c>
      <c r="Y22">
        <v>519.79999999999995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0.51</v>
      </c>
      <c r="AH22">
        <v>2</v>
      </c>
      <c r="AI22">
        <v>35848659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ROW(Source!A31)</f>
        <v>31</v>
      </c>
      <c r="B23">
        <v>36168630</v>
      </c>
      <c r="C23">
        <v>36168629</v>
      </c>
      <c r="D23">
        <v>18407546</v>
      </c>
      <c r="E23">
        <v>1</v>
      </c>
      <c r="F23">
        <v>1</v>
      </c>
      <c r="G23">
        <v>1</v>
      </c>
      <c r="H23">
        <v>1</v>
      </c>
      <c r="I23" t="s">
        <v>261</v>
      </c>
      <c r="J23" t="s">
        <v>3</v>
      </c>
      <c r="K23" t="s">
        <v>262</v>
      </c>
      <c r="L23">
        <v>1369</v>
      </c>
      <c r="N23">
        <v>1013</v>
      </c>
      <c r="O23" t="s">
        <v>212</v>
      </c>
      <c r="P23" t="s">
        <v>212</v>
      </c>
      <c r="Q23">
        <v>1</v>
      </c>
      <c r="X23">
        <v>14.36</v>
      </c>
      <c r="Y23">
        <v>0</v>
      </c>
      <c r="Z23">
        <v>0</v>
      </c>
      <c r="AA23">
        <v>0</v>
      </c>
      <c r="AB23">
        <v>306.91000000000003</v>
      </c>
      <c r="AC23">
        <v>0</v>
      </c>
      <c r="AD23">
        <v>1</v>
      </c>
      <c r="AE23">
        <v>1</v>
      </c>
      <c r="AF23" t="s">
        <v>42</v>
      </c>
      <c r="AG23">
        <v>16.513999999999999</v>
      </c>
      <c r="AH23">
        <v>2</v>
      </c>
      <c r="AI23">
        <v>36168630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ROW(Source!A31)</f>
        <v>31</v>
      </c>
      <c r="B24">
        <v>36168631</v>
      </c>
      <c r="C24">
        <v>36168629</v>
      </c>
      <c r="D24">
        <v>121548</v>
      </c>
      <c r="E24">
        <v>1</v>
      </c>
      <c r="F24">
        <v>1</v>
      </c>
      <c r="G24">
        <v>1</v>
      </c>
      <c r="H24">
        <v>1</v>
      </c>
      <c r="I24" t="s">
        <v>13</v>
      </c>
      <c r="J24" t="s">
        <v>3</v>
      </c>
      <c r="K24" t="s">
        <v>219</v>
      </c>
      <c r="L24">
        <v>608254</v>
      </c>
      <c r="N24">
        <v>1013</v>
      </c>
      <c r="O24" t="s">
        <v>220</v>
      </c>
      <c r="P24" t="s">
        <v>220</v>
      </c>
      <c r="Q24">
        <v>1</v>
      </c>
      <c r="X24">
        <v>0.2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41</v>
      </c>
      <c r="AG24">
        <v>0.25</v>
      </c>
      <c r="AH24">
        <v>2</v>
      </c>
      <c r="AI24">
        <v>36168631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ROW(Source!A31)</f>
        <v>31</v>
      </c>
      <c r="B25">
        <v>36168632</v>
      </c>
      <c r="C25">
        <v>36168629</v>
      </c>
      <c r="D25">
        <v>29172268</v>
      </c>
      <c r="E25">
        <v>1</v>
      </c>
      <c r="F25">
        <v>1</v>
      </c>
      <c r="G25">
        <v>1</v>
      </c>
      <c r="H25">
        <v>2</v>
      </c>
      <c r="I25" t="s">
        <v>247</v>
      </c>
      <c r="J25" t="s">
        <v>248</v>
      </c>
      <c r="K25" t="s">
        <v>249</v>
      </c>
      <c r="L25">
        <v>1368</v>
      </c>
      <c r="N25">
        <v>1011</v>
      </c>
      <c r="O25" t="s">
        <v>216</v>
      </c>
      <c r="P25" t="s">
        <v>216</v>
      </c>
      <c r="Q25">
        <v>1</v>
      </c>
      <c r="X25">
        <v>0.15</v>
      </c>
      <c r="Y25">
        <v>0</v>
      </c>
      <c r="Z25">
        <v>86.4</v>
      </c>
      <c r="AA25">
        <v>13.5</v>
      </c>
      <c r="AB25">
        <v>0</v>
      </c>
      <c r="AC25">
        <v>0</v>
      </c>
      <c r="AD25">
        <v>1</v>
      </c>
      <c r="AE25">
        <v>0</v>
      </c>
      <c r="AF25" t="s">
        <v>41</v>
      </c>
      <c r="AG25">
        <v>0.1875</v>
      </c>
      <c r="AH25">
        <v>2</v>
      </c>
      <c r="AI25">
        <v>36168632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ROW(Source!A31)</f>
        <v>31</v>
      </c>
      <c r="B26">
        <v>36168633</v>
      </c>
      <c r="C26">
        <v>36168629</v>
      </c>
      <c r="D26">
        <v>29172379</v>
      </c>
      <c r="E26">
        <v>1</v>
      </c>
      <c r="F26">
        <v>1</v>
      </c>
      <c r="G26">
        <v>1</v>
      </c>
      <c r="H26">
        <v>2</v>
      </c>
      <c r="I26" t="s">
        <v>250</v>
      </c>
      <c r="J26" t="s">
        <v>251</v>
      </c>
      <c r="K26" t="s">
        <v>252</v>
      </c>
      <c r="L26">
        <v>1368</v>
      </c>
      <c r="N26">
        <v>1011</v>
      </c>
      <c r="O26" t="s">
        <v>216</v>
      </c>
      <c r="P26" t="s">
        <v>216</v>
      </c>
      <c r="Q26">
        <v>1</v>
      </c>
      <c r="X26">
        <v>0.05</v>
      </c>
      <c r="Y26">
        <v>0</v>
      </c>
      <c r="Z26">
        <v>112</v>
      </c>
      <c r="AA26">
        <v>13.5</v>
      </c>
      <c r="AB26">
        <v>0</v>
      </c>
      <c r="AC26">
        <v>0</v>
      </c>
      <c r="AD26">
        <v>1</v>
      </c>
      <c r="AE26">
        <v>0</v>
      </c>
      <c r="AF26" t="s">
        <v>41</v>
      </c>
      <c r="AG26">
        <v>6.25E-2</v>
      </c>
      <c r="AH26">
        <v>2</v>
      </c>
      <c r="AI26">
        <v>36168633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ROW(Source!A31)</f>
        <v>31</v>
      </c>
      <c r="B27">
        <v>36168634</v>
      </c>
      <c r="C27">
        <v>36168629</v>
      </c>
      <c r="D27">
        <v>29173572</v>
      </c>
      <c r="E27">
        <v>1</v>
      </c>
      <c r="F27">
        <v>1</v>
      </c>
      <c r="G27">
        <v>1</v>
      </c>
      <c r="H27">
        <v>2</v>
      </c>
      <c r="I27" t="s">
        <v>253</v>
      </c>
      <c r="J27" t="s">
        <v>254</v>
      </c>
      <c r="K27" t="s">
        <v>255</v>
      </c>
      <c r="L27">
        <v>1368</v>
      </c>
      <c r="N27">
        <v>1011</v>
      </c>
      <c r="O27" t="s">
        <v>216</v>
      </c>
      <c r="P27" t="s">
        <v>216</v>
      </c>
      <c r="Q27">
        <v>1</v>
      </c>
      <c r="X27">
        <v>4.5999999999999996</v>
      </c>
      <c r="Y27">
        <v>0</v>
      </c>
      <c r="Z27">
        <v>3.5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41</v>
      </c>
      <c r="AG27">
        <v>5.75</v>
      </c>
      <c r="AH27">
        <v>2</v>
      </c>
      <c r="AI27">
        <v>36168634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ROW(Source!A31)</f>
        <v>31</v>
      </c>
      <c r="B28">
        <v>36168635</v>
      </c>
      <c r="C28">
        <v>36168629</v>
      </c>
      <c r="D28">
        <v>29174913</v>
      </c>
      <c r="E28">
        <v>1</v>
      </c>
      <c r="F28">
        <v>1</v>
      </c>
      <c r="G28">
        <v>1</v>
      </c>
      <c r="H28">
        <v>2</v>
      </c>
      <c r="I28" t="s">
        <v>239</v>
      </c>
      <c r="J28" t="s">
        <v>256</v>
      </c>
      <c r="K28" t="s">
        <v>241</v>
      </c>
      <c r="L28">
        <v>1368</v>
      </c>
      <c r="N28">
        <v>1011</v>
      </c>
      <c r="O28" t="s">
        <v>216</v>
      </c>
      <c r="P28" t="s">
        <v>216</v>
      </c>
      <c r="Q28">
        <v>1</v>
      </c>
      <c r="X28">
        <v>0.09</v>
      </c>
      <c r="Y28">
        <v>0</v>
      </c>
      <c r="Z28">
        <v>87.17</v>
      </c>
      <c r="AA28">
        <v>11.6</v>
      </c>
      <c r="AB28">
        <v>0</v>
      </c>
      <c r="AC28">
        <v>0</v>
      </c>
      <c r="AD28">
        <v>1</v>
      </c>
      <c r="AE28">
        <v>0</v>
      </c>
      <c r="AF28" t="s">
        <v>41</v>
      </c>
      <c r="AG28">
        <v>0.11249999999999999</v>
      </c>
      <c r="AH28">
        <v>2</v>
      </c>
      <c r="AI28">
        <v>36168635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ROW(Source!A31)</f>
        <v>31</v>
      </c>
      <c r="B29">
        <v>36168636</v>
      </c>
      <c r="C29">
        <v>36168629</v>
      </c>
      <c r="D29">
        <v>29107444</v>
      </c>
      <c r="E29">
        <v>1</v>
      </c>
      <c r="F29">
        <v>1</v>
      </c>
      <c r="G29">
        <v>1</v>
      </c>
      <c r="H29">
        <v>3</v>
      </c>
      <c r="I29" t="s">
        <v>257</v>
      </c>
      <c r="J29" t="s">
        <v>258</v>
      </c>
      <c r="K29" t="s">
        <v>259</v>
      </c>
      <c r="L29">
        <v>1346</v>
      </c>
      <c r="N29">
        <v>1009</v>
      </c>
      <c r="O29" t="s">
        <v>260</v>
      </c>
      <c r="P29" t="s">
        <v>260</v>
      </c>
      <c r="Q29">
        <v>1</v>
      </c>
      <c r="X29">
        <v>29.94</v>
      </c>
      <c r="Y29">
        <v>6.09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29.94</v>
      </c>
      <c r="AH29">
        <v>2</v>
      </c>
      <c r="AI29">
        <v>36168636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ROW(Source!A31)</f>
        <v>31</v>
      </c>
      <c r="B30">
        <v>36168637</v>
      </c>
      <c r="C30">
        <v>36168629</v>
      </c>
      <c r="D30">
        <v>29108764</v>
      </c>
      <c r="E30">
        <v>1</v>
      </c>
      <c r="F30">
        <v>1</v>
      </c>
      <c r="G30">
        <v>1</v>
      </c>
      <c r="H30">
        <v>3</v>
      </c>
      <c r="I30" t="s">
        <v>263</v>
      </c>
      <c r="J30" t="s">
        <v>264</v>
      </c>
      <c r="K30" t="s">
        <v>265</v>
      </c>
      <c r="L30">
        <v>1327</v>
      </c>
      <c r="N30">
        <v>1005</v>
      </c>
      <c r="O30" t="s">
        <v>54</v>
      </c>
      <c r="P30" t="s">
        <v>54</v>
      </c>
      <c r="Q30">
        <v>1</v>
      </c>
      <c r="X30">
        <v>114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3</v>
      </c>
      <c r="AG30">
        <v>114</v>
      </c>
      <c r="AH30">
        <v>3</v>
      </c>
      <c r="AI30">
        <v>-1</v>
      </c>
      <c r="AJ30" t="s">
        <v>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ROW(Source!A31)</f>
        <v>31</v>
      </c>
      <c r="B31">
        <v>36168638</v>
      </c>
      <c r="C31">
        <v>36168629</v>
      </c>
      <c r="D31">
        <v>29108765</v>
      </c>
      <c r="E31">
        <v>1</v>
      </c>
      <c r="F31">
        <v>1</v>
      </c>
      <c r="G31">
        <v>1</v>
      </c>
      <c r="H31">
        <v>3</v>
      </c>
      <c r="I31" t="s">
        <v>266</v>
      </c>
      <c r="J31" t="s">
        <v>267</v>
      </c>
      <c r="K31" t="s">
        <v>268</v>
      </c>
      <c r="L31">
        <v>1327</v>
      </c>
      <c r="N31">
        <v>1005</v>
      </c>
      <c r="O31" t="s">
        <v>54</v>
      </c>
      <c r="P31" t="s">
        <v>54</v>
      </c>
      <c r="Q31">
        <v>1</v>
      </c>
      <c r="X31">
        <v>116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3</v>
      </c>
      <c r="AG31">
        <v>116</v>
      </c>
      <c r="AH31">
        <v>3</v>
      </c>
      <c r="AI31">
        <v>-1</v>
      </c>
      <c r="AJ31" t="s">
        <v>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2021-06-15T08:36:56Z</dcterms:created>
  <dcterms:modified xsi:type="dcterms:W3CDTF">2021-07-05T09:48:40Z</dcterms:modified>
</cp:coreProperties>
</file>