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МО'!$A$1:$L$236</definedName>
  </definedNames>
  <calcPr calcId="125725"/>
</workbook>
</file>

<file path=xl/calcChain.xml><?xml version="1.0" encoding="utf-8"?>
<calcChain xmlns="http://schemas.openxmlformats.org/spreadsheetml/2006/main">
  <c r="I234" i="5"/>
  <c r="I231"/>
  <c r="I228"/>
  <c r="D234"/>
  <c r="D231"/>
  <c r="D228"/>
  <c r="C225"/>
  <c r="C224"/>
  <c r="A222"/>
  <c r="A218"/>
  <c r="A214"/>
  <c r="A210"/>
  <c r="L208"/>
  <c r="Q208" s="1"/>
  <c r="Z208"/>
  <c r="Y208"/>
  <c r="W208"/>
  <c r="K206"/>
  <c r="L207"/>
  <c r="G207"/>
  <c r="E207"/>
  <c r="J206"/>
  <c r="E206"/>
  <c r="J205"/>
  <c r="E205"/>
  <c r="K204"/>
  <c r="J204"/>
  <c r="H204"/>
  <c r="G204"/>
  <c r="F204"/>
  <c r="K203"/>
  <c r="J203"/>
  <c r="H203"/>
  <c r="R203" s="1"/>
  <c r="G203"/>
  <c r="F203"/>
  <c r="K202"/>
  <c r="J202"/>
  <c r="H202"/>
  <c r="G202"/>
  <c r="F202"/>
  <c r="K201"/>
  <c r="J201"/>
  <c r="H201"/>
  <c r="R201" s="1"/>
  <c r="G201"/>
  <c r="F201"/>
  <c r="C200"/>
  <c r="V199"/>
  <c r="T199"/>
  <c r="K205" s="1"/>
  <c r="U199"/>
  <c r="H206" s="1"/>
  <c r="S199"/>
  <c r="H205" s="1"/>
  <c r="F199"/>
  <c r="E199"/>
  <c r="D199"/>
  <c r="I199"/>
  <c r="C199"/>
  <c r="B199"/>
  <c r="A199"/>
  <c r="Q198"/>
  <c r="L198"/>
  <c r="Z198"/>
  <c r="Y198"/>
  <c r="X198"/>
  <c r="L197"/>
  <c r="G197"/>
  <c r="E197"/>
  <c r="J196"/>
  <c r="F196"/>
  <c r="E196"/>
  <c r="J195"/>
  <c r="F195"/>
  <c r="E195"/>
  <c r="K194"/>
  <c r="J194"/>
  <c r="H194"/>
  <c r="G194"/>
  <c r="F194"/>
  <c r="K193"/>
  <c r="J193"/>
  <c r="H193"/>
  <c r="R193" s="1"/>
  <c r="G193"/>
  <c r="F193"/>
  <c r="K192"/>
  <c r="J192"/>
  <c r="H192"/>
  <c r="G192"/>
  <c r="F192"/>
  <c r="K191"/>
  <c r="J191"/>
  <c r="H191"/>
  <c r="G191"/>
  <c r="F191"/>
  <c r="C190"/>
  <c r="V189"/>
  <c r="K196" s="1"/>
  <c r="T189"/>
  <c r="K195" s="1"/>
  <c r="U189"/>
  <c r="H196" s="1"/>
  <c r="S189"/>
  <c r="H195" s="1"/>
  <c r="F189"/>
  <c r="E189"/>
  <c r="D189"/>
  <c r="I189"/>
  <c r="C189"/>
  <c r="B189"/>
  <c r="A189"/>
  <c r="L188"/>
  <c r="Q188" s="1"/>
  <c r="Z188"/>
  <c r="Y188"/>
  <c r="X188"/>
  <c r="K187"/>
  <c r="J187"/>
  <c r="Z187"/>
  <c r="Y187"/>
  <c r="X187"/>
  <c r="W187"/>
  <c r="H187"/>
  <c r="F187"/>
  <c r="V187"/>
  <c r="T187"/>
  <c r="U187"/>
  <c r="S187"/>
  <c r="E187"/>
  <c r="D187"/>
  <c r="C187"/>
  <c r="B187"/>
  <c r="A187"/>
  <c r="K186"/>
  <c r="J186"/>
  <c r="Z186"/>
  <c r="Y186"/>
  <c r="X186"/>
  <c r="H186"/>
  <c r="W186" s="1"/>
  <c r="F186"/>
  <c r="V186"/>
  <c r="T186"/>
  <c r="U186"/>
  <c r="S186"/>
  <c r="E186"/>
  <c r="D186"/>
  <c r="C186"/>
  <c r="B186"/>
  <c r="A186"/>
  <c r="L185"/>
  <c r="G185"/>
  <c r="E185"/>
  <c r="J184"/>
  <c r="F184"/>
  <c r="E184"/>
  <c r="J183"/>
  <c r="F183"/>
  <c r="E183"/>
  <c r="K182"/>
  <c r="J182"/>
  <c r="H182"/>
  <c r="G182"/>
  <c r="F182"/>
  <c r="K181"/>
  <c r="J181"/>
  <c r="H181"/>
  <c r="R181" s="1"/>
  <c r="G181"/>
  <c r="F181"/>
  <c r="K180"/>
  <c r="J180"/>
  <c r="H180"/>
  <c r="G180"/>
  <c r="F180"/>
  <c r="K179"/>
  <c r="J179"/>
  <c r="R179"/>
  <c r="H179"/>
  <c r="G179"/>
  <c r="F179"/>
  <c r="C178"/>
  <c r="V177"/>
  <c r="K184" s="1"/>
  <c r="T177"/>
  <c r="K183" s="1"/>
  <c r="U177"/>
  <c r="H184" s="1"/>
  <c r="S177"/>
  <c r="F177"/>
  <c r="E177"/>
  <c r="D177"/>
  <c r="I177"/>
  <c r="C177"/>
  <c r="B177"/>
  <c r="A177"/>
  <c r="Q176"/>
  <c r="L210" s="1"/>
  <c r="L176"/>
  <c r="Z176"/>
  <c r="Y176"/>
  <c r="X176"/>
  <c r="L175"/>
  <c r="G175"/>
  <c r="E175"/>
  <c r="J174"/>
  <c r="F174"/>
  <c r="E174"/>
  <c r="J173"/>
  <c r="F173"/>
  <c r="E173"/>
  <c r="K172"/>
  <c r="J172"/>
  <c r="H172"/>
  <c r="G172"/>
  <c r="F172"/>
  <c r="K171"/>
  <c r="J171"/>
  <c r="H171"/>
  <c r="R171" s="1"/>
  <c r="G171"/>
  <c r="F171"/>
  <c r="K170"/>
  <c r="J170"/>
  <c r="H170"/>
  <c r="G170"/>
  <c r="F170"/>
  <c r="K169"/>
  <c r="J169"/>
  <c r="R169"/>
  <c r="H169"/>
  <c r="G169"/>
  <c r="F169"/>
  <c r="C168"/>
  <c r="V167"/>
  <c r="K174" s="1"/>
  <c r="T167"/>
  <c r="K173" s="1"/>
  <c r="U167"/>
  <c r="H174" s="1"/>
  <c r="S167"/>
  <c r="H173" s="1"/>
  <c r="F167"/>
  <c r="E167"/>
  <c r="D167"/>
  <c r="I167"/>
  <c r="C167"/>
  <c r="B167"/>
  <c r="A167"/>
  <c r="A166"/>
  <c r="A162"/>
  <c r="L160"/>
  <c r="Q160" s="1"/>
  <c r="Z160"/>
  <c r="Y160"/>
  <c r="X160"/>
  <c r="K159"/>
  <c r="J159"/>
  <c r="Z159"/>
  <c r="Y159"/>
  <c r="X159"/>
  <c r="H159"/>
  <c r="W159" s="1"/>
  <c r="F159"/>
  <c r="V159"/>
  <c r="T159"/>
  <c r="U159"/>
  <c r="S159"/>
  <c r="E159"/>
  <c r="D159"/>
  <c r="C159"/>
  <c r="B159"/>
  <c r="A159"/>
  <c r="L158"/>
  <c r="G158"/>
  <c r="E158"/>
  <c r="J157"/>
  <c r="F157"/>
  <c r="E157"/>
  <c r="J156"/>
  <c r="F156"/>
  <c r="E156"/>
  <c r="K155"/>
  <c r="J155"/>
  <c r="H155"/>
  <c r="G155"/>
  <c r="F155"/>
  <c r="K154"/>
  <c r="J154"/>
  <c r="R154"/>
  <c r="H154"/>
  <c r="G154"/>
  <c r="F154"/>
  <c r="K153"/>
  <c r="J153"/>
  <c r="H153"/>
  <c r="G153"/>
  <c r="F153"/>
  <c r="K152"/>
  <c r="J152"/>
  <c r="H152"/>
  <c r="R152" s="1"/>
  <c r="G152"/>
  <c r="F152"/>
  <c r="C151"/>
  <c r="V150"/>
  <c r="T150"/>
  <c r="K156" s="1"/>
  <c r="U150"/>
  <c r="S150"/>
  <c r="H156" s="1"/>
  <c r="F150"/>
  <c r="E150"/>
  <c r="D150"/>
  <c r="I150"/>
  <c r="C150"/>
  <c r="B150"/>
  <c r="A150"/>
  <c r="L149"/>
  <c r="Q149" s="1"/>
  <c r="L162" s="1"/>
  <c r="Z149"/>
  <c r="Y149"/>
  <c r="W149"/>
  <c r="K148"/>
  <c r="J148"/>
  <c r="Z148"/>
  <c r="Y148"/>
  <c r="W148"/>
  <c r="H148"/>
  <c r="X148" s="1"/>
  <c r="F148"/>
  <c r="V148"/>
  <c r="T148"/>
  <c r="U148"/>
  <c r="S148"/>
  <c r="E148"/>
  <c r="D148"/>
  <c r="C148"/>
  <c r="B148"/>
  <c r="A148"/>
  <c r="L147"/>
  <c r="G147"/>
  <c r="E147"/>
  <c r="J146"/>
  <c r="E146"/>
  <c r="J145"/>
  <c r="E145"/>
  <c r="K144"/>
  <c r="J144"/>
  <c r="H144"/>
  <c r="G144"/>
  <c r="F144"/>
  <c r="K143"/>
  <c r="J143"/>
  <c r="R143"/>
  <c r="H143"/>
  <c r="G143"/>
  <c r="F143"/>
  <c r="K142"/>
  <c r="J142"/>
  <c r="H142"/>
  <c r="G142"/>
  <c r="F142"/>
  <c r="K141"/>
  <c r="J141"/>
  <c r="R141"/>
  <c r="H141"/>
  <c r="G141"/>
  <c r="F141"/>
  <c r="C140"/>
  <c r="V139"/>
  <c r="K146" s="1"/>
  <c r="T139"/>
  <c r="K145" s="1"/>
  <c r="U139"/>
  <c r="H146" s="1"/>
  <c r="S139"/>
  <c r="H145" s="1"/>
  <c r="F139"/>
  <c r="E139"/>
  <c r="D139"/>
  <c r="I139"/>
  <c r="C139"/>
  <c r="B139"/>
  <c r="A139"/>
  <c r="A138"/>
  <c r="A134"/>
  <c r="L132"/>
  <c r="Q132" s="1"/>
  <c r="Z132"/>
  <c r="Y132"/>
  <c r="X132"/>
  <c r="L131"/>
  <c r="G131"/>
  <c r="E131"/>
  <c r="J130"/>
  <c r="F130"/>
  <c r="E130"/>
  <c r="J129"/>
  <c r="F129"/>
  <c r="E129"/>
  <c r="K128"/>
  <c r="J128"/>
  <c r="H128"/>
  <c r="G128"/>
  <c r="F128"/>
  <c r="K127"/>
  <c r="J127"/>
  <c r="H127"/>
  <c r="R127" s="1"/>
  <c r="G127"/>
  <c r="F127"/>
  <c r="C126"/>
  <c r="V125"/>
  <c r="K130" s="1"/>
  <c r="T125"/>
  <c r="K129" s="1"/>
  <c r="U125"/>
  <c r="H130" s="1"/>
  <c r="S125"/>
  <c r="H129" s="1"/>
  <c r="F125"/>
  <c r="E125"/>
  <c r="D125"/>
  <c r="I125"/>
  <c r="C125"/>
  <c r="B125"/>
  <c r="A125"/>
  <c r="Q124"/>
  <c r="L124"/>
  <c r="Z124"/>
  <c r="Y124"/>
  <c r="X124"/>
  <c r="K123"/>
  <c r="J123"/>
  <c r="Z123"/>
  <c r="Y123"/>
  <c r="X123"/>
  <c r="H123"/>
  <c r="W123" s="1"/>
  <c r="F123"/>
  <c r="V123"/>
  <c r="T123"/>
  <c r="U123"/>
  <c r="S123"/>
  <c r="E123"/>
  <c r="D123"/>
  <c r="C123"/>
  <c r="B123"/>
  <c r="A123"/>
  <c r="L122"/>
  <c r="G122"/>
  <c r="E122"/>
  <c r="J121"/>
  <c r="F121"/>
  <c r="E121"/>
  <c r="J120"/>
  <c r="F120"/>
  <c r="E120"/>
  <c r="K119"/>
  <c r="J119"/>
  <c r="H119"/>
  <c r="R119" s="1"/>
  <c r="G119"/>
  <c r="F119"/>
  <c r="K118"/>
  <c r="J118"/>
  <c r="H118"/>
  <c r="G118"/>
  <c r="F118"/>
  <c r="K117"/>
  <c r="J117"/>
  <c r="R117"/>
  <c r="H117"/>
  <c r="G117"/>
  <c r="F117"/>
  <c r="C116"/>
  <c r="V115"/>
  <c r="K121" s="1"/>
  <c r="T115"/>
  <c r="K120" s="1"/>
  <c r="U115"/>
  <c r="H121" s="1"/>
  <c r="S115"/>
  <c r="H120" s="1"/>
  <c r="F115"/>
  <c r="E115"/>
  <c r="D115"/>
  <c r="I115"/>
  <c r="C115"/>
  <c r="B115"/>
  <c r="A115"/>
  <c r="Q114"/>
  <c r="L134" s="1"/>
  <c r="L114"/>
  <c r="Z114"/>
  <c r="Y114"/>
  <c r="X114"/>
  <c r="L113"/>
  <c r="G113"/>
  <c r="E113"/>
  <c r="J112"/>
  <c r="F112"/>
  <c r="E112"/>
  <c r="J111"/>
  <c r="F111"/>
  <c r="E111"/>
  <c r="K110"/>
  <c r="J110"/>
  <c r="H110"/>
  <c r="G110"/>
  <c r="F110"/>
  <c r="K109"/>
  <c r="J109"/>
  <c r="H109"/>
  <c r="R109" s="1"/>
  <c r="G109"/>
  <c r="F109"/>
  <c r="K108"/>
  <c r="J108"/>
  <c r="H108"/>
  <c r="G108"/>
  <c r="F108"/>
  <c r="K107"/>
  <c r="J107"/>
  <c r="H107"/>
  <c r="G107"/>
  <c r="F107"/>
  <c r="C106"/>
  <c r="V105"/>
  <c r="K112" s="1"/>
  <c r="T105"/>
  <c r="K111" s="1"/>
  <c r="J114" s="1"/>
  <c r="P114" s="1"/>
  <c r="U105"/>
  <c r="H112" s="1"/>
  <c r="S105"/>
  <c r="H111" s="1"/>
  <c r="F105"/>
  <c r="E105"/>
  <c r="D105"/>
  <c r="I105"/>
  <c r="C105"/>
  <c r="B105"/>
  <c r="A105"/>
  <c r="A104"/>
  <c r="L102"/>
  <c r="Q102" s="1"/>
  <c r="Z102"/>
  <c r="Y102"/>
  <c r="W102"/>
  <c r="K101"/>
  <c r="J101"/>
  <c r="Z101"/>
  <c r="Y101"/>
  <c r="W101"/>
  <c r="H101"/>
  <c r="X101" s="1"/>
  <c r="F101"/>
  <c r="V101"/>
  <c r="K99" s="1"/>
  <c r="T101"/>
  <c r="U101"/>
  <c r="S101"/>
  <c r="E101"/>
  <c r="D101"/>
  <c r="C101"/>
  <c r="B101"/>
  <c r="A101"/>
  <c r="L100"/>
  <c r="G100"/>
  <c r="E100"/>
  <c r="J99"/>
  <c r="E99"/>
  <c r="J98"/>
  <c r="E98"/>
  <c r="K97"/>
  <c r="J97"/>
  <c r="H97"/>
  <c r="G97"/>
  <c r="F97"/>
  <c r="K96"/>
  <c r="J96"/>
  <c r="H96"/>
  <c r="R96" s="1"/>
  <c r="G96"/>
  <c r="F96"/>
  <c r="K95"/>
  <c r="J95"/>
  <c r="H95"/>
  <c r="G95"/>
  <c r="F95"/>
  <c r="K94"/>
  <c r="J94"/>
  <c r="H94"/>
  <c r="G94"/>
  <c r="F94"/>
  <c r="C93"/>
  <c r="V92"/>
  <c r="T92"/>
  <c r="K98" s="1"/>
  <c r="U92"/>
  <c r="S92"/>
  <c r="F92"/>
  <c r="E92"/>
  <c r="D92"/>
  <c r="I92"/>
  <c r="C92"/>
  <c r="B92"/>
  <c r="A92"/>
  <c r="L91"/>
  <c r="Q91" s="1"/>
  <c r="Z91"/>
  <c r="Y91"/>
  <c r="X91"/>
  <c r="L90"/>
  <c r="G90"/>
  <c r="E90"/>
  <c r="J89"/>
  <c r="F89"/>
  <c r="E89"/>
  <c r="J88"/>
  <c r="F88"/>
  <c r="E88"/>
  <c r="K87"/>
  <c r="J87"/>
  <c r="H87"/>
  <c r="G87"/>
  <c r="F87"/>
  <c r="K86"/>
  <c r="J86"/>
  <c r="H86"/>
  <c r="G86"/>
  <c r="F86"/>
  <c r="K85"/>
  <c r="J85"/>
  <c r="H85"/>
  <c r="G85"/>
  <c r="F85"/>
  <c r="C84"/>
  <c r="V83"/>
  <c r="K89" s="1"/>
  <c r="T83"/>
  <c r="K88" s="1"/>
  <c r="U83"/>
  <c r="H89" s="1"/>
  <c r="S83"/>
  <c r="H88" s="1"/>
  <c r="F83"/>
  <c r="E83"/>
  <c r="D83"/>
  <c r="I83"/>
  <c r="C83"/>
  <c r="B83"/>
  <c r="A83"/>
  <c r="L82"/>
  <c r="Q82" s="1"/>
  <c r="Z82"/>
  <c r="Y82"/>
  <c r="X82"/>
  <c r="L81"/>
  <c r="G81"/>
  <c r="E81"/>
  <c r="J80"/>
  <c r="F80"/>
  <c r="E80"/>
  <c r="J79"/>
  <c r="F79"/>
  <c r="E79"/>
  <c r="K78"/>
  <c r="J78"/>
  <c r="H78"/>
  <c r="G78"/>
  <c r="F78"/>
  <c r="K77"/>
  <c r="J77"/>
  <c r="H77"/>
  <c r="R77" s="1"/>
  <c r="G77"/>
  <c r="F77"/>
  <c r="K76"/>
  <c r="J76"/>
  <c r="H76"/>
  <c r="G76"/>
  <c r="F76"/>
  <c r="K75"/>
  <c r="J75"/>
  <c r="H75"/>
  <c r="G75"/>
  <c r="F75"/>
  <c r="C74"/>
  <c r="V73"/>
  <c r="K80" s="1"/>
  <c r="T73"/>
  <c r="K79" s="1"/>
  <c r="U73"/>
  <c r="H80" s="1"/>
  <c r="S73"/>
  <c r="H79" s="1"/>
  <c r="F73"/>
  <c r="E73"/>
  <c r="D73"/>
  <c r="I73"/>
  <c r="C73"/>
  <c r="B73"/>
  <c r="A73"/>
  <c r="L72"/>
  <c r="Q72" s="1"/>
  <c r="Z72"/>
  <c r="Y72"/>
  <c r="X72"/>
  <c r="K71"/>
  <c r="J71"/>
  <c r="Z71"/>
  <c r="Y71"/>
  <c r="X71"/>
  <c r="H71"/>
  <c r="W71" s="1"/>
  <c r="F71"/>
  <c r="V71"/>
  <c r="T71"/>
  <c r="U71"/>
  <c r="S71"/>
  <c r="E71"/>
  <c r="D71"/>
  <c r="C71"/>
  <c r="B71"/>
  <c r="A71"/>
  <c r="L70"/>
  <c r="G70"/>
  <c r="E70"/>
  <c r="J69"/>
  <c r="E69"/>
  <c r="J68"/>
  <c r="E68"/>
  <c r="K67"/>
  <c r="J67"/>
  <c r="H67"/>
  <c r="G67"/>
  <c r="F67"/>
  <c r="K66"/>
  <c r="J66"/>
  <c r="H66"/>
  <c r="R66" s="1"/>
  <c r="G66"/>
  <c r="F66"/>
  <c r="K65"/>
  <c r="J65"/>
  <c r="H65"/>
  <c r="G65"/>
  <c r="F65"/>
  <c r="K64"/>
  <c r="J64"/>
  <c r="H64"/>
  <c r="G64"/>
  <c r="F64"/>
  <c r="C63"/>
  <c r="V62"/>
  <c r="T62"/>
  <c r="U62"/>
  <c r="H69" s="1"/>
  <c r="S62"/>
  <c r="H68" s="1"/>
  <c r="F62"/>
  <c r="E62"/>
  <c r="D62"/>
  <c r="I62"/>
  <c r="C62"/>
  <c r="B62"/>
  <c r="A62"/>
  <c r="L61"/>
  <c r="Q61" s="1"/>
  <c r="Z61"/>
  <c r="Y61"/>
  <c r="X61"/>
  <c r="K60"/>
  <c r="J60"/>
  <c r="Z60"/>
  <c r="G30" s="1"/>
  <c r="Y60"/>
  <c r="G29" s="1"/>
  <c r="X60"/>
  <c r="H60"/>
  <c r="W60" s="1"/>
  <c r="F60"/>
  <c r="V60"/>
  <c r="T60"/>
  <c r="U60"/>
  <c r="S60"/>
  <c r="E60"/>
  <c r="D60"/>
  <c r="C60"/>
  <c r="B60"/>
  <c r="A60"/>
  <c r="L59"/>
  <c r="G59"/>
  <c r="E59"/>
  <c r="J58"/>
  <c r="F58"/>
  <c r="E58"/>
  <c r="J57"/>
  <c r="F57"/>
  <c r="E57"/>
  <c r="K56"/>
  <c r="J56"/>
  <c r="H56"/>
  <c r="G56"/>
  <c r="F56"/>
  <c r="K55"/>
  <c r="J55"/>
  <c r="H55"/>
  <c r="R55" s="1"/>
  <c r="G55"/>
  <c r="F55"/>
  <c r="K54"/>
  <c r="J54"/>
  <c r="H54"/>
  <c r="G54"/>
  <c r="F54"/>
  <c r="K53"/>
  <c r="J53"/>
  <c r="R53"/>
  <c r="H53"/>
  <c r="G53"/>
  <c r="F53"/>
  <c r="C52"/>
  <c r="V51"/>
  <c r="K58" s="1"/>
  <c r="T51"/>
  <c r="K57" s="1"/>
  <c r="U51"/>
  <c r="H58" s="1"/>
  <c r="S51"/>
  <c r="H57" s="1"/>
  <c r="F51"/>
  <c r="E51"/>
  <c r="D51"/>
  <c r="I51"/>
  <c r="C51"/>
  <c r="B51"/>
  <c r="A51"/>
  <c r="A50"/>
  <c r="L46"/>
  <c r="J46"/>
  <c r="G46"/>
  <c r="A46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" i="3"/>
  <c r="CY1"/>
  <c r="CZ1"/>
  <c r="DA1"/>
  <c r="DB1"/>
  <c r="DC1"/>
  <c r="A2"/>
  <c r="CY2"/>
  <c r="CZ2"/>
  <c r="DA2"/>
  <c r="DB2"/>
  <c r="DC2"/>
  <c r="A3"/>
  <c r="CY3"/>
  <c r="CZ3"/>
  <c r="DA3"/>
  <c r="DB3"/>
  <c r="DC3"/>
  <c r="A4"/>
  <c r="CY4"/>
  <c r="CZ4"/>
  <c r="DB4" s="1"/>
  <c r="DA4"/>
  <c r="DC4"/>
  <c r="A5"/>
  <c r="CY5"/>
  <c r="CZ5"/>
  <c r="DB5" s="1"/>
  <c r="DA5"/>
  <c r="DC5"/>
  <c r="A6"/>
  <c r="CY6"/>
  <c r="CZ6"/>
  <c r="DA6"/>
  <c r="DB6"/>
  <c r="DC6"/>
  <c r="A7"/>
  <c r="CY7"/>
  <c r="CZ7"/>
  <c r="DA7"/>
  <c r="DB7"/>
  <c r="DC7"/>
  <c r="A8"/>
  <c r="CY8"/>
  <c r="CZ8"/>
  <c r="DB8" s="1"/>
  <c r="DA8"/>
  <c r="DC8"/>
  <c r="A9"/>
  <c r="CY9"/>
  <c r="CZ9"/>
  <c r="DB9" s="1"/>
  <c r="DA9"/>
  <c r="DC9"/>
  <c r="A10"/>
  <c r="CY10"/>
  <c r="CZ10"/>
  <c r="DA10"/>
  <c r="DB10"/>
  <c r="DC10"/>
  <c r="A11"/>
  <c r="CY11"/>
  <c r="CZ11"/>
  <c r="DA11"/>
  <c r="DB11"/>
  <c r="DC11"/>
  <c r="A12"/>
  <c r="CY12"/>
  <c r="CZ12"/>
  <c r="DB12" s="1"/>
  <c r="DA12"/>
  <c r="DC12"/>
  <c r="A13"/>
  <c r="CY13"/>
  <c r="CZ13"/>
  <c r="DB13" s="1"/>
  <c r="DA13"/>
  <c r="DC13"/>
  <c r="A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Y29"/>
  <c r="CZ29"/>
  <c r="DB29" s="1"/>
  <c r="DA29"/>
  <c r="DC29"/>
  <c r="A30"/>
  <c r="CY30"/>
  <c r="CZ30"/>
  <c r="DA30"/>
  <c r="DB30"/>
  <c r="DC30"/>
  <c r="A31"/>
  <c r="CY31"/>
  <c r="CZ31"/>
  <c r="DA31"/>
  <c r="DB31"/>
  <c r="DC31"/>
  <c r="A32"/>
  <c r="CY32"/>
  <c r="CZ32"/>
  <c r="DB32" s="1"/>
  <c r="DA32"/>
  <c r="DC32"/>
  <c r="A33"/>
  <c r="CY33"/>
  <c r="CZ33"/>
  <c r="DB33" s="1"/>
  <c r="DA33"/>
  <c r="DC33"/>
  <c r="A34"/>
  <c r="CY34"/>
  <c r="CZ34"/>
  <c r="DA34"/>
  <c r="DB34"/>
  <c r="DC34"/>
  <c r="A35"/>
  <c r="CY35"/>
  <c r="CZ35"/>
  <c r="DA35"/>
  <c r="DB35"/>
  <c r="DC35"/>
  <c r="A36"/>
  <c r="CY36"/>
  <c r="CZ36"/>
  <c r="DB36" s="1"/>
  <c r="DA36"/>
  <c r="DC36"/>
  <c r="A37"/>
  <c r="CY37"/>
  <c r="CZ37"/>
  <c r="DB37" s="1"/>
  <c r="DA37"/>
  <c r="DC37"/>
  <c r="A38"/>
  <c r="CY38"/>
  <c r="CZ38"/>
  <c r="DA38"/>
  <c r="DB38"/>
  <c r="DC38"/>
  <c r="A39"/>
  <c r="CY39"/>
  <c r="CZ39"/>
  <c r="DA39"/>
  <c r="DB39"/>
  <c r="DC39"/>
  <c r="A40"/>
  <c r="CY40"/>
  <c r="CZ40"/>
  <c r="DB40" s="1"/>
  <c r="DA40"/>
  <c r="DC40"/>
  <c r="A41"/>
  <c r="CY41"/>
  <c r="CZ41"/>
  <c r="DB41" s="1"/>
  <c r="DA41"/>
  <c r="DC41"/>
  <c r="A42"/>
  <c r="CY42"/>
  <c r="CZ42"/>
  <c r="DA42"/>
  <c r="DB42"/>
  <c r="DC42"/>
  <c r="A43"/>
  <c r="CY43"/>
  <c r="CZ43"/>
  <c r="DA43"/>
  <c r="DB43"/>
  <c r="DC43"/>
  <c r="A44"/>
  <c r="CY44"/>
  <c r="CZ44"/>
  <c r="DB44" s="1"/>
  <c r="DA44"/>
  <c r="DC44"/>
  <c r="A45"/>
  <c r="CY45"/>
  <c r="CZ45"/>
  <c r="DB45" s="1"/>
  <c r="DA45"/>
  <c r="DC45"/>
  <c r="A46"/>
  <c r="CY46"/>
  <c r="CZ46"/>
  <c r="DA46"/>
  <c r="DB46"/>
  <c r="DC46"/>
  <c r="A47"/>
  <c r="CY47"/>
  <c r="CZ47"/>
  <c r="DA47"/>
  <c r="DB47"/>
  <c r="DC47"/>
  <c r="A48"/>
  <c r="CY48"/>
  <c r="CZ48"/>
  <c r="DB48" s="1"/>
  <c r="DA48"/>
  <c r="DC48"/>
  <c r="A49"/>
  <c r="CY49"/>
  <c r="CZ49"/>
  <c r="DB49" s="1"/>
  <c r="DA49"/>
  <c r="DC49"/>
  <c r="A50"/>
  <c r="CY50"/>
  <c r="CZ50"/>
  <c r="DA50"/>
  <c r="DB50"/>
  <c r="DC50"/>
  <c r="A51"/>
  <c r="CY51"/>
  <c r="CZ51"/>
  <c r="DA51"/>
  <c r="DB51"/>
  <c r="DC51"/>
  <c r="A52"/>
  <c r="CY52"/>
  <c r="CZ52"/>
  <c r="DB52" s="1"/>
  <c r="DA52"/>
  <c r="DC52"/>
  <c r="A53"/>
  <c r="CY53"/>
  <c r="CZ53"/>
  <c r="DB53" s="1"/>
  <c r="DA53"/>
  <c r="DC53"/>
  <c r="A54"/>
  <c r="CY54"/>
  <c r="CZ54"/>
  <c r="DA54"/>
  <c r="DB54"/>
  <c r="DC54"/>
  <c r="A55"/>
  <c r="CY55"/>
  <c r="CZ55"/>
  <c r="DA55"/>
  <c r="DB55"/>
  <c r="DC55"/>
  <c r="A56"/>
  <c r="CY56"/>
  <c r="CZ56"/>
  <c r="DB56" s="1"/>
  <c r="DA56"/>
  <c r="DC56"/>
  <c r="A57"/>
  <c r="CY57"/>
  <c r="CZ57"/>
  <c r="DB57" s="1"/>
  <c r="DA57"/>
  <c r="DC57"/>
  <c r="A58"/>
  <c r="CY58"/>
  <c r="CZ58"/>
  <c r="DA58"/>
  <c r="DB58"/>
  <c r="DC58"/>
  <c r="A59"/>
  <c r="CY59"/>
  <c r="CZ59"/>
  <c r="DA59"/>
  <c r="DB59"/>
  <c r="DC59"/>
  <c r="A60"/>
  <c r="CY60"/>
  <c r="CZ60"/>
  <c r="DB60" s="1"/>
  <c r="DA60"/>
  <c r="DC60"/>
  <c r="A61"/>
  <c r="CY61"/>
  <c r="CZ61"/>
  <c r="DB61" s="1"/>
  <c r="DA61"/>
  <c r="DC61"/>
  <c r="A62"/>
  <c r="CY62"/>
  <c r="CZ62"/>
  <c r="DA62"/>
  <c r="DB62"/>
  <c r="DC62"/>
  <c r="A63"/>
  <c r="CY63"/>
  <c r="CZ63"/>
  <c r="DA63"/>
  <c r="DB63"/>
  <c r="DC63"/>
  <c r="A64"/>
  <c r="CY64"/>
  <c r="CZ64"/>
  <c r="DB64" s="1"/>
  <c r="DA64"/>
  <c r="DC64"/>
  <c r="A65"/>
  <c r="CY65"/>
  <c r="CZ65"/>
  <c r="DB65" s="1"/>
  <c r="DA65"/>
  <c r="DC65"/>
  <c r="A66"/>
  <c r="CY66"/>
  <c r="CZ66"/>
  <c r="DA66"/>
  <c r="DB66"/>
  <c r="DC66"/>
  <c r="A67"/>
  <c r="CY67"/>
  <c r="CZ67"/>
  <c r="DA67"/>
  <c r="DB67"/>
  <c r="DC67"/>
  <c r="A68"/>
  <c r="CY68"/>
  <c r="CZ68"/>
  <c r="DB68" s="1"/>
  <c r="DA68"/>
  <c r="DC68"/>
  <c r="A69"/>
  <c r="CY69"/>
  <c r="CZ69"/>
  <c r="DB69" s="1"/>
  <c r="DA69"/>
  <c r="DC69"/>
  <c r="A70"/>
  <c r="CY70"/>
  <c r="CZ70"/>
  <c r="DA70"/>
  <c r="DB70"/>
  <c r="DC70"/>
  <c r="A71"/>
  <c r="CY71"/>
  <c r="CZ71"/>
  <c r="DA71"/>
  <c r="DB71"/>
  <c r="DC71"/>
  <c r="A72"/>
  <c r="CY72"/>
  <c r="CZ72"/>
  <c r="DB72" s="1"/>
  <c r="DA72"/>
  <c r="DC72"/>
  <c r="A73"/>
  <c r="CY73"/>
  <c r="CZ73"/>
  <c r="DB73" s="1"/>
  <c r="DA73"/>
  <c r="DC73"/>
  <c r="A74"/>
  <c r="CY74"/>
  <c r="CZ74"/>
  <c r="DA74"/>
  <c r="DB74"/>
  <c r="DC74"/>
  <c r="A75"/>
  <c r="CY75"/>
  <c r="CZ75"/>
  <c r="DA75"/>
  <c r="DB75"/>
  <c r="DC75"/>
  <c r="A76"/>
  <c r="CY76"/>
  <c r="CZ76"/>
  <c r="DB76" s="1"/>
  <c r="DA76"/>
  <c r="DC76"/>
  <c r="A77"/>
  <c r="CY77"/>
  <c r="CZ77"/>
  <c r="DB77" s="1"/>
  <c r="DA77"/>
  <c r="DC77"/>
  <c r="A78"/>
  <c r="CY78"/>
  <c r="CZ78"/>
  <c r="DA78"/>
  <c r="DB78"/>
  <c r="DC78"/>
  <c r="A79"/>
  <c r="CY79"/>
  <c r="CZ79"/>
  <c r="DA79"/>
  <c r="DB79"/>
  <c r="DC79"/>
  <c r="A80"/>
  <c r="CY80"/>
  <c r="CZ80"/>
  <c r="DB80" s="1"/>
  <c r="DA80"/>
  <c r="DC80"/>
  <c r="A81"/>
  <c r="CY81"/>
  <c r="CZ81"/>
  <c r="DB81" s="1"/>
  <c r="DA81"/>
  <c r="DC81"/>
  <c r="A82"/>
  <c r="CY82"/>
  <c r="CZ82"/>
  <c r="DA82"/>
  <c r="DB82"/>
  <c r="DC82"/>
  <c r="A83"/>
  <c r="CY83"/>
  <c r="CZ83"/>
  <c r="DA83"/>
  <c r="DB83"/>
  <c r="DC83"/>
  <c r="A84"/>
  <c r="CY84"/>
  <c r="CZ84"/>
  <c r="DB84" s="1"/>
  <c r="DA84"/>
  <c r="DC84"/>
  <c r="A85"/>
  <c r="CY85"/>
  <c r="CZ85"/>
  <c r="DB85" s="1"/>
  <c r="DA85"/>
  <c r="DC85"/>
  <c r="A86"/>
  <c r="CY86"/>
  <c r="CZ86"/>
  <c r="DA86"/>
  <c r="DB86"/>
  <c r="DC86"/>
  <c r="A87"/>
  <c r="CY87"/>
  <c r="CZ87"/>
  <c r="DA87"/>
  <c r="DB87"/>
  <c r="DC87"/>
  <c r="A88"/>
  <c r="CY88"/>
  <c r="CZ88"/>
  <c r="DB88" s="1"/>
  <c r="DA88"/>
  <c r="DC88"/>
  <c r="A89"/>
  <c r="CY89"/>
  <c r="CZ89"/>
  <c r="DB89" s="1"/>
  <c r="DA89"/>
  <c r="DC89"/>
  <c r="A90"/>
  <c r="CY90"/>
  <c r="CZ90"/>
  <c r="DA90"/>
  <c r="DB90"/>
  <c r="DC90"/>
  <c r="A91"/>
  <c r="CY91"/>
  <c r="CZ91"/>
  <c r="DA91"/>
  <c r="DB91"/>
  <c r="DC91"/>
  <c r="A92"/>
  <c r="CY92"/>
  <c r="CZ92"/>
  <c r="DB92" s="1"/>
  <c r="DA92"/>
  <c r="DC92"/>
  <c r="A93"/>
  <c r="CY93"/>
  <c r="CZ93"/>
  <c r="DB93" s="1"/>
  <c r="DA93"/>
  <c r="DC93"/>
  <c r="A94"/>
  <c r="CY94"/>
  <c r="CZ94"/>
  <c r="DA94"/>
  <c r="DB94"/>
  <c r="DC94"/>
  <c r="A95"/>
  <c r="CY95"/>
  <c r="CZ95"/>
  <c r="DA95"/>
  <c r="DB95"/>
  <c r="DC95"/>
  <c r="A96"/>
  <c r="CY96"/>
  <c r="CZ96"/>
  <c r="DB96" s="1"/>
  <c r="DA96"/>
  <c r="DC96"/>
  <c r="A97"/>
  <c r="CY97"/>
  <c r="CZ97"/>
  <c r="DB97" s="1"/>
  <c r="DA97"/>
  <c r="DC97"/>
  <c r="A98"/>
  <c r="CY98"/>
  <c r="CZ98"/>
  <c r="DA98"/>
  <c r="DB98"/>
  <c r="DC98"/>
  <c r="A99"/>
  <c r="CY99"/>
  <c r="CZ99"/>
  <c r="DA99"/>
  <c r="DB99"/>
  <c r="DC99"/>
  <c r="A100"/>
  <c r="CY100"/>
  <c r="CZ100"/>
  <c r="DB100" s="1"/>
  <c r="DA100"/>
  <c r="DC100"/>
  <c r="A101"/>
  <c r="CY101"/>
  <c r="CZ101"/>
  <c r="DB101" s="1"/>
  <c r="DA101"/>
  <c r="DC101"/>
  <c r="A102"/>
  <c r="CY102"/>
  <c r="CZ102"/>
  <c r="DA102"/>
  <c r="DB102"/>
  <c r="DC102"/>
  <c r="A103"/>
  <c r="CY103"/>
  <c r="CZ103"/>
  <c r="DA103"/>
  <c r="DB103"/>
  <c r="DC103"/>
  <c r="A104"/>
  <c r="CY104"/>
  <c r="CZ104"/>
  <c r="DB104" s="1"/>
  <c r="DA104"/>
  <c r="DC104"/>
  <c r="A105"/>
  <c r="CY105"/>
  <c r="CZ105"/>
  <c r="DB105" s="1"/>
  <c r="DA105"/>
  <c r="DC105"/>
  <c r="A106"/>
  <c r="CY106"/>
  <c r="CZ106"/>
  <c r="DA106"/>
  <c r="DB106"/>
  <c r="DC106"/>
  <c r="A107"/>
  <c r="CY107"/>
  <c r="CZ107"/>
  <c r="DA107"/>
  <c r="DB107"/>
  <c r="DC107"/>
  <c r="A108"/>
  <c r="CY108"/>
  <c r="CZ108"/>
  <c r="DB108" s="1"/>
  <c r="DA108"/>
  <c r="DC108"/>
  <c r="A109"/>
  <c r="CY109"/>
  <c r="CZ109"/>
  <c r="DB109" s="1"/>
  <c r="DA109"/>
  <c r="DC109"/>
  <c r="A110"/>
  <c r="CY110"/>
  <c r="CZ110"/>
  <c r="DA110"/>
  <c r="DB110"/>
  <c r="DC110"/>
  <c r="A111"/>
  <c r="CY111"/>
  <c r="CZ111"/>
  <c r="DA111"/>
  <c r="DB111"/>
  <c r="DC111"/>
  <c r="A112"/>
  <c r="CY112"/>
  <c r="CZ112"/>
  <c r="DB112" s="1"/>
  <c r="DA112"/>
  <c r="DC112"/>
  <c r="A113"/>
  <c r="CY113"/>
  <c r="CZ113"/>
  <c r="DB113" s="1"/>
  <c r="DA113"/>
  <c r="DC113"/>
  <c r="A114"/>
  <c r="CY114"/>
  <c r="CZ114"/>
  <c r="DA114"/>
  <c r="DB114"/>
  <c r="DC114"/>
  <c r="A115"/>
  <c r="CY115"/>
  <c r="CZ115"/>
  <c r="DA115"/>
  <c r="DB115"/>
  <c r="DC115"/>
  <c r="A116"/>
  <c r="CY116"/>
  <c r="CZ116"/>
  <c r="DB116" s="1"/>
  <c r="DA116"/>
  <c r="DC116"/>
  <c r="A117"/>
  <c r="CY117"/>
  <c r="CZ117"/>
  <c r="DB117" s="1"/>
  <c r="DA117"/>
  <c r="DC117"/>
  <c r="A118"/>
  <c r="CY118"/>
  <c r="CZ118"/>
  <c r="DA118"/>
  <c r="DB118"/>
  <c r="DC118"/>
  <c r="A119"/>
  <c r="CY119"/>
  <c r="CZ119"/>
  <c r="DA119"/>
  <c r="DB119"/>
  <c r="DC119"/>
  <c r="A120"/>
  <c r="CY120"/>
  <c r="CZ120"/>
  <c r="DB120" s="1"/>
  <c r="DA120"/>
  <c r="DC120"/>
  <c r="A121"/>
  <c r="CY121"/>
  <c r="CZ121"/>
  <c r="DB121" s="1"/>
  <c r="DA121"/>
  <c r="DC121"/>
  <c r="A122"/>
  <c r="CY122"/>
  <c r="CZ122"/>
  <c r="DA122"/>
  <c r="DB122"/>
  <c r="DC122"/>
  <c r="A123"/>
  <c r="CY123"/>
  <c r="CZ123"/>
  <c r="DA123"/>
  <c r="DB123"/>
  <c r="DC123"/>
  <c r="A124"/>
  <c r="CY124"/>
  <c r="CZ124"/>
  <c r="DB124" s="1"/>
  <c r="DA124"/>
  <c r="DC124"/>
  <c r="A125"/>
  <c r="CY125"/>
  <c r="CZ125"/>
  <c r="DB125" s="1"/>
  <c r="DA125"/>
  <c r="DC125"/>
  <c r="A126"/>
  <c r="CY126"/>
  <c r="CZ126"/>
  <c r="DA126"/>
  <c r="DB126"/>
  <c r="DC126"/>
  <c r="A127"/>
  <c r="CY127"/>
  <c r="CZ127"/>
  <c r="DA127"/>
  <c r="DB127"/>
  <c r="DC127"/>
  <c r="A128"/>
  <c r="CY128"/>
  <c r="CZ128"/>
  <c r="DB128" s="1"/>
  <c r="DA128"/>
  <c r="DC128"/>
  <c r="A129"/>
  <c r="CY129"/>
  <c r="CZ129"/>
  <c r="DB129" s="1"/>
  <c r="DA129"/>
  <c r="DC129"/>
  <c r="A130"/>
  <c r="CY130"/>
  <c r="CZ130"/>
  <c r="DA130"/>
  <c r="DB130"/>
  <c r="DC130"/>
  <c r="A131"/>
  <c r="CY131"/>
  <c r="CZ131"/>
  <c r="DA131"/>
  <c r="DB131"/>
  <c r="DC131"/>
  <c r="A132"/>
  <c r="CY132"/>
  <c r="CZ132"/>
  <c r="DB132" s="1"/>
  <c r="DA132"/>
  <c r="DC132"/>
  <c r="A133"/>
  <c r="CY133"/>
  <c r="CZ133"/>
  <c r="DB133" s="1"/>
  <c r="DA133"/>
  <c r="DC133"/>
  <c r="A134"/>
  <c r="CY134"/>
  <c r="CZ134"/>
  <c r="DA134"/>
  <c r="DB134"/>
  <c r="DC134"/>
  <c r="A135"/>
  <c r="CY135"/>
  <c r="CZ135"/>
  <c r="DA135"/>
  <c r="DB135"/>
  <c r="DC135"/>
  <c r="A136"/>
  <c r="CY136"/>
  <c r="CZ136"/>
  <c r="DB136" s="1"/>
  <c r="DA136"/>
  <c r="DC136"/>
  <c r="A137"/>
  <c r="CY137"/>
  <c r="CZ137"/>
  <c r="DB137" s="1"/>
  <c r="DA137"/>
  <c r="DC137"/>
  <c r="A138"/>
  <c r="CY138"/>
  <c r="CZ138"/>
  <c r="DA138"/>
  <c r="DB138"/>
  <c r="DC138"/>
  <c r="A139"/>
  <c r="CY139"/>
  <c r="CZ139"/>
  <c r="DA139"/>
  <c r="DB139"/>
  <c r="DC139"/>
  <c r="A140"/>
  <c r="CY140"/>
  <c r="CZ140"/>
  <c r="DB140" s="1"/>
  <c r="DA140"/>
  <c r="DC140"/>
  <c r="A141"/>
  <c r="CY141"/>
  <c r="CZ141"/>
  <c r="DB141" s="1"/>
  <c r="DA141"/>
  <c r="DC141"/>
  <c r="A142"/>
  <c r="CY142"/>
  <c r="CZ142"/>
  <c r="DA142"/>
  <c r="DB142"/>
  <c r="DC142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B26"/>
  <c r="AC26"/>
  <c r="AD26"/>
  <c r="AE26"/>
  <c r="AF26"/>
  <c r="AG26"/>
  <c r="AH26"/>
  <c r="AI26"/>
  <c r="AJ26"/>
  <c r="AK26"/>
  <c r="AL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B28"/>
  <c r="B26" s="1"/>
  <c r="C28"/>
  <c r="C26" s="1"/>
  <c r="D28"/>
  <c r="D26" s="1"/>
  <c r="F28"/>
  <c r="F26" s="1"/>
  <c r="G28"/>
  <c r="G26" s="1"/>
  <c r="O28"/>
  <c r="O26" s="1"/>
  <c r="P28"/>
  <c r="P26" s="1"/>
  <c r="Q28"/>
  <c r="Q26" s="1"/>
  <c r="R28"/>
  <c r="R26" s="1"/>
  <c r="S28"/>
  <c r="S26" s="1"/>
  <c r="T28"/>
  <c r="T26" s="1"/>
  <c r="U28"/>
  <c r="U26" s="1"/>
  <c r="V28"/>
  <c r="V26" s="1"/>
  <c r="W28"/>
  <c r="F52" s="1"/>
  <c r="X28"/>
  <c r="X26" s="1"/>
  <c r="Y28"/>
  <c r="Y26" s="1"/>
  <c r="AO28"/>
  <c r="AO26" s="1"/>
  <c r="AP28"/>
  <c r="AP26" s="1"/>
  <c r="AQ28"/>
  <c r="AQ26" s="1"/>
  <c r="AR28"/>
  <c r="F56" s="1"/>
  <c r="AS28"/>
  <c r="AS26" s="1"/>
  <c r="AT28"/>
  <c r="AT26" s="1"/>
  <c r="AU28"/>
  <c r="AU26" s="1"/>
  <c r="AV28"/>
  <c r="AV26" s="1"/>
  <c r="AW28"/>
  <c r="AW26" s="1"/>
  <c r="AX28"/>
  <c r="AX26" s="1"/>
  <c r="AY28"/>
  <c r="AY26" s="1"/>
  <c r="AZ28"/>
  <c r="AZ26" s="1"/>
  <c r="BA28"/>
  <c r="BA26" s="1"/>
  <c r="BB28"/>
  <c r="BB26" s="1"/>
  <c r="BC28"/>
  <c r="BC26" s="1"/>
  <c r="BD28"/>
  <c r="BD26" s="1"/>
  <c r="F30"/>
  <c r="F31"/>
  <c r="F33"/>
  <c r="F34"/>
  <c r="F35"/>
  <c r="F36"/>
  <c r="F37"/>
  <c r="F38"/>
  <c r="F41"/>
  <c r="F42"/>
  <c r="F43"/>
  <c r="F44"/>
  <c r="F45"/>
  <c r="F46"/>
  <c r="F47"/>
  <c r="F49"/>
  <c r="F50"/>
  <c r="F53"/>
  <c r="F54"/>
  <c r="D58"/>
  <c r="E60"/>
  <c r="Z60"/>
  <c r="AA60"/>
  <c r="AM60"/>
  <c r="AN60"/>
  <c r="BE60"/>
  <c r="BF60"/>
  <c r="BG60"/>
  <c r="BH60"/>
  <c r="BI60"/>
  <c r="BJ60"/>
  <c r="BK60"/>
  <c r="BL60"/>
  <c r="BM60"/>
  <c r="BN60"/>
  <c r="BO60"/>
  <c r="BP60"/>
  <c r="BQ60"/>
  <c r="BR60"/>
  <c r="BS60"/>
  <c r="BT60"/>
  <c r="BU60"/>
  <c r="BV60"/>
  <c r="BW60"/>
  <c r="CN60"/>
  <c r="CO60"/>
  <c r="CP60"/>
  <c r="CQ60"/>
  <c r="CR60"/>
  <c r="CS60"/>
  <c r="CT60"/>
  <c r="CU60"/>
  <c r="CV60"/>
  <c r="CW60"/>
  <c r="CX60"/>
  <c r="CY60"/>
  <c r="CZ60"/>
  <c r="DA60"/>
  <c r="DB60"/>
  <c r="DC60"/>
  <c r="DD60"/>
  <c r="DE60"/>
  <c r="DF60"/>
  <c r="DG60"/>
  <c r="DH60"/>
  <c r="DI60"/>
  <c r="DJ60"/>
  <c r="DK60"/>
  <c r="DL60"/>
  <c r="DM60"/>
  <c r="DN60"/>
  <c r="DO60"/>
  <c r="DP60"/>
  <c r="DQ60"/>
  <c r="DR60"/>
  <c r="DS60"/>
  <c r="DT60"/>
  <c r="DU60"/>
  <c r="DV60"/>
  <c r="DW60"/>
  <c r="DX60"/>
  <c r="DY60"/>
  <c r="DZ60"/>
  <c r="EA60"/>
  <c r="EB60"/>
  <c r="EC60"/>
  <c r="ED60"/>
  <c r="EE60"/>
  <c r="EF60"/>
  <c r="EG60"/>
  <c r="EH60"/>
  <c r="EI60"/>
  <c r="EJ60"/>
  <c r="EK60"/>
  <c r="EL60"/>
  <c r="EM60"/>
  <c r="EN60"/>
  <c r="EO60"/>
  <c r="EP60"/>
  <c r="EQ60"/>
  <c r="ER60"/>
  <c r="ES60"/>
  <c r="ET60"/>
  <c r="EU60"/>
  <c r="EV60"/>
  <c r="EW60"/>
  <c r="EX60"/>
  <c r="EY60"/>
  <c r="EZ60"/>
  <c r="FA60"/>
  <c r="FB60"/>
  <c r="FC60"/>
  <c r="FD60"/>
  <c r="FE60"/>
  <c r="FF60"/>
  <c r="FG60"/>
  <c r="FH60"/>
  <c r="FI60"/>
  <c r="FJ60"/>
  <c r="FK60"/>
  <c r="FL60"/>
  <c r="FM60"/>
  <c r="FN60"/>
  <c r="FO60"/>
  <c r="FP60"/>
  <c r="FQ60"/>
  <c r="FR60"/>
  <c r="FS60"/>
  <c r="FT60"/>
  <c r="FU60"/>
  <c r="FV60"/>
  <c r="FW60"/>
  <c r="FX60"/>
  <c r="FY60"/>
  <c r="FZ60"/>
  <c r="GA60"/>
  <c r="GB60"/>
  <c r="GC60"/>
  <c r="GD60"/>
  <c r="GE60"/>
  <c r="GF60"/>
  <c r="GG60"/>
  <c r="GH60"/>
  <c r="GI60"/>
  <c r="GJ60"/>
  <c r="GK60"/>
  <c r="GL60"/>
  <c r="GM60"/>
  <c r="GN60"/>
  <c r="GO60"/>
  <c r="GP60"/>
  <c r="GQ60"/>
  <c r="GR60"/>
  <c r="GS60"/>
  <c r="GT60"/>
  <c r="GU60"/>
  <c r="GV60"/>
  <c r="GW60"/>
  <c r="GX60"/>
  <c r="C62"/>
  <c r="D62"/>
  <c r="I62"/>
  <c r="CX4" i="3" s="1"/>
  <c r="AC62" i="1"/>
  <c r="CQ62" s="1"/>
  <c r="P62" s="1"/>
  <c r="AE62"/>
  <c r="AD62" s="1"/>
  <c r="AF62"/>
  <c r="CT62" s="1"/>
  <c r="S62" s="1"/>
  <c r="AG62"/>
  <c r="CU62" s="1"/>
  <c r="T62" s="1"/>
  <c r="AH62"/>
  <c r="AI62"/>
  <c r="AJ62"/>
  <c r="CX62" s="1"/>
  <c r="W62" s="1"/>
  <c r="CS62"/>
  <c r="R62" s="1"/>
  <c r="CV62"/>
  <c r="U62" s="1"/>
  <c r="CW62"/>
  <c r="V62" s="1"/>
  <c r="FR62"/>
  <c r="GL62"/>
  <c r="GO62"/>
  <c r="GP62"/>
  <c r="GV62"/>
  <c r="HC62"/>
  <c r="GX62" s="1"/>
  <c r="AC63"/>
  <c r="AE63"/>
  <c r="AD63" s="1"/>
  <c r="AF63"/>
  <c r="CT63" s="1"/>
  <c r="AG63"/>
  <c r="AH63"/>
  <c r="AI63"/>
  <c r="CW63" s="1"/>
  <c r="AJ63"/>
  <c r="CX63" s="1"/>
  <c r="CQ63"/>
  <c r="CU63"/>
  <c r="CV63"/>
  <c r="FR63"/>
  <c r="GL63"/>
  <c r="GO63"/>
  <c r="GP63"/>
  <c r="GV63"/>
  <c r="HC63" s="1"/>
  <c r="C64"/>
  <c r="D64"/>
  <c r="I64"/>
  <c r="CX12" i="3" s="1"/>
  <c r="AC64" i="1"/>
  <c r="CQ64" s="1"/>
  <c r="P64" s="1"/>
  <c r="AE64"/>
  <c r="AD64" s="1"/>
  <c r="AF64"/>
  <c r="CT64" s="1"/>
  <c r="S64" s="1"/>
  <c r="AG64"/>
  <c r="CU64" s="1"/>
  <c r="T64" s="1"/>
  <c r="AH64"/>
  <c r="AI64"/>
  <c r="AJ64"/>
  <c r="CX64" s="1"/>
  <c r="W64" s="1"/>
  <c r="CS64"/>
  <c r="R64" s="1"/>
  <c r="CV64"/>
  <c r="U64" s="1"/>
  <c r="CW64"/>
  <c r="V64" s="1"/>
  <c r="FR64"/>
  <c r="GL64"/>
  <c r="GO64"/>
  <c r="GP64"/>
  <c r="GV64"/>
  <c r="HC64"/>
  <c r="GX64" s="1"/>
  <c r="AC65"/>
  <c r="AE65"/>
  <c r="AD65" s="1"/>
  <c r="AF65"/>
  <c r="CT65" s="1"/>
  <c r="AG65"/>
  <c r="AH65"/>
  <c r="AI65"/>
  <c r="CW65" s="1"/>
  <c r="AJ65"/>
  <c r="CX65" s="1"/>
  <c r="CQ65"/>
  <c r="CU65"/>
  <c r="CV65"/>
  <c r="FR65"/>
  <c r="GL65"/>
  <c r="GO65"/>
  <c r="GP65"/>
  <c r="GV65"/>
  <c r="HC65" s="1"/>
  <c r="AC66"/>
  <c r="AB66" s="1"/>
  <c r="AD66"/>
  <c r="CR66" s="1"/>
  <c r="AE66"/>
  <c r="CS66" s="1"/>
  <c r="AF66"/>
  <c r="AG66"/>
  <c r="AH66"/>
  <c r="CV66" s="1"/>
  <c r="AI66"/>
  <c r="CW66" s="1"/>
  <c r="AJ66"/>
  <c r="CQ66"/>
  <c r="CT66"/>
  <c r="CU66"/>
  <c r="CX66"/>
  <c r="FR66"/>
  <c r="GL66"/>
  <c r="GO66"/>
  <c r="GP66"/>
  <c r="GV66"/>
  <c r="HC66" s="1"/>
  <c r="C67"/>
  <c r="D67"/>
  <c r="I67"/>
  <c r="CX20" i="3" s="1"/>
  <c r="AC67" i="1"/>
  <c r="AE67"/>
  <c r="AD67" s="1"/>
  <c r="AF67"/>
  <c r="CT67" s="1"/>
  <c r="S67" s="1"/>
  <c r="AG67"/>
  <c r="AH67"/>
  <c r="AI67"/>
  <c r="CW67" s="1"/>
  <c r="V67" s="1"/>
  <c r="AJ67"/>
  <c r="CX67" s="1"/>
  <c r="W67" s="1"/>
  <c r="CQ67"/>
  <c r="P67" s="1"/>
  <c r="CU67"/>
  <c r="T67" s="1"/>
  <c r="CV67"/>
  <c r="U67" s="1"/>
  <c r="FR67"/>
  <c r="GL67"/>
  <c r="GO67"/>
  <c r="GP67"/>
  <c r="GV67"/>
  <c r="HC67" s="1"/>
  <c r="GX67" s="1"/>
  <c r="C68"/>
  <c r="D68"/>
  <c r="I68"/>
  <c r="CX36" i="3" s="1"/>
  <c r="AC68" i="1"/>
  <c r="CQ68" s="1"/>
  <c r="P68" s="1"/>
  <c r="AE68"/>
  <c r="AD68" s="1"/>
  <c r="AF68"/>
  <c r="CT68" s="1"/>
  <c r="S68" s="1"/>
  <c r="AG68"/>
  <c r="CU68" s="1"/>
  <c r="T68" s="1"/>
  <c r="AH68"/>
  <c r="AI68"/>
  <c r="AJ68"/>
  <c r="CX68" s="1"/>
  <c r="W68" s="1"/>
  <c r="CS68"/>
  <c r="R68" s="1"/>
  <c r="CV68"/>
  <c r="U68" s="1"/>
  <c r="CW68"/>
  <c r="V68" s="1"/>
  <c r="FR68"/>
  <c r="GL68"/>
  <c r="GO68"/>
  <c r="GP68"/>
  <c r="GV68"/>
  <c r="HC68"/>
  <c r="GX68" s="1"/>
  <c r="C69"/>
  <c r="D69"/>
  <c r="I69"/>
  <c r="CX44" i="3" s="1"/>
  <c r="AC69" i="1"/>
  <c r="AB69" s="1"/>
  <c r="AD69"/>
  <c r="CR69" s="1"/>
  <c r="Q69" s="1"/>
  <c r="AE69"/>
  <c r="AF69"/>
  <c r="AG69"/>
  <c r="CU69" s="1"/>
  <c r="T69" s="1"/>
  <c r="AH69"/>
  <c r="CV69" s="1"/>
  <c r="U69" s="1"/>
  <c r="AI69"/>
  <c r="AJ69"/>
  <c r="CS69"/>
  <c r="R69" s="1"/>
  <c r="CT69"/>
  <c r="S69" s="1"/>
  <c r="CW69"/>
  <c r="V69" s="1"/>
  <c r="CX69"/>
  <c r="W69" s="1"/>
  <c r="FR69"/>
  <c r="GL69"/>
  <c r="GN69"/>
  <c r="GP69"/>
  <c r="GV69"/>
  <c r="HC69"/>
  <c r="GX69" s="1"/>
  <c r="I70"/>
  <c r="AC70"/>
  <c r="CQ70" s="1"/>
  <c r="P70" s="1"/>
  <c r="AE70"/>
  <c r="AD70" s="1"/>
  <c r="AF70"/>
  <c r="CT70" s="1"/>
  <c r="S70" s="1"/>
  <c r="AG70"/>
  <c r="CU70" s="1"/>
  <c r="T70" s="1"/>
  <c r="AH70"/>
  <c r="AI70"/>
  <c r="AJ70"/>
  <c r="CX70" s="1"/>
  <c r="W70" s="1"/>
  <c r="CS70"/>
  <c r="R70" s="1"/>
  <c r="CV70"/>
  <c r="U70" s="1"/>
  <c r="CW70"/>
  <c r="V70" s="1"/>
  <c r="FR70"/>
  <c r="GL70"/>
  <c r="GN70"/>
  <c r="GP70"/>
  <c r="GV70"/>
  <c r="HC70"/>
  <c r="GX70" s="1"/>
  <c r="D72"/>
  <c r="E74"/>
  <c r="G74"/>
  <c r="Z74"/>
  <c r="AA74"/>
  <c r="AM74"/>
  <c r="AN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CN74"/>
  <c r="CO74"/>
  <c r="CP74"/>
  <c r="CQ74"/>
  <c r="CR74"/>
  <c r="CS74"/>
  <c r="CT74"/>
  <c r="CU74"/>
  <c r="CV74"/>
  <c r="CW74"/>
  <c r="CX74"/>
  <c r="CY74"/>
  <c r="CZ74"/>
  <c r="DA74"/>
  <c r="DB74"/>
  <c r="DC74"/>
  <c r="DD74"/>
  <c r="DE74"/>
  <c r="DF74"/>
  <c r="DG74"/>
  <c r="DH74"/>
  <c r="DI74"/>
  <c r="DJ74"/>
  <c r="DK74"/>
  <c r="DL74"/>
  <c r="DM74"/>
  <c r="DN74"/>
  <c r="DO74"/>
  <c r="DP74"/>
  <c r="DQ74"/>
  <c r="DR74"/>
  <c r="DS74"/>
  <c r="DT74"/>
  <c r="DU74"/>
  <c r="DV74"/>
  <c r="DW74"/>
  <c r="DX74"/>
  <c r="DY74"/>
  <c r="DZ74"/>
  <c r="EA74"/>
  <c r="EB74"/>
  <c r="EC74"/>
  <c r="ED74"/>
  <c r="EE74"/>
  <c r="EF74"/>
  <c r="EG74"/>
  <c r="EH74"/>
  <c r="EI74"/>
  <c r="EJ74"/>
  <c r="EK74"/>
  <c r="EL74"/>
  <c r="EM74"/>
  <c r="EN74"/>
  <c r="EO74"/>
  <c r="EP74"/>
  <c r="EQ74"/>
  <c r="ER74"/>
  <c r="ES74"/>
  <c r="ET74"/>
  <c r="EU74"/>
  <c r="EV74"/>
  <c r="EW74"/>
  <c r="EX74"/>
  <c r="EY74"/>
  <c r="EZ74"/>
  <c r="FA74"/>
  <c r="FB74"/>
  <c r="FC74"/>
  <c r="FD74"/>
  <c r="FE74"/>
  <c r="FF74"/>
  <c r="FG74"/>
  <c r="FH74"/>
  <c r="FI74"/>
  <c r="FJ74"/>
  <c r="FK74"/>
  <c r="FL74"/>
  <c r="FM74"/>
  <c r="FN74"/>
  <c r="FO74"/>
  <c r="FP74"/>
  <c r="FQ74"/>
  <c r="FR74"/>
  <c r="FS74"/>
  <c r="FT74"/>
  <c r="FU74"/>
  <c r="FV74"/>
  <c r="FW74"/>
  <c r="FX74"/>
  <c r="FY74"/>
  <c r="FZ74"/>
  <c r="GA74"/>
  <c r="GB74"/>
  <c r="GC74"/>
  <c r="GD74"/>
  <c r="GE74"/>
  <c r="GF74"/>
  <c r="GG74"/>
  <c r="GH74"/>
  <c r="GI74"/>
  <c r="GJ74"/>
  <c r="GK74"/>
  <c r="GL74"/>
  <c r="GM74"/>
  <c r="GN74"/>
  <c r="GO74"/>
  <c r="GP74"/>
  <c r="GQ74"/>
  <c r="GR74"/>
  <c r="GS74"/>
  <c r="GT74"/>
  <c r="GU74"/>
  <c r="GV74"/>
  <c r="GW74"/>
  <c r="GX74"/>
  <c r="C76"/>
  <c r="D76"/>
  <c r="I76"/>
  <c r="CX52" i="3" s="1"/>
  <c r="AC76" i="1"/>
  <c r="AB76" s="1"/>
  <c r="AD76"/>
  <c r="CR76" s="1"/>
  <c r="Q76" s="1"/>
  <c r="AE76"/>
  <c r="CS76" s="1"/>
  <c r="R76" s="1"/>
  <c r="AF76"/>
  <c r="AG76"/>
  <c r="AH76"/>
  <c r="CV76" s="1"/>
  <c r="U76" s="1"/>
  <c r="AI76"/>
  <c r="CW76" s="1"/>
  <c r="V76" s="1"/>
  <c r="AJ76"/>
  <c r="CQ76"/>
  <c r="P76" s="1"/>
  <c r="CT76"/>
  <c r="S76" s="1"/>
  <c r="CU76"/>
  <c r="T76" s="1"/>
  <c r="CX76"/>
  <c r="W76" s="1"/>
  <c r="FR76"/>
  <c r="GL76"/>
  <c r="GO76"/>
  <c r="GP76"/>
  <c r="GV76"/>
  <c r="HC76" s="1"/>
  <c r="GX76" s="1"/>
  <c r="C77"/>
  <c r="D77"/>
  <c r="I77"/>
  <c r="CX64" i="3" s="1"/>
  <c r="AC77" i="1"/>
  <c r="AD77"/>
  <c r="AB77" s="1"/>
  <c r="AE77"/>
  <c r="CS77" s="1"/>
  <c r="R77" s="1"/>
  <c r="AF77"/>
  <c r="CT77" s="1"/>
  <c r="S77" s="1"/>
  <c r="AG77"/>
  <c r="AH77"/>
  <c r="CV77" s="1"/>
  <c r="U77" s="1"/>
  <c r="AI77"/>
  <c r="CW77" s="1"/>
  <c r="V77" s="1"/>
  <c r="AJ77"/>
  <c r="CX77" s="1"/>
  <c r="W77" s="1"/>
  <c r="CQ77"/>
  <c r="P77" s="1"/>
  <c r="CU77"/>
  <c r="T77" s="1"/>
  <c r="FR77"/>
  <c r="GL77"/>
  <c r="GO77"/>
  <c r="GP77"/>
  <c r="GV77"/>
  <c r="HC77" s="1"/>
  <c r="GX77" s="1"/>
  <c r="AC78"/>
  <c r="AB78" s="1"/>
  <c r="AD78"/>
  <c r="CR78" s="1"/>
  <c r="AE78"/>
  <c r="CS78" s="1"/>
  <c r="AF78"/>
  <c r="AG78"/>
  <c r="CU78" s="1"/>
  <c r="AH78"/>
  <c r="CV78" s="1"/>
  <c r="AI78"/>
  <c r="CW78" s="1"/>
  <c r="AJ78"/>
  <c r="CT78"/>
  <c r="CX78"/>
  <c r="FR78"/>
  <c r="GL78"/>
  <c r="GO78"/>
  <c r="GP78"/>
  <c r="GV78"/>
  <c r="HC78" s="1"/>
  <c r="C79"/>
  <c r="D79"/>
  <c r="I79"/>
  <c r="CX76" i="3" s="1"/>
  <c r="AC79" i="1"/>
  <c r="AD79"/>
  <c r="AB79" s="1"/>
  <c r="AE79"/>
  <c r="CS79" s="1"/>
  <c r="R79" s="1"/>
  <c r="AF79"/>
  <c r="CT79" s="1"/>
  <c r="S79" s="1"/>
  <c r="AG79"/>
  <c r="AH79"/>
  <c r="CV79" s="1"/>
  <c r="U79" s="1"/>
  <c r="AI79"/>
  <c r="CW79" s="1"/>
  <c r="V79" s="1"/>
  <c r="AJ79"/>
  <c r="CX79" s="1"/>
  <c r="W79" s="1"/>
  <c r="CQ79"/>
  <c r="P79" s="1"/>
  <c r="CU79"/>
  <c r="T79" s="1"/>
  <c r="FR79"/>
  <c r="GL79"/>
  <c r="GO79"/>
  <c r="GP79"/>
  <c r="GV79"/>
  <c r="HC79" s="1"/>
  <c r="GX79" s="1"/>
  <c r="B81"/>
  <c r="B74" s="1"/>
  <c r="C81"/>
  <c r="C74" s="1"/>
  <c r="D81"/>
  <c r="D74" s="1"/>
  <c r="F81"/>
  <c r="F74" s="1"/>
  <c r="G81"/>
  <c r="BX81"/>
  <c r="BX74" s="1"/>
  <c r="BY81"/>
  <c r="BY74" s="1"/>
  <c r="BZ81"/>
  <c r="BZ74" s="1"/>
  <c r="CC81"/>
  <c r="CC74" s="1"/>
  <c r="CD81"/>
  <c r="CD74" s="1"/>
  <c r="CG81"/>
  <c r="CG74" s="1"/>
  <c r="CK81"/>
  <c r="CK74" s="1"/>
  <c r="CL81"/>
  <c r="CL74" s="1"/>
  <c r="CM81"/>
  <c r="CM74" s="1"/>
  <c r="D111"/>
  <c r="E113"/>
  <c r="Z113"/>
  <c r="AA113"/>
  <c r="AM113"/>
  <c r="AN113"/>
  <c r="BE113"/>
  <c r="BF113"/>
  <c r="BG113"/>
  <c r="BH113"/>
  <c r="BI113"/>
  <c r="BJ113"/>
  <c r="BK113"/>
  <c r="BL113"/>
  <c r="BM113"/>
  <c r="BN113"/>
  <c r="BO113"/>
  <c r="BP113"/>
  <c r="BQ113"/>
  <c r="BR113"/>
  <c r="BS113"/>
  <c r="BT113"/>
  <c r="BU113"/>
  <c r="BV113"/>
  <c r="BW113"/>
  <c r="CN113"/>
  <c r="CO113"/>
  <c r="CP113"/>
  <c r="CQ113"/>
  <c r="CR113"/>
  <c r="CS113"/>
  <c r="CT113"/>
  <c r="CU113"/>
  <c r="CV113"/>
  <c r="CW113"/>
  <c r="CX113"/>
  <c r="CY113"/>
  <c r="CZ113"/>
  <c r="DA113"/>
  <c r="DB113"/>
  <c r="DC113"/>
  <c r="DD113"/>
  <c r="DE113"/>
  <c r="DF113"/>
  <c r="DG113"/>
  <c r="DH113"/>
  <c r="DI113"/>
  <c r="DJ113"/>
  <c r="DK113"/>
  <c r="DL113"/>
  <c r="DM113"/>
  <c r="DN113"/>
  <c r="DO113"/>
  <c r="DP113"/>
  <c r="DQ113"/>
  <c r="DR113"/>
  <c r="DS113"/>
  <c r="DT113"/>
  <c r="DU113"/>
  <c r="DV113"/>
  <c r="DW113"/>
  <c r="DX113"/>
  <c r="DY113"/>
  <c r="DZ113"/>
  <c r="EA113"/>
  <c r="EB113"/>
  <c r="EC113"/>
  <c r="ED113"/>
  <c r="EE113"/>
  <c r="EF113"/>
  <c r="EG113"/>
  <c r="EH113"/>
  <c r="EI113"/>
  <c r="EJ113"/>
  <c r="EK113"/>
  <c r="EL113"/>
  <c r="EM113"/>
  <c r="EN113"/>
  <c r="EO113"/>
  <c r="EP113"/>
  <c r="EQ113"/>
  <c r="ER113"/>
  <c r="ES113"/>
  <c r="ET113"/>
  <c r="EU113"/>
  <c r="EV113"/>
  <c r="EW113"/>
  <c r="EX113"/>
  <c r="EY113"/>
  <c r="EZ113"/>
  <c r="FA113"/>
  <c r="FB113"/>
  <c r="FC113"/>
  <c r="FD113"/>
  <c r="FE113"/>
  <c r="FF113"/>
  <c r="FG113"/>
  <c r="FH113"/>
  <c r="FI113"/>
  <c r="FJ113"/>
  <c r="FK113"/>
  <c r="FL113"/>
  <c r="FM113"/>
  <c r="FN113"/>
  <c r="FO113"/>
  <c r="FP113"/>
  <c r="FQ113"/>
  <c r="FR113"/>
  <c r="FS113"/>
  <c r="FT113"/>
  <c r="FU113"/>
  <c r="FV113"/>
  <c r="FW113"/>
  <c r="FX113"/>
  <c r="FY113"/>
  <c r="FZ113"/>
  <c r="GA113"/>
  <c r="GB113"/>
  <c r="GC113"/>
  <c r="GD113"/>
  <c r="GE113"/>
  <c r="GF113"/>
  <c r="GG113"/>
  <c r="GH113"/>
  <c r="GI113"/>
  <c r="GJ113"/>
  <c r="GK113"/>
  <c r="GL113"/>
  <c r="GM113"/>
  <c r="GN113"/>
  <c r="GO113"/>
  <c r="GP113"/>
  <c r="GQ113"/>
  <c r="GR113"/>
  <c r="GS113"/>
  <c r="GT113"/>
  <c r="GU113"/>
  <c r="GV113"/>
  <c r="GW113"/>
  <c r="GX113"/>
  <c r="C115"/>
  <c r="D115"/>
  <c r="I115"/>
  <c r="CX80" i="3" s="1"/>
  <c r="AC115" i="1"/>
  <c r="AB115" s="1"/>
  <c r="AD115"/>
  <c r="CR115" s="1"/>
  <c r="Q115" s="1"/>
  <c r="AE115"/>
  <c r="AF115"/>
  <c r="AG115"/>
  <c r="AH115"/>
  <c r="CV115" s="1"/>
  <c r="U115" s="1"/>
  <c r="AI115"/>
  <c r="AJ115"/>
  <c r="CQ115"/>
  <c r="P115" s="1"/>
  <c r="CS115"/>
  <c r="R115" s="1"/>
  <c r="CT115"/>
  <c r="S115" s="1"/>
  <c r="CU115"/>
  <c r="T115" s="1"/>
  <c r="CW115"/>
  <c r="V115" s="1"/>
  <c r="CX115"/>
  <c r="W115" s="1"/>
  <c r="FR115"/>
  <c r="GL115"/>
  <c r="GN115"/>
  <c r="GP115"/>
  <c r="GV115"/>
  <c r="HC115" s="1"/>
  <c r="GX115" s="1"/>
  <c r="I116"/>
  <c r="AC116"/>
  <c r="CQ116" s="1"/>
  <c r="P116" s="1"/>
  <c r="AE116"/>
  <c r="AD116" s="1"/>
  <c r="CR116" s="1"/>
  <c r="Q116" s="1"/>
  <c r="AF116"/>
  <c r="CT116" s="1"/>
  <c r="S116" s="1"/>
  <c r="AG116"/>
  <c r="CU116" s="1"/>
  <c r="T116" s="1"/>
  <c r="AH116"/>
  <c r="AI116"/>
  <c r="AJ116"/>
  <c r="CX116" s="1"/>
  <c r="W116" s="1"/>
  <c r="CS116"/>
  <c r="R116" s="1"/>
  <c r="CV116"/>
  <c r="U116" s="1"/>
  <c r="CW116"/>
  <c r="V116" s="1"/>
  <c r="FR116"/>
  <c r="GL116"/>
  <c r="GN116"/>
  <c r="GP116"/>
  <c r="GV116"/>
  <c r="HC116"/>
  <c r="GX116" s="1"/>
  <c r="C117"/>
  <c r="D117"/>
  <c r="I117"/>
  <c r="CX92" i="3" s="1"/>
  <c r="AC117" i="1"/>
  <c r="AD117"/>
  <c r="CR117" s="1"/>
  <c r="Q117" s="1"/>
  <c r="AE117"/>
  <c r="AF117"/>
  <c r="AG117"/>
  <c r="AH117"/>
  <c r="CV117" s="1"/>
  <c r="U117" s="1"/>
  <c r="AI117"/>
  <c r="CW117" s="1"/>
  <c r="V117" s="1"/>
  <c r="AJ117"/>
  <c r="CQ117"/>
  <c r="P117" s="1"/>
  <c r="CS117"/>
  <c r="R117" s="1"/>
  <c r="CT117"/>
  <c r="S117" s="1"/>
  <c r="CU117"/>
  <c r="T117" s="1"/>
  <c r="CX117"/>
  <c r="W117" s="1"/>
  <c r="FR117"/>
  <c r="GL117"/>
  <c r="GO117"/>
  <c r="GP117"/>
  <c r="GV117"/>
  <c r="HC117" s="1"/>
  <c r="GX117" s="1"/>
  <c r="CJ120" s="1"/>
  <c r="I118"/>
  <c r="AC118"/>
  <c r="CQ118" s="1"/>
  <c r="P118" s="1"/>
  <c r="CP118" s="1"/>
  <c r="O118" s="1"/>
  <c r="AD118"/>
  <c r="CR118" s="1"/>
  <c r="Q118" s="1"/>
  <c r="AE118"/>
  <c r="AF118"/>
  <c r="AG118"/>
  <c r="CU118" s="1"/>
  <c r="T118" s="1"/>
  <c r="AH118"/>
  <c r="CV118" s="1"/>
  <c r="U118" s="1"/>
  <c r="AI118"/>
  <c r="AJ118"/>
  <c r="CS118"/>
  <c r="R118" s="1"/>
  <c r="AE120" s="1"/>
  <c r="CT118"/>
  <c r="S118" s="1"/>
  <c r="CW118"/>
  <c r="V118" s="1"/>
  <c r="CX118"/>
  <c r="W118" s="1"/>
  <c r="FR118"/>
  <c r="GL118"/>
  <c r="GO118"/>
  <c r="GP118"/>
  <c r="GV118"/>
  <c r="HC118"/>
  <c r="GX118" s="1"/>
  <c r="B120"/>
  <c r="B113" s="1"/>
  <c r="C120"/>
  <c r="C113" s="1"/>
  <c r="D120"/>
  <c r="D113" s="1"/>
  <c r="F120"/>
  <c r="F113" s="1"/>
  <c r="G120"/>
  <c r="G113" s="1"/>
  <c r="BX120"/>
  <c r="BX113" s="1"/>
  <c r="BY120"/>
  <c r="BY113" s="1"/>
  <c r="BZ120"/>
  <c r="BZ113" s="1"/>
  <c r="CD120"/>
  <c r="CD113" s="1"/>
  <c r="CG120"/>
  <c r="CG113" s="1"/>
  <c r="CK120"/>
  <c r="CK113" s="1"/>
  <c r="CL120"/>
  <c r="CL113" s="1"/>
  <c r="CM120"/>
  <c r="CM113" s="1"/>
  <c r="D150"/>
  <c r="E152"/>
  <c r="Z152"/>
  <c r="AA152"/>
  <c r="AM152"/>
  <c r="AN152"/>
  <c r="BE152"/>
  <c r="BF152"/>
  <c r="BG152"/>
  <c r="BH152"/>
  <c r="BI152"/>
  <c r="BJ152"/>
  <c r="BK152"/>
  <c r="BL152"/>
  <c r="BM152"/>
  <c r="BN152"/>
  <c r="BO152"/>
  <c r="BP152"/>
  <c r="BQ152"/>
  <c r="BR152"/>
  <c r="BS152"/>
  <c r="BT152"/>
  <c r="BU152"/>
  <c r="BV152"/>
  <c r="BW152"/>
  <c r="CN152"/>
  <c r="CO152"/>
  <c r="CP152"/>
  <c r="CQ152"/>
  <c r="CR152"/>
  <c r="CS152"/>
  <c r="CT152"/>
  <c r="CU152"/>
  <c r="CV152"/>
  <c r="CW152"/>
  <c r="CX152"/>
  <c r="CY152"/>
  <c r="CZ152"/>
  <c r="DA152"/>
  <c r="DB152"/>
  <c r="DC152"/>
  <c r="DD152"/>
  <c r="DE152"/>
  <c r="DF152"/>
  <c r="DG152"/>
  <c r="DH152"/>
  <c r="DI152"/>
  <c r="DJ152"/>
  <c r="DK152"/>
  <c r="DL152"/>
  <c r="DM152"/>
  <c r="DN152"/>
  <c r="DO152"/>
  <c r="DP152"/>
  <c r="DQ152"/>
  <c r="DR152"/>
  <c r="DS152"/>
  <c r="DT152"/>
  <c r="DU152"/>
  <c r="DV152"/>
  <c r="DW152"/>
  <c r="DX152"/>
  <c r="DY152"/>
  <c r="DZ152"/>
  <c r="EA152"/>
  <c r="EB152"/>
  <c r="EC152"/>
  <c r="ED152"/>
  <c r="EE152"/>
  <c r="EF152"/>
  <c r="EG152"/>
  <c r="EH152"/>
  <c r="EI152"/>
  <c r="EJ152"/>
  <c r="EK152"/>
  <c r="EL152"/>
  <c r="EM152"/>
  <c r="EN152"/>
  <c r="EO152"/>
  <c r="EP152"/>
  <c r="EQ152"/>
  <c r="ER152"/>
  <c r="ES152"/>
  <c r="ET152"/>
  <c r="EU152"/>
  <c r="EV152"/>
  <c r="EW152"/>
  <c r="EX152"/>
  <c r="EY152"/>
  <c r="EZ152"/>
  <c r="FA152"/>
  <c r="FB152"/>
  <c r="FC152"/>
  <c r="FD152"/>
  <c r="FE152"/>
  <c r="FF152"/>
  <c r="FG152"/>
  <c r="FH152"/>
  <c r="FI152"/>
  <c r="FJ152"/>
  <c r="FK152"/>
  <c r="FL152"/>
  <c r="FM152"/>
  <c r="FN152"/>
  <c r="FO152"/>
  <c r="FP152"/>
  <c r="FQ152"/>
  <c r="FR152"/>
  <c r="FS152"/>
  <c r="FT152"/>
  <c r="FU152"/>
  <c r="FV152"/>
  <c r="FW152"/>
  <c r="FX152"/>
  <c r="FY152"/>
  <c r="FZ152"/>
  <c r="GA152"/>
  <c r="GB152"/>
  <c r="GC152"/>
  <c r="GD152"/>
  <c r="GE152"/>
  <c r="GF152"/>
  <c r="GG152"/>
  <c r="GH152"/>
  <c r="GI152"/>
  <c r="GJ152"/>
  <c r="GK152"/>
  <c r="GL152"/>
  <c r="GM152"/>
  <c r="GN152"/>
  <c r="GO152"/>
  <c r="GP152"/>
  <c r="GQ152"/>
  <c r="GR152"/>
  <c r="GS152"/>
  <c r="GT152"/>
  <c r="GU152"/>
  <c r="GV152"/>
  <c r="GW152"/>
  <c r="GX152"/>
  <c r="C154"/>
  <c r="D154"/>
  <c r="I154"/>
  <c r="AC154"/>
  <c r="AB154" s="1"/>
  <c r="AD154"/>
  <c r="CR154" s="1"/>
  <c r="Q154" s="1"/>
  <c r="AE154"/>
  <c r="AF154"/>
  <c r="AG154"/>
  <c r="AH154"/>
  <c r="CV154" s="1"/>
  <c r="U154" s="1"/>
  <c r="AI154"/>
  <c r="AJ154"/>
  <c r="CQ154"/>
  <c r="P154" s="1"/>
  <c r="CS154"/>
  <c r="R154" s="1"/>
  <c r="CT154"/>
  <c r="S154" s="1"/>
  <c r="CU154"/>
  <c r="T154" s="1"/>
  <c r="CW154"/>
  <c r="V154" s="1"/>
  <c r="CX154"/>
  <c r="W154" s="1"/>
  <c r="FR154"/>
  <c r="GL154"/>
  <c r="GO154"/>
  <c r="GP154"/>
  <c r="GV154"/>
  <c r="HC154" s="1"/>
  <c r="GX154" s="1"/>
  <c r="C155"/>
  <c r="D155"/>
  <c r="I155"/>
  <c r="AC155"/>
  <c r="AB155" s="1"/>
  <c r="AD155"/>
  <c r="CR155" s="1"/>
  <c r="Q155" s="1"/>
  <c r="AE155"/>
  <c r="CS155" s="1"/>
  <c r="R155" s="1"/>
  <c r="AF155"/>
  <c r="AG155"/>
  <c r="AH155"/>
  <c r="CV155" s="1"/>
  <c r="U155" s="1"/>
  <c r="AI155"/>
  <c r="CW155" s="1"/>
  <c r="V155" s="1"/>
  <c r="AJ155"/>
  <c r="CQ155"/>
  <c r="P155" s="1"/>
  <c r="CP155" s="1"/>
  <c r="O155" s="1"/>
  <c r="CT155"/>
  <c r="S155" s="1"/>
  <c r="CU155"/>
  <c r="T155" s="1"/>
  <c r="CX155"/>
  <c r="W155" s="1"/>
  <c r="FR155"/>
  <c r="GL155"/>
  <c r="GO155"/>
  <c r="GP155"/>
  <c r="GV155"/>
  <c r="HC155" s="1"/>
  <c r="GX155" s="1"/>
  <c r="I156"/>
  <c r="AC156"/>
  <c r="AB156" s="1"/>
  <c r="AD156"/>
  <c r="CR156" s="1"/>
  <c r="Q156" s="1"/>
  <c r="AE156"/>
  <c r="AF156"/>
  <c r="AG156"/>
  <c r="AH156"/>
  <c r="CV156" s="1"/>
  <c r="U156" s="1"/>
  <c r="AI156"/>
  <c r="AJ156"/>
  <c r="CQ156"/>
  <c r="P156" s="1"/>
  <c r="CS156"/>
  <c r="R156" s="1"/>
  <c r="CT156"/>
  <c r="S156" s="1"/>
  <c r="CU156"/>
  <c r="T156" s="1"/>
  <c r="CW156"/>
  <c r="V156" s="1"/>
  <c r="CX156"/>
  <c r="W156" s="1"/>
  <c r="FR156"/>
  <c r="GL156"/>
  <c r="GO156"/>
  <c r="GP156"/>
  <c r="GV156"/>
  <c r="HC156" s="1"/>
  <c r="GX156" s="1"/>
  <c r="I157"/>
  <c r="AC157"/>
  <c r="CQ157" s="1"/>
  <c r="P157" s="1"/>
  <c r="AE157"/>
  <c r="AD157" s="1"/>
  <c r="AF157"/>
  <c r="CT157" s="1"/>
  <c r="S157" s="1"/>
  <c r="AG157"/>
  <c r="CU157" s="1"/>
  <c r="T157" s="1"/>
  <c r="AH157"/>
  <c r="AI157"/>
  <c r="AJ157"/>
  <c r="CX157" s="1"/>
  <c r="W157" s="1"/>
  <c r="CS157"/>
  <c r="R157" s="1"/>
  <c r="CV157"/>
  <c r="U157" s="1"/>
  <c r="CW157"/>
  <c r="V157" s="1"/>
  <c r="FR157"/>
  <c r="GL157"/>
  <c r="GO157"/>
  <c r="GP157"/>
  <c r="GV157"/>
  <c r="HC157"/>
  <c r="GX157" s="1"/>
  <c r="C158"/>
  <c r="D158"/>
  <c r="I158"/>
  <c r="AC158"/>
  <c r="AB158" s="1"/>
  <c r="AD158"/>
  <c r="CR158" s="1"/>
  <c r="Q158" s="1"/>
  <c r="AE158"/>
  <c r="AF158"/>
  <c r="AG158"/>
  <c r="AH158"/>
  <c r="CV158" s="1"/>
  <c r="U158" s="1"/>
  <c r="AI158"/>
  <c r="AJ158"/>
  <c r="CQ158"/>
  <c r="P158" s="1"/>
  <c r="CS158"/>
  <c r="R158" s="1"/>
  <c r="CT158"/>
  <c r="S158" s="1"/>
  <c r="CU158"/>
  <c r="T158" s="1"/>
  <c r="CW158"/>
  <c r="V158" s="1"/>
  <c r="CX158"/>
  <c r="W158" s="1"/>
  <c r="FR158"/>
  <c r="GL158"/>
  <c r="GO158"/>
  <c r="GP158"/>
  <c r="GV158"/>
  <c r="HC158" s="1"/>
  <c r="GX158" s="1"/>
  <c r="I159"/>
  <c r="AC159"/>
  <c r="CQ159" s="1"/>
  <c r="P159" s="1"/>
  <c r="AE159"/>
  <c r="AD159" s="1"/>
  <c r="AF159"/>
  <c r="AG159"/>
  <c r="CU159" s="1"/>
  <c r="T159" s="1"/>
  <c r="AH159"/>
  <c r="AI159"/>
  <c r="AJ159"/>
  <c r="CS159"/>
  <c r="R159" s="1"/>
  <c r="CT159"/>
  <c r="S159" s="1"/>
  <c r="CV159"/>
  <c r="U159" s="1"/>
  <c r="CW159"/>
  <c r="V159" s="1"/>
  <c r="CX159"/>
  <c r="W159" s="1"/>
  <c r="FR159"/>
  <c r="GL159"/>
  <c r="GO159"/>
  <c r="GP159"/>
  <c r="GV159"/>
  <c r="HC159"/>
  <c r="GX159" s="1"/>
  <c r="C160"/>
  <c r="D160"/>
  <c r="I160"/>
  <c r="AC160"/>
  <c r="AB160" s="1"/>
  <c r="AD160"/>
  <c r="CR160" s="1"/>
  <c r="Q160" s="1"/>
  <c r="AE160"/>
  <c r="AF160"/>
  <c r="AG160"/>
  <c r="AH160"/>
  <c r="CV160" s="1"/>
  <c r="U160" s="1"/>
  <c r="AI160"/>
  <c r="AJ160"/>
  <c r="CQ160"/>
  <c r="P160" s="1"/>
  <c r="CP160" s="1"/>
  <c r="O160" s="1"/>
  <c r="CS160"/>
  <c r="R160" s="1"/>
  <c r="CT160"/>
  <c r="S160" s="1"/>
  <c r="CU160"/>
  <c r="T160" s="1"/>
  <c r="CW160"/>
  <c r="V160" s="1"/>
  <c r="CX160"/>
  <c r="W160" s="1"/>
  <c r="FR160"/>
  <c r="GL160"/>
  <c r="GN160"/>
  <c r="GP160"/>
  <c r="GV160"/>
  <c r="HC160" s="1"/>
  <c r="GX160" s="1"/>
  <c r="B162"/>
  <c r="B152" s="1"/>
  <c r="C162"/>
  <c r="C152" s="1"/>
  <c r="D162"/>
  <c r="D152" s="1"/>
  <c r="F162"/>
  <c r="F152" s="1"/>
  <c r="G162"/>
  <c r="G152" s="1"/>
  <c r="BX162"/>
  <c r="AO162" s="1"/>
  <c r="BY162"/>
  <c r="AP162" s="1"/>
  <c r="BZ162"/>
  <c r="AQ162" s="1"/>
  <c r="CD162"/>
  <c r="AU162" s="1"/>
  <c r="CG162"/>
  <c r="AX162" s="1"/>
  <c r="CK162"/>
  <c r="BB162" s="1"/>
  <c r="CL162"/>
  <c r="BC162" s="1"/>
  <c r="CM162"/>
  <c r="CM152" s="1"/>
  <c r="B192"/>
  <c r="B60" s="1"/>
  <c r="C192"/>
  <c r="C60" s="1"/>
  <c r="D192"/>
  <c r="D60" s="1"/>
  <c r="F192"/>
  <c r="F60" s="1"/>
  <c r="G192"/>
  <c r="G60" s="1"/>
  <c r="BX192"/>
  <c r="BX60" s="1"/>
  <c r="BY192"/>
  <c r="BY60" s="1"/>
  <c r="BZ192"/>
  <c r="BZ60" s="1"/>
  <c r="CD192"/>
  <c r="CD60" s="1"/>
  <c r="CI192"/>
  <c r="CI60" s="1"/>
  <c r="CK192"/>
  <c r="CK60" s="1"/>
  <c r="CL192"/>
  <c r="CL60" s="1"/>
  <c r="CM192"/>
  <c r="CM60" s="1"/>
  <c r="B222"/>
  <c r="B22" s="1"/>
  <c r="C222"/>
  <c r="C22" s="1"/>
  <c r="D222"/>
  <c r="D22" s="1"/>
  <c r="F222"/>
  <c r="F22" s="1"/>
  <c r="G222"/>
  <c r="G22" s="1"/>
  <c r="B252"/>
  <c r="B18" s="1"/>
  <c r="C252"/>
  <c r="C18" s="1"/>
  <c r="D252"/>
  <c r="D18" s="1"/>
  <c r="F252"/>
  <c r="F18" s="1"/>
  <c r="G252"/>
  <c r="G18" s="1"/>
  <c r="H99" i="5" l="1"/>
  <c r="J102"/>
  <c r="P102" s="1"/>
  <c r="K68"/>
  <c r="H98"/>
  <c r="J72"/>
  <c r="P72" s="1"/>
  <c r="K157"/>
  <c r="K69"/>
  <c r="G72"/>
  <c r="O72" s="1"/>
  <c r="H183"/>
  <c r="G188" s="1"/>
  <c r="O188" s="1"/>
  <c r="G198"/>
  <c r="O198" s="1"/>
  <c r="G208"/>
  <c r="O208" s="1"/>
  <c r="H157"/>
  <c r="J61"/>
  <c r="P61" s="1"/>
  <c r="J160"/>
  <c r="P160" s="1"/>
  <c r="J198"/>
  <c r="P198" s="1"/>
  <c r="G124"/>
  <c r="O124" s="1"/>
  <c r="W124"/>
  <c r="G82"/>
  <c r="O82" s="1"/>
  <c r="J91"/>
  <c r="P91" s="1"/>
  <c r="G114"/>
  <c r="O114" s="1"/>
  <c r="X149"/>
  <c r="G176"/>
  <c r="O176" s="1"/>
  <c r="J176"/>
  <c r="P176" s="1"/>
  <c r="J208"/>
  <c r="P208" s="1"/>
  <c r="G102"/>
  <c r="O102" s="1"/>
  <c r="J132"/>
  <c r="P132" s="1"/>
  <c r="G149"/>
  <c r="O149" s="1"/>
  <c r="J188"/>
  <c r="P188" s="1"/>
  <c r="G61"/>
  <c r="O61" s="1"/>
  <c r="L222"/>
  <c r="J82"/>
  <c r="P82" s="1"/>
  <c r="G91"/>
  <c r="O91" s="1"/>
  <c r="J124"/>
  <c r="P124" s="1"/>
  <c r="J134" s="1"/>
  <c r="J149"/>
  <c r="P149" s="1"/>
  <c r="J162" s="1"/>
  <c r="G160"/>
  <c r="O160" s="1"/>
  <c r="R85"/>
  <c r="R107"/>
  <c r="W114"/>
  <c r="W176"/>
  <c r="R191"/>
  <c r="W198"/>
  <c r="X208"/>
  <c r="L214"/>
  <c r="L218"/>
  <c r="R64"/>
  <c r="R75"/>
  <c r="W82"/>
  <c r="R94"/>
  <c r="X102"/>
  <c r="G28" s="1"/>
  <c r="W132"/>
  <c r="G132"/>
  <c r="O132" s="1"/>
  <c r="W188"/>
  <c r="W61"/>
  <c r="W72"/>
  <c r="W91"/>
  <c r="W160"/>
  <c r="AX152" i="1"/>
  <c r="F169"/>
  <c r="AB159"/>
  <c r="CR159"/>
  <c r="Q159" s="1"/>
  <c r="AC162"/>
  <c r="CP154"/>
  <c r="O154" s="1"/>
  <c r="CJ113"/>
  <c r="BA120"/>
  <c r="CP156"/>
  <c r="O156" s="1"/>
  <c r="AI162"/>
  <c r="AH120"/>
  <c r="AD120"/>
  <c r="F166"/>
  <c r="AO152"/>
  <c r="BB152"/>
  <c r="F175"/>
  <c r="AP152"/>
  <c r="F171"/>
  <c r="CY158"/>
  <c r="X158" s="1"/>
  <c r="CZ158"/>
  <c r="Y158" s="1"/>
  <c r="AB157"/>
  <c r="CR157"/>
  <c r="Q157" s="1"/>
  <c r="CP157" s="1"/>
  <c r="O157" s="1"/>
  <c r="CZ117"/>
  <c r="Y117" s="1"/>
  <c r="CY117"/>
  <c r="X117" s="1"/>
  <c r="AJ162"/>
  <c r="AE162"/>
  <c r="AH162"/>
  <c r="AD162"/>
  <c r="AI120"/>
  <c r="CY160"/>
  <c r="X160" s="1"/>
  <c r="GO160" s="1"/>
  <c r="CC162" s="1"/>
  <c r="CZ160"/>
  <c r="Y160" s="1"/>
  <c r="CZ157"/>
  <c r="Y157" s="1"/>
  <c r="CY157"/>
  <c r="X157" s="1"/>
  <c r="CY156"/>
  <c r="X156" s="1"/>
  <c r="CZ156"/>
  <c r="Y156" s="1"/>
  <c r="CY154"/>
  <c r="X154" s="1"/>
  <c r="AF162"/>
  <c r="CZ154"/>
  <c r="Y154" s="1"/>
  <c r="AE113"/>
  <c r="R120"/>
  <c r="CZ116"/>
  <c r="Y116" s="1"/>
  <c r="CY116"/>
  <c r="X116" s="1"/>
  <c r="AF120"/>
  <c r="CJ162"/>
  <c r="AG120"/>
  <c r="AJ120"/>
  <c r="BC152"/>
  <c r="F178"/>
  <c r="AQ152"/>
  <c r="F172"/>
  <c r="AU152"/>
  <c r="F181"/>
  <c r="CZ159"/>
  <c r="Y159" s="1"/>
  <c r="CY159"/>
  <c r="X159" s="1"/>
  <c r="CZ155"/>
  <c r="Y155" s="1"/>
  <c r="CY155"/>
  <c r="X155" s="1"/>
  <c r="GM155" s="1"/>
  <c r="CY118"/>
  <c r="X118" s="1"/>
  <c r="CZ118"/>
  <c r="Y118" s="1"/>
  <c r="GN118" s="1"/>
  <c r="AC120"/>
  <c r="CP117"/>
  <c r="O117" s="1"/>
  <c r="CP159"/>
  <c r="O159" s="1"/>
  <c r="CP158"/>
  <c r="O158" s="1"/>
  <c r="AG162"/>
  <c r="CX120" i="3"/>
  <c r="CX124"/>
  <c r="CX117"/>
  <c r="CX121"/>
  <c r="CX125"/>
  <c r="CX118"/>
  <c r="CX122"/>
  <c r="CX119"/>
  <c r="CX123"/>
  <c r="CZ76" i="1"/>
  <c r="Y76" s="1"/>
  <c r="CY76"/>
  <c r="X76" s="1"/>
  <c r="CR70"/>
  <c r="Q70" s="1"/>
  <c r="AB70"/>
  <c r="AB67"/>
  <c r="CR67"/>
  <c r="Q67" s="1"/>
  <c r="CZ62"/>
  <c r="Y62" s="1"/>
  <c r="CY62"/>
  <c r="X62" s="1"/>
  <c r="CG192"/>
  <c r="CG60" s="1"/>
  <c r="CI162"/>
  <c r="BD162"/>
  <c r="BX152"/>
  <c r="CI120"/>
  <c r="BD120"/>
  <c r="AB116"/>
  <c r="CP115"/>
  <c r="O115" s="1"/>
  <c r="CX136" i="3"/>
  <c r="CX140"/>
  <c r="CX133"/>
  <c r="CX137"/>
  <c r="CX141"/>
  <c r="CX134"/>
  <c r="CX138"/>
  <c r="CX142"/>
  <c r="CX135"/>
  <c r="CX139"/>
  <c r="CX128"/>
  <c r="CX132"/>
  <c r="CX129"/>
  <c r="CX126"/>
  <c r="CX130"/>
  <c r="CX127"/>
  <c r="CX131"/>
  <c r="CX100"/>
  <c r="CX104"/>
  <c r="CX108"/>
  <c r="CX112"/>
  <c r="CX116"/>
  <c r="CX101"/>
  <c r="CX105"/>
  <c r="CX109"/>
  <c r="CX113"/>
  <c r="CX102"/>
  <c r="CX106"/>
  <c r="CX110"/>
  <c r="CX114"/>
  <c r="CX99"/>
  <c r="CX103"/>
  <c r="CX107"/>
  <c r="CX111"/>
  <c r="CX115"/>
  <c r="CZ70" i="1"/>
  <c r="Y70" s="1"/>
  <c r="CY70"/>
  <c r="X70" s="1"/>
  <c r="CZ69"/>
  <c r="Y69" s="1"/>
  <c r="CY69"/>
  <c r="X69" s="1"/>
  <c r="AB65"/>
  <c r="CR65"/>
  <c r="CR64"/>
  <c r="Q64" s="1"/>
  <c r="CP64" s="1"/>
  <c r="O64" s="1"/>
  <c r="AB64"/>
  <c r="CK152"/>
  <c r="CG152"/>
  <c r="BY152"/>
  <c r="AO120"/>
  <c r="AB118"/>
  <c r="AB117"/>
  <c r="CP116"/>
  <c r="O116" s="1"/>
  <c r="CP68"/>
  <c r="O68" s="1"/>
  <c r="CY115"/>
  <c r="X115" s="1"/>
  <c r="AK120" s="1"/>
  <c r="CZ115"/>
  <c r="Y115" s="1"/>
  <c r="AL120" s="1"/>
  <c r="CY77"/>
  <c r="X77" s="1"/>
  <c r="CZ77"/>
  <c r="Y77" s="1"/>
  <c r="CR68"/>
  <c r="Q68" s="1"/>
  <c r="AB68"/>
  <c r="CZ64"/>
  <c r="Y64" s="1"/>
  <c r="CY64"/>
  <c r="X64" s="1"/>
  <c r="CL152"/>
  <c r="CD152"/>
  <c r="BZ152"/>
  <c r="BB120"/>
  <c r="AX120"/>
  <c r="AP120"/>
  <c r="CP67"/>
  <c r="O67" s="1"/>
  <c r="CY79"/>
  <c r="X79" s="1"/>
  <c r="CZ79"/>
  <c r="Y79" s="1"/>
  <c r="CP76"/>
  <c r="O76" s="1"/>
  <c r="CZ68"/>
  <c r="Y68" s="1"/>
  <c r="CY68"/>
  <c r="X68" s="1"/>
  <c r="AB63"/>
  <c r="CR63"/>
  <c r="CR62"/>
  <c r="Q62" s="1"/>
  <c r="AB62"/>
  <c r="BC120"/>
  <c r="AU120"/>
  <c r="AQ120"/>
  <c r="CP70"/>
  <c r="O70" s="1"/>
  <c r="P66"/>
  <c r="P65"/>
  <c r="CI81"/>
  <c r="BD81"/>
  <c r="CR79"/>
  <c r="Q79" s="1"/>
  <c r="CP79" s="1"/>
  <c r="O79" s="1"/>
  <c r="CQ78"/>
  <c r="CR77"/>
  <c r="Q77" s="1"/>
  <c r="W26"/>
  <c r="CX95" i="3"/>
  <c r="CX91"/>
  <c r="CX87"/>
  <c r="CX83"/>
  <c r="CX79"/>
  <c r="CX75"/>
  <c r="CX71"/>
  <c r="CX67"/>
  <c r="CX63"/>
  <c r="CX59"/>
  <c r="CX55"/>
  <c r="CX51"/>
  <c r="CX47"/>
  <c r="CX43"/>
  <c r="CX39"/>
  <c r="CX35"/>
  <c r="CX31"/>
  <c r="CX27"/>
  <c r="CX23"/>
  <c r="CX19"/>
  <c r="CX15"/>
  <c r="CX11"/>
  <c r="CX7"/>
  <c r="CX3"/>
  <c r="AO81" i="1"/>
  <c r="CQ69"/>
  <c r="P69" s="1"/>
  <c r="CP69" s="1"/>
  <c r="O69" s="1"/>
  <c r="CS67"/>
  <c r="R67" s="1"/>
  <c r="CZ67" s="1"/>
  <c r="Y67" s="1"/>
  <c r="CS65"/>
  <c r="R65" s="1"/>
  <c r="I65"/>
  <c r="GX65" s="1"/>
  <c r="CS63"/>
  <c r="I63"/>
  <c r="GX63" s="1"/>
  <c r="F55"/>
  <c r="F51"/>
  <c r="F39"/>
  <c r="AR26"/>
  <c r="CX98" i="3"/>
  <c r="CX94"/>
  <c r="CX90"/>
  <c r="CX86"/>
  <c r="CX82"/>
  <c r="CX78"/>
  <c r="CX74"/>
  <c r="CX70"/>
  <c r="CX66"/>
  <c r="CX62"/>
  <c r="CX58"/>
  <c r="CX54"/>
  <c r="CX50"/>
  <c r="CX46"/>
  <c r="CX42"/>
  <c r="CX38"/>
  <c r="CX34"/>
  <c r="CX30"/>
  <c r="CX26"/>
  <c r="CX22"/>
  <c r="CX18"/>
  <c r="CX14"/>
  <c r="CX10"/>
  <c r="CX6"/>
  <c r="CX2"/>
  <c r="BB81" i="1"/>
  <c r="AX81"/>
  <c r="AT81"/>
  <c r="AP81"/>
  <c r="I78"/>
  <c r="R78" s="1"/>
  <c r="AE81" s="1"/>
  <c r="I66"/>
  <c r="U66" s="1"/>
  <c r="F48"/>
  <c r="F40"/>
  <c r="F32"/>
  <c r="CX97" i="3"/>
  <c r="CX93"/>
  <c r="CX89"/>
  <c r="CX85"/>
  <c r="CX81"/>
  <c r="CX77"/>
  <c r="CX73"/>
  <c r="CX69"/>
  <c r="CX65"/>
  <c r="CX61"/>
  <c r="CX57"/>
  <c r="CX53"/>
  <c r="CX49"/>
  <c r="CX45"/>
  <c r="CX41"/>
  <c r="CX37"/>
  <c r="CX33"/>
  <c r="CX29"/>
  <c r="CX25"/>
  <c r="CX21"/>
  <c r="CX17"/>
  <c r="CX13"/>
  <c r="CX9"/>
  <c r="CX5"/>
  <c r="CX1"/>
  <c r="BC81" i="1"/>
  <c r="AU81"/>
  <c r="AQ81"/>
  <c r="CX96" i="3"/>
  <c r="CX88"/>
  <c r="CX84"/>
  <c r="CX72"/>
  <c r="CX68"/>
  <c r="CX60"/>
  <c r="CX56"/>
  <c r="CX48"/>
  <c r="CX40"/>
  <c r="CX32"/>
  <c r="CX28"/>
  <c r="CX24"/>
  <c r="CX16"/>
  <c r="CX8"/>
  <c r="G27" i="5" l="1"/>
  <c r="G32"/>
  <c r="J222"/>
  <c r="J218"/>
  <c r="J214"/>
  <c r="J210"/>
  <c r="G26"/>
  <c r="G222"/>
  <c r="G218"/>
  <c r="G214"/>
  <c r="G134"/>
  <c r="G162"/>
  <c r="G210"/>
  <c r="R81" i="1"/>
  <c r="AE74"/>
  <c r="AT162"/>
  <c r="CC152"/>
  <c r="GN157"/>
  <c r="GM157"/>
  <c r="GN64"/>
  <c r="GM64"/>
  <c r="GM79"/>
  <c r="GN79"/>
  <c r="AD81"/>
  <c r="F97"/>
  <c r="BC74"/>
  <c r="BC192"/>
  <c r="AT74"/>
  <c r="F99"/>
  <c r="CI74"/>
  <c r="AZ81"/>
  <c r="AQ113"/>
  <c r="F130"/>
  <c r="AX113"/>
  <c r="F127"/>
  <c r="AK113"/>
  <c r="X120"/>
  <c r="CI113"/>
  <c r="AZ120"/>
  <c r="GM158"/>
  <c r="GN158"/>
  <c r="AJ113"/>
  <c r="W120"/>
  <c r="R113"/>
  <c r="F134"/>
  <c r="AE152"/>
  <c r="R162"/>
  <c r="AI152"/>
  <c r="V162"/>
  <c r="CP77"/>
  <c r="O77" s="1"/>
  <c r="W65"/>
  <c r="R66"/>
  <c r="Q65"/>
  <c r="CP65" s="1"/>
  <c r="O65" s="1"/>
  <c r="W63"/>
  <c r="Q66"/>
  <c r="CP66" s="1"/>
  <c r="O66" s="1"/>
  <c r="AK162"/>
  <c r="BD74"/>
  <c r="F106"/>
  <c r="BD192"/>
  <c r="GM67"/>
  <c r="AP113"/>
  <c r="F129"/>
  <c r="AL113"/>
  <c r="Y120"/>
  <c r="GN68"/>
  <c r="GM68"/>
  <c r="GM116"/>
  <c r="GO116"/>
  <c r="BD113"/>
  <c r="F145"/>
  <c r="CI152"/>
  <c r="AZ162"/>
  <c r="AG152"/>
  <c r="T162"/>
  <c r="AC113"/>
  <c r="CH120"/>
  <c r="CF120"/>
  <c r="P120"/>
  <c r="CE120"/>
  <c r="AF113"/>
  <c r="S120"/>
  <c r="S162"/>
  <c r="AF152"/>
  <c r="AH152"/>
  <c r="U162"/>
  <c r="AH113"/>
  <c r="U120"/>
  <c r="BA113"/>
  <c r="F140"/>
  <c r="W78"/>
  <c r="AJ81" s="1"/>
  <c r="S65"/>
  <c r="U65"/>
  <c r="CY67"/>
  <c r="X67" s="1"/>
  <c r="GN67" s="1"/>
  <c r="S63"/>
  <c r="T65"/>
  <c r="GX78"/>
  <c r="CJ81" s="1"/>
  <c r="GM118"/>
  <c r="F100"/>
  <c r="AU74"/>
  <c r="AU192"/>
  <c r="AP74"/>
  <c r="F90"/>
  <c r="AP192"/>
  <c r="F85"/>
  <c r="AO74"/>
  <c r="AO192"/>
  <c r="GM70"/>
  <c r="GO70"/>
  <c r="BC113"/>
  <c r="F136"/>
  <c r="GN76"/>
  <c r="GM76"/>
  <c r="AO113"/>
  <c r="F124"/>
  <c r="BD152"/>
  <c r="F187"/>
  <c r="GN117"/>
  <c r="CB120" s="1"/>
  <c r="GM117"/>
  <c r="BA162"/>
  <c r="CJ152"/>
  <c r="AD152"/>
  <c r="Q162"/>
  <c r="AD113"/>
  <c r="Q120"/>
  <c r="CH162"/>
  <c r="AC152"/>
  <c r="CF162"/>
  <c r="P162"/>
  <c r="CE162"/>
  <c r="U63"/>
  <c r="AH192" s="1"/>
  <c r="AH60" s="1"/>
  <c r="U78"/>
  <c r="AH81" s="1"/>
  <c r="T63"/>
  <c r="AG192" s="1"/>
  <c r="AG60" s="1"/>
  <c r="W66"/>
  <c r="S78"/>
  <c r="V65"/>
  <c r="T66"/>
  <c r="S66"/>
  <c r="V78"/>
  <c r="AI81" s="1"/>
  <c r="AL162"/>
  <c r="GN155"/>
  <c r="GM160"/>
  <c r="F91"/>
  <c r="AQ74"/>
  <c r="AQ192"/>
  <c r="BB74"/>
  <c r="F94"/>
  <c r="BB192"/>
  <c r="AX74"/>
  <c r="F88"/>
  <c r="AX192"/>
  <c r="GO69"/>
  <c r="CC192" s="1"/>
  <c r="CC60" s="1"/>
  <c r="GM69"/>
  <c r="AU113"/>
  <c r="F139"/>
  <c r="BB113"/>
  <c r="F133"/>
  <c r="GM115"/>
  <c r="GO115"/>
  <c r="CC120" s="1"/>
  <c r="AB120"/>
  <c r="GN159"/>
  <c r="GM159"/>
  <c r="AG113"/>
  <c r="T120"/>
  <c r="AI113"/>
  <c r="V120"/>
  <c r="W162"/>
  <c r="AJ152"/>
  <c r="GM156"/>
  <c r="GN156"/>
  <c r="GM154"/>
  <c r="AB162"/>
  <c r="GN154"/>
  <c r="R63"/>
  <c r="AE192" s="1"/>
  <c r="AE60" s="1"/>
  <c r="P78"/>
  <c r="V63"/>
  <c r="AI192" s="1"/>
  <c r="AI60" s="1"/>
  <c r="GX66"/>
  <c r="CJ192" s="1"/>
  <c r="CJ60" s="1"/>
  <c r="Q78"/>
  <c r="Q63"/>
  <c r="AD192" s="1"/>
  <c r="AD60" s="1"/>
  <c r="CP62"/>
  <c r="O62" s="1"/>
  <c r="T78"/>
  <c r="AG81" s="1"/>
  <c r="P63"/>
  <c r="V66"/>
  <c r="O162" l="1"/>
  <c r="AB152"/>
  <c r="AB113"/>
  <c r="O120"/>
  <c r="AL152"/>
  <c r="Y162"/>
  <c r="F165"/>
  <c r="P152"/>
  <c r="CY63"/>
  <c r="X63" s="1"/>
  <c r="CZ63"/>
  <c r="Y63" s="1"/>
  <c r="AF192"/>
  <c r="AF60" s="1"/>
  <c r="AK152"/>
  <c r="X162"/>
  <c r="GM77"/>
  <c r="GN77"/>
  <c r="R152"/>
  <c r="F176"/>
  <c r="W113"/>
  <c r="F144"/>
  <c r="AZ113"/>
  <c r="F131"/>
  <c r="F92"/>
  <c r="AZ74"/>
  <c r="AZ192"/>
  <c r="AG74"/>
  <c r="T81"/>
  <c r="AQ60"/>
  <c r="F202"/>
  <c r="AQ222"/>
  <c r="CZ66"/>
  <c r="Y66" s="1"/>
  <c r="CY66"/>
  <c r="X66" s="1"/>
  <c r="GM66" s="1"/>
  <c r="CE152"/>
  <c r="AV162"/>
  <c r="AY162"/>
  <c r="CH152"/>
  <c r="CB113"/>
  <c r="AS120"/>
  <c r="AO60"/>
  <c r="AO222"/>
  <c r="F196"/>
  <c r="CY65"/>
  <c r="X65" s="1"/>
  <c r="GM65" s="1"/>
  <c r="CZ65"/>
  <c r="Y65" s="1"/>
  <c r="CH113"/>
  <c r="AY120"/>
  <c r="F173"/>
  <c r="AZ152"/>
  <c r="Y113"/>
  <c r="F147"/>
  <c r="R74"/>
  <c r="F95"/>
  <c r="R192"/>
  <c r="CB162"/>
  <c r="AJ192"/>
  <c r="AJ60" s="1"/>
  <c r="T113"/>
  <c r="F141"/>
  <c r="V113"/>
  <c r="F143"/>
  <c r="V81"/>
  <c r="AI74"/>
  <c r="CZ78"/>
  <c r="Y78" s="1"/>
  <c r="AL81" s="1"/>
  <c r="CY78"/>
  <c r="X78" s="1"/>
  <c r="AK81" s="1"/>
  <c r="AF81"/>
  <c r="F174"/>
  <c r="Q152"/>
  <c r="AP60"/>
  <c r="AP222"/>
  <c r="F201"/>
  <c r="CJ74"/>
  <c r="BA81"/>
  <c r="U152"/>
  <c r="F184"/>
  <c r="S113"/>
  <c r="F135"/>
  <c r="CF113"/>
  <c r="AW120"/>
  <c r="V152"/>
  <c r="F185"/>
  <c r="X113"/>
  <c r="F146"/>
  <c r="AB81"/>
  <c r="GN62"/>
  <c r="GM62"/>
  <c r="BB60"/>
  <c r="BB222"/>
  <c r="F205"/>
  <c r="Q113"/>
  <c r="F132"/>
  <c r="W81"/>
  <c r="AJ74"/>
  <c r="U113"/>
  <c r="F142"/>
  <c r="CE113"/>
  <c r="AV120"/>
  <c r="CP63"/>
  <c r="O63" s="1"/>
  <c r="AC192"/>
  <c r="CP78"/>
  <c r="O78" s="1"/>
  <c r="AC81"/>
  <c r="W152"/>
  <c r="F186"/>
  <c r="CC113"/>
  <c r="AT120"/>
  <c r="AX60"/>
  <c r="AX222"/>
  <c r="F199"/>
  <c r="AH74"/>
  <c r="U81"/>
  <c r="AW162"/>
  <c r="CF152"/>
  <c r="F182"/>
  <c r="BA152"/>
  <c r="AU60"/>
  <c r="F211"/>
  <c r="AU222"/>
  <c r="S152"/>
  <c r="F177"/>
  <c r="P113"/>
  <c r="F123"/>
  <c r="T152"/>
  <c r="F183"/>
  <c r="BD60"/>
  <c r="F217"/>
  <c r="BD222"/>
  <c r="BC60"/>
  <c r="F208"/>
  <c r="BC222"/>
  <c r="AT152"/>
  <c r="F180"/>
  <c r="CA120"/>
  <c r="CA162"/>
  <c r="AD74"/>
  <c r="Q81"/>
  <c r="CA81" l="1"/>
  <c r="AX22"/>
  <c r="F229"/>
  <c r="AX252"/>
  <c r="AS162"/>
  <c r="CB152"/>
  <c r="AV152"/>
  <c r="F167"/>
  <c r="AQ22"/>
  <c r="F232"/>
  <c r="AQ252"/>
  <c r="F188"/>
  <c r="X152"/>
  <c r="CA113"/>
  <c r="AR120"/>
  <c r="GN78"/>
  <c r="CB81" s="1"/>
  <c r="GM78"/>
  <c r="F105"/>
  <c r="W74"/>
  <c r="W192"/>
  <c r="BB22"/>
  <c r="BB252"/>
  <c r="F235"/>
  <c r="F101"/>
  <c r="BA74"/>
  <c r="BA192"/>
  <c r="AK74"/>
  <c r="X81"/>
  <c r="AY152"/>
  <c r="F170"/>
  <c r="T74"/>
  <c r="F102"/>
  <c r="T192"/>
  <c r="F189"/>
  <c r="Y152"/>
  <c r="AL192"/>
  <c r="AL60" s="1"/>
  <c r="GN65"/>
  <c r="AW152"/>
  <c r="F168"/>
  <c r="AL74"/>
  <c r="Y81"/>
  <c r="CA152"/>
  <c r="AR162"/>
  <c r="AT113"/>
  <c r="F138"/>
  <c r="AT192"/>
  <c r="AP22"/>
  <c r="AP252"/>
  <c r="F231"/>
  <c r="G16" i="2" s="1"/>
  <c r="G18" s="1"/>
  <c r="S81" i="1"/>
  <c r="AF74"/>
  <c r="V74"/>
  <c r="F104"/>
  <c r="V192"/>
  <c r="R60"/>
  <c r="F206"/>
  <c r="R222"/>
  <c r="AO22"/>
  <c r="AO252"/>
  <c r="F226"/>
  <c r="GN66"/>
  <c r="AC60"/>
  <c r="CF192"/>
  <c r="CF60" s="1"/>
  <c r="CE192"/>
  <c r="CE60" s="1"/>
  <c r="CH192"/>
  <c r="CH60" s="1"/>
  <c r="O81"/>
  <c r="AB74"/>
  <c r="AS113"/>
  <c r="F137"/>
  <c r="O152"/>
  <c r="F164"/>
  <c r="F93"/>
  <c r="Q74"/>
  <c r="Q192"/>
  <c r="BC22"/>
  <c r="F238"/>
  <c r="BC252"/>
  <c r="AU22"/>
  <c r="F241"/>
  <c r="AU252"/>
  <c r="CH81"/>
  <c r="AC74"/>
  <c r="CF81"/>
  <c r="P81"/>
  <c r="CE81"/>
  <c r="AV113"/>
  <c r="F125"/>
  <c r="BD22"/>
  <c r="F247"/>
  <c r="BD252"/>
  <c r="U74"/>
  <c r="F103"/>
  <c r="U192"/>
  <c r="GM63"/>
  <c r="CA192" s="1"/>
  <c r="CA60" s="1"/>
  <c r="GN63"/>
  <c r="CB192" s="1"/>
  <c r="CB60" s="1"/>
  <c r="AW113"/>
  <c r="F126"/>
  <c r="AY113"/>
  <c r="F128"/>
  <c r="AZ60"/>
  <c r="AZ222"/>
  <c r="F203"/>
  <c r="O113"/>
  <c r="F122"/>
  <c r="AK192"/>
  <c r="AK60" s="1"/>
  <c r="AB192"/>
  <c r="AB60" s="1"/>
  <c r="CA74" l="1"/>
  <c r="AR81"/>
  <c r="R22"/>
  <c r="F236"/>
  <c r="R252"/>
  <c r="Y74"/>
  <c r="F108"/>
  <c r="Y192"/>
  <c r="BA60"/>
  <c r="BA222"/>
  <c r="F212"/>
  <c r="BB18"/>
  <c r="F265"/>
  <c r="CF74"/>
  <c r="AW81"/>
  <c r="T60"/>
  <c r="F213"/>
  <c r="T222"/>
  <c r="AS152"/>
  <c r="F179"/>
  <c r="F84"/>
  <c r="P74"/>
  <c r="P192"/>
  <c r="AU18"/>
  <c r="F271"/>
  <c r="AZ22"/>
  <c r="F233"/>
  <c r="AZ252"/>
  <c r="U60"/>
  <c r="F214"/>
  <c r="U222"/>
  <c r="CE74"/>
  <c r="AV81"/>
  <c r="CH74"/>
  <c r="AY81"/>
  <c r="BC18"/>
  <c r="F268"/>
  <c r="V60"/>
  <c r="V222"/>
  <c r="F215"/>
  <c r="F96"/>
  <c r="S74"/>
  <c r="S192"/>
  <c r="AT60"/>
  <c r="F210"/>
  <c r="AT222"/>
  <c r="AR113"/>
  <c r="F148"/>
  <c r="AQ18"/>
  <c r="F262"/>
  <c r="AP18"/>
  <c r="F261"/>
  <c r="I29" i="5" s="1"/>
  <c r="BD18" i="1"/>
  <c r="F277"/>
  <c r="Q60"/>
  <c r="F204"/>
  <c r="Q222"/>
  <c r="F83"/>
  <c r="O74"/>
  <c r="O192"/>
  <c r="AO18"/>
  <c r="F256"/>
  <c r="F190"/>
  <c r="AR152"/>
  <c r="X74"/>
  <c r="F107"/>
  <c r="X192"/>
  <c r="W60"/>
  <c r="W222"/>
  <c r="F216"/>
  <c r="CB74"/>
  <c r="AS81"/>
  <c r="AX18"/>
  <c r="F259"/>
  <c r="AS74" l="1"/>
  <c r="F98"/>
  <c r="AS192"/>
  <c r="O60"/>
  <c r="F194"/>
  <c r="O222"/>
  <c r="AZ18"/>
  <c r="F263"/>
  <c r="R18"/>
  <c r="F266"/>
  <c r="W22"/>
  <c r="W252"/>
  <c r="F246"/>
  <c r="Q22"/>
  <c r="F234"/>
  <c r="Q252"/>
  <c r="AV74"/>
  <c r="F86"/>
  <c r="AV192"/>
  <c r="BA22"/>
  <c r="BA252"/>
  <c r="F242"/>
  <c r="H16" i="2" s="1"/>
  <c r="H18" s="1"/>
  <c r="F109" i="1"/>
  <c r="AR74"/>
  <c r="AR192"/>
  <c r="AT22"/>
  <c r="F240"/>
  <c r="F16" i="2" s="1"/>
  <c r="F18" s="1"/>
  <c r="AT252" i="1"/>
  <c r="T22"/>
  <c r="T252"/>
  <c r="F243"/>
  <c r="X60"/>
  <c r="F218"/>
  <c r="X222"/>
  <c r="S60"/>
  <c r="S222"/>
  <c r="F207"/>
  <c r="V22"/>
  <c r="F245"/>
  <c r="V252"/>
  <c r="F89"/>
  <c r="AY74"/>
  <c r="AY192"/>
  <c r="U22"/>
  <c r="F244"/>
  <c r="U252"/>
  <c r="P60"/>
  <c r="F195"/>
  <c r="P222"/>
  <c r="AW74"/>
  <c r="F87"/>
  <c r="AW192"/>
  <c r="Y60"/>
  <c r="Y222"/>
  <c r="F219"/>
  <c r="X22" l="1"/>
  <c r="X252"/>
  <c r="F248"/>
  <c r="T18"/>
  <c r="F273"/>
  <c r="AW60"/>
  <c r="F198"/>
  <c r="AW222"/>
  <c r="V18"/>
  <c r="F275"/>
  <c r="S22"/>
  <c r="F237"/>
  <c r="J16" i="2" s="1"/>
  <c r="J18" s="1"/>
  <c r="S252" i="1"/>
  <c r="AT18"/>
  <c r="F270"/>
  <c r="I28" i="5" s="1"/>
  <c r="Q18" i="1"/>
  <c r="F264"/>
  <c r="W18"/>
  <c r="F276"/>
  <c r="P22"/>
  <c r="F225"/>
  <c r="P252"/>
  <c r="AR60"/>
  <c r="F220"/>
  <c r="AR222"/>
  <c r="BA18"/>
  <c r="F272"/>
  <c r="I30" i="5" s="1"/>
  <c r="Y22" i="1"/>
  <c r="F249"/>
  <c r="Y252"/>
  <c r="U18"/>
  <c r="F274"/>
  <c r="O22"/>
  <c r="F224"/>
  <c r="O252"/>
  <c r="AY60"/>
  <c r="F200"/>
  <c r="AY222"/>
  <c r="AV60"/>
  <c r="F197"/>
  <c r="AV222"/>
  <c r="AS60"/>
  <c r="F209"/>
  <c r="AS222"/>
  <c r="I31" i="5" l="1"/>
  <c r="G31" s="1"/>
  <c r="AS22" i="1"/>
  <c r="F239"/>
  <c r="E16" i="2" s="1"/>
  <c r="AS252" i="1"/>
  <c r="AW22"/>
  <c r="F228"/>
  <c r="AW252"/>
  <c r="AV22"/>
  <c r="F227"/>
  <c r="AV252"/>
  <c r="AR22"/>
  <c r="F250"/>
  <c r="AR252"/>
  <c r="S18"/>
  <c r="F267"/>
  <c r="I32" i="5" s="1"/>
  <c r="AY22" i="1"/>
  <c r="AY252"/>
  <c r="F230"/>
  <c r="Y18"/>
  <c r="F279"/>
  <c r="P18"/>
  <c r="F255"/>
  <c r="X18"/>
  <c r="F278"/>
  <c r="O18"/>
  <c r="F254"/>
  <c r="AR18" l="1"/>
  <c r="F280"/>
  <c r="AV18"/>
  <c r="F257"/>
  <c r="AY18"/>
  <c r="F260"/>
  <c r="AW18"/>
  <c r="F258"/>
  <c r="I16" i="2"/>
  <c r="I18" s="1"/>
  <c r="E18"/>
  <c r="AS18" i="1"/>
  <c r="F269"/>
  <c r="I27" i="5" s="1"/>
  <c r="F282" i="1" l="1"/>
  <c r="F281"/>
  <c r="J224" i="5" s="1"/>
  <c r="J225" l="1"/>
  <c r="I26"/>
</calcChain>
</file>

<file path=xl/sharedStrings.xml><?xml version="1.0" encoding="utf-8"?>
<sst xmlns="http://schemas.openxmlformats.org/spreadsheetml/2006/main" count="4056" uniqueCount="547">
  <si>
    <t>Smeta.RU  (495) 974-1589</t>
  </si>
  <si>
    <t>_PS_</t>
  </si>
  <si>
    <t>Smeta.RU</t>
  </si>
  <si>
    <t/>
  </si>
  <si>
    <t>Новый объект</t>
  </si>
  <si>
    <t>Ремонт 16 санузла Верия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</si>
  <si>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</si>
  <si>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</si>
  <si>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</si>
  <si>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</si>
  <si>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</si>
  <si>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</si>
  <si>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</si>
  <si>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Новый раздел</t>
  </si>
  <si>
    <t>Демонтаж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</si>
  <si>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</si>
  <si>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</si>
  <si>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</si>
  <si>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</si>
  <si>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</si>
  <si>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</si>
  <si>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</si>
  <si>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</si>
  <si>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</si>
  <si>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</si>
  <si>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</si>
  <si>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</si>
  <si>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</si>
  <si>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</si>
  <si>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</si>
  <si>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</si>
  <si>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</si>
  <si>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</si>
  <si>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</si>
  <si>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</si>
  <si>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</si>
  <si>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</si>
  <si>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</si>
  <si>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</si>
  <si>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</si>
  <si>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</si>
  <si>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</si>
  <si>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</si>
  <si>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</si>
  <si>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</si>
  <si>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</si>
  <si>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</si>
  <si>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</si>
  <si>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</si>
  <si>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</si>
  <si>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</si>
  <si>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</si>
  <si>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</si>
  <si>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</si>
  <si>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</si>
  <si>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</si>
  <si>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</si>
  <si>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</si>
  <si>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</si>
  <si>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</si>
  <si>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</si>
  <si>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</si>
  <si>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</si>
  <si>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</si>
  <si>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</si>
  <si>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</si>
  <si>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</si>
  <si>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</si>
  <si>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</si>
  <si>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</t>
  </si>
  <si>
    <t>10-01-092-1</t>
  </si>
  <si>
    <t>Антисептическая обработка каменных, бетонных, кирпичных и деревянных поверхностей биопиреном "Нортекс-Дезинфектор"</t>
  </si>
  <si>
    <t>100 м2 обрабатываемой поверхности</t>
  </si>
  <si>
    <t>ТЕР Московской обл., 10-01-092-1, приказ Минстроя России №675/пр от 21.09.2015 г.</t>
  </si>
  <si>
    <t>*1,25</t>
  </si>
  <si>
    <t>*1,15</t>
  </si>
  <si>
    <t>Общестроительные работы</t>
  </si>
  <si>
    <t>Деревянные конструкции</t>
  </si>
  <si>
    <t>ФЕР-10</t>
  </si>
  <si>
    <t>*0,9</t>
  </si>
  <si>
    <t>*0,85</t>
  </si>
  <si>
    <t>1,1</t>
  </si>
  <si>
    <t>113-8067</t>
  </si>
  <si>
    <t>Антисептик «НОРТЕКС-ДЕЗИНФЕКТОР» для бетона</t>
  </si>
  <si>
    <t>кг</t>
  </si>
  <si>
    <t>ТССЦ Московской обл., 113-8067, приказ Минстроя России №675/пр от 21.09.2015 г.</t>
  </si>
  <si>
    <t>2</t>
  </si>
  <si>
    <t>65-8-2</t>
  </si>
  <si>
    <t>Смена трубопроводов из полиэтиленовых канализационных труб диаметром до 100 мм</t>
  </si>
  <si>
    <t>100 м трубопровода с фасонными частями</t>
  </si>
  <si>
    <t>ТЕРр Московской обл., 65-8-2, приказ Минстроя России №675/пр от 21.09.2015 г.</t>
  </si>
  <si>
    <t>Ремонтно-строительные работы</t>
  </si>
  <si>
    <t>Внтуренниие с/техработы: смена труб</t>
  </si>
  <si>
    <t>рФЕР-65</t>
  </si>
  <si>
    <t>2,1</t>
  </si>
  <si>
    <t>301-9240</t>
  </si>
  <si>
    <t>Крепления</t>
  </si>
  <si>
    <t>ТССЦ Московской обл., 301-9240, приказ Минстроя России №675/пр от 21.09.2015 г.</t>
  </si>
  <si>
    <t>2,2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</si>
  <si>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</si>
  <si>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</si>
  <si>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</si>
  <si>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</si>
  <si>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4</t>
  </si>
  <si>
    <t>17-01-005-4</t>
  </si>
  <si>
    <t>Установка раковин</t>
  </si>
  <si>
    <t>10 компл.</t>
  </si>
  <si>
    <t>ТЕР Московской обл., 17-01-005-4, приказ Минстроя России №675/пр от 21.09.2015 г.</t>
  </si>
  <si>
    <t>Водопровод и канализация - внутренние устройства</t>
  </si>
  <si>
    <t>ФЕР-17</t>
  </si>
  <si>
    <t>5</t>
  </si>
  <si>
    <t>17-01-002-3</t>
  </si>
  <si>
    <t>Установка смесителей</t>
  </si>
  <si>
    <t>10 шт.</t>
  </si>
  <si>
    <t>ТЕР Московской обл., 17-01-002-3, приказ Минстроя России №675/пр от 21.09.2015 г.</t>
  </si>
  <si>
    <t>6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</si>
  <si>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</si>
  <si>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</si>
  <si>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</si>
  <si>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</si>
  <si>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</si>
  <si>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</si>
  <si>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</si>
  <si>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6,1</t>
  </si>
  <si>
    <t>509-1829</t>
  </si>
  <si>
    <t>Кабель-канал (короб) "Электропласт" 16x16 мм</t>
  </si>
  <si>
    <t>м</t>
  </si>
  <si>
    <t>ТССЦ Московской обл., 509-1829, приказ Минстроя России №675/пр от 21.09.2015 г.</t>
  </si>
  <si>
    <t>Новый подраздел</t>
  </si>
  <si>
    <t>Пол</t>
  </si>
  <si>
    <t>11-01-006-2</t>
  </si>
  <si>
    <t>Устройство гидроизоляции полимерцементным составом толщиной слоя 30 мм на латексе СКС-65-ГП</t>
  </si>
  <si>
    <t>100 м2 поверхности</t>
  </si>
  <si>
    <t>ТЕР Московской обл., 11-01-006-2, приказ Минстроя России №675/пр от 21.09.2015 г.</t>
  </si>
  <si>
    <t>Полы</t>
  </si>
  <si>
    <t>ФЕР-11</t>
  </si>
  <si>
    <t>11-01-300-1</t>
  </si>
  <si>
    <t>Устройство покрытий из керамогранитных плиток размером 30х30 см</t>
  </si>
  <si>
    <t>100 м2</t>
  </si>
  <si>
    <t>ТСНБ-2001 Московской области, 11-01-300-1, протокол от 24.05.2017 г. № 5</t>
  </si>
  <si>
    <t>=0</t>
  </si>
  <si>
    <t>101-1741</t>
  </si>
  <si>
    <t>Плитки керамические для полов гладкие неглазурованные многоцветные квадратные и прямоугольные</t>
  </si>
  <si>
    <t>м2</t>
  </si>
  <si>
    <t>ТССЦ Московской обл., 101-1741, приказ Минстроя России №675/пр от 21.09.2015 г.</t>
  </si>
  <si>
    <t>3</t>
  </si>
  <si>
    <t>11-01-040-1</t>
  </si>
  <si>
    <t>Устройство плинтусов поливинилхлоридных на клее КН-2</t>
  </si>
  <si>
    <t>100 М ПЛИНТУСА</t>
  </si>
  <si>
    <t>ТЕР Московской обл., 11-01-040-1, приказ Минстроя России №675/пр от 21.09.2015 г.</t>
  </si>
  <si>
    <t>Потолок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</si>
  <si>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</si>
  <si>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</si>
  <si>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</si>
  <si>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ФЕРм-2001, м08-02-413-1, приказ Минстроя России №899/пр от 11.12.2015 г.</t>
  </si>
  <si>
    <t>501-8442</t>
  </si>
  <si>
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</si>
  <si>
    <t>1000 м</t>
  </si>
  <si>
    <t>ТССЦ Московской обл., 501-8442, приказ Минстроя России №675/пр от 21.09.2015 г.</t>
  </si>
  <si>
    <t>1000 М</t>
  </si>
  <si>
    <t>15-01-047-15</t>
  </si>
  <si>
    <t>Устройство подвесных потолков типа &lt;Армстронг&gt; по каркасу из оцинкованного профиля</t>
  </si>
  <si>
    <t>100 м2 поверхности облицовки</t>
  </si>
  <si>
    <t>ТЕР Московской обл., 15-01-047-15, приказ Минстроя России №675/пр от 21.09.2015 г.</t>
  </si>
  <si>
    <t>Отделочные работы</t>
  </si>
  <si>
    <t>ФЕР-15</t>
  </si>
  <si>
    <t>3,1</t>
  </si>
  <si>
    <t>101-2414</t>
  </si>
  <si>
    <t>Панели потолочные с комплектующими «Армстронг»</t>
  </si>
  <si>
    <t>ТССЦ Московской обл., 101-2414, приказ Минстроя России №675/пр от 21.09.2015 г.</t>
  </si>
  <si>
    <t>Стены</t>
  </si>
  <si>
    <t>15-01-050-1</t>
  </si>
  <si>
    <t>Облицовка стен декоративным бумажно-слоистым пластиком или листами из синтетических материалов по деревянной обрешетке</t>
  </si>
  <si>
    <t>100 м2 облицовки</t>
  </si>
  <si>
    <t>ТЕР Московской обл., 15-01-050-1, приказ Минстроя России №675/пр от 21.09.2015 г.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</si>
  <si>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</si>
  <si>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</si>
  <si>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ТЕР Московской обл., 15-01-050-4, приказ Минстроя России №675/пр от 21.09.2015 г.</t>
  </si>
  <si>
    <t>101-9155</t>
  </si>
  <si>
    <t>Листы облицовочные декоративные</t>
  </si>
  <si>
    <t>ТССЦ Московской обл., 101-9155, приказ Минстроя России №675/пр от 21.09.2015 г.</t>
  </si>
  <si>
    <t>101-9732</t>
  </si>
  <si>
    <t>Грунтовка</t>
  </si>
  <si>
    <t>ТССЦ Московской обл., 101-9732, приказ Минстроя России №675/пр от 21.09.2015 г.</t>
  </si>
  <si>
    <t>10-01-035-1</t>
  </si>
  <si>
    <t>Установка подоконных досок из ПВХ в каменных стенах толщиной до 0,51 м</t>
  </si>
  <si>
    <t>100 п. м</t>
  </si>
  <si>
    <t>ТЕР Московской обл., 10-01-035-1, приказ Минстроя России №675/пр от 21.09.2015 г.</t>
  </si>
  <si>
    <t>101-9138</t>
  </si>
  <si>
    <t>Доски подоконные ПВХ</t>
  </si>
  <si>
    <t>ТССЦ Московской обл., 101-9138, приказ Минстроя России №675/пр от 21.09.2015 г.</t>
  </si>
  <si>
    <t>м08-03-591-1</t>
  </si>
  <si>
    <t>Выключатель одноклавишный неутопленного типа при открытой проводке</t>
  </si>
  <si>
    <t>100 шт.</t>
  </si>
  <si>
    <t>ФЕРм-2001, м08-03-591-1, приказ Минстроя России №899/пр от 11.12.2015 г.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</si>
  <si>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</si>
  <si>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</si>
  <si>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</si>
  <si>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</si>
  <si>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</si>
  <si>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</si>
  <si>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</si>
  <si>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</si>
  <si>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</si>
  <si>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</si>
  <si>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</si>
  <si>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</si>
  <si>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</si>
  <si>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</si>
  <si>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</si>
  <si>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</si>
  <si>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</si>
  <si>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</si>
  <si>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</si>
  <si>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</si>
  <si>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</si>
  <si>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</si>
  <si>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</si>
  <si>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</si>
  <si>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</si>
  <si>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</si>
  <si>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</si>
  <si>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</si>
  <si>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</si>
  <si>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</si>
  <si>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</si>
  <si>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</si>
  <si>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</si>
  <si>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</si>
  <si>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</si>
  <si>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</si>
  <si>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</si>
  <si>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</si>
  <si>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</si>
  <si>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</si>
  <si>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</si>
  <si>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</si>
  <si>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</si>
  <si>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</si>
  <si>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</si>
  <si>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</si>
  <si>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</si>
  <si>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</si>
  <si>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</si>
  <si>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</si>
  <si>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</si>
  <si>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</si>
  <si>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</si>
  <si>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</si>
  <si>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</si>
  <si>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</si>
  <si>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</si>
  <si>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</si>
  <si>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</si>
  <si>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</si>
  <si>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</si>
  <si>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</si>
  <si>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</si>
  <si>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</si>
  <si>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</si>
  <si>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</si>
  <si>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</si>
  <si>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</si>
  <si>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</si>
  <si>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</si>
  <si>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</si>
  <si>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1-1029-90</t>
  </si>
  <si>
    <t>Рабочий строитель среднего разряда 2,9</t>
  </si>
  <si>
    <t>чел.-ч</t>
  </si>
  <si>
    <t>Затраты труда машинистов</t>
  </si>
  <si>
    <t>чел.час</t>
  </si>
  <si>
    <t>030952</t>
  </si>
  <si>
    <t>ТСЭМ Московской обл., 030952, приказ Минстроя России №675/пр от 21.09.2015 г.</t>
  </si>
  <si>
    <t>Подъемники грузоподъемностью до 500 кг одномачтовые, высота подъема 25 м</t>
  </si>
  <si>
    <t>маш.-ч</t>
  </si>
  <si>
    <t>340101</t>
  </si>
  <si>
    <t>ТСЭМ Московской обл., 340101, приказ Минстроя России №675/пр от 21.09.2015 г.</t>
  </si>
  <si>
    <t>Агрегаты окрасочные высокого давления для окраски поверхностей конструкций мощностью 1 кВт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</si>
  <si>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</si>
  <si>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</si>
  <si>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</si>
  <si>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101-1757</t>
  </si>
  <si>
    <t>ТССЦ Московской обл., 101-1757, приказ Минстроя России №675/пр от 21.09.2015 г.</t>
  </si>
  <si>
    <t>Ветошь</t>
  </si>
  <si>
    <t>113-8066</t>
  </si>
  <si>
    <t>ТССЦ Московской обл., 113-8066, приказ Минстроя России №675/пр от 21.09.2015 г.</t>
  </si>
  <si>
    <t>Антисептик «НОРТЕКС-ДЕЗИНФЕКТОР» для древесины</t>
  </si>
  <si>
    <t>411-0001</t>
  </si>
  <si>
    <t>ТССЦ Московской обл., 411-0001, приказ Минстроя России №675/пр от 21.09.2015 г.</t>
  </si>
  <si>
    <t>Вода</t>
  </si>
  <si>
    <t>м3</t>
  </si>
  <si>
    <t>1-1042-90</t>
  </si>
  <si>
    <t>Рабочий строитель среднего разряда 4,2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</si>
  <si>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</si>
  <si>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</si>
  <si>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</si>
  <si>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101-2449</t>
  </si>
  <si>
    <t>ТССЦ Московской обл., 101-2449, приказ Минстроя России №675/пр от 21.09.2015 г.</t>
  </si>
  <si>
    <t>Кольца резиновые для чугунных напорных труб диаметром 50-300 мм</t>
  </si>
  <si>
    <t>101-2576</t>
  </si>
  <si>
    <t>ТССЦ Московской обл., 101-2576, приказ Минстроя России №675/пр от 21.09.2015 г.</t>
  </si>
  <si>
    <t>Болты с гайками и шайбами для санитарно-технических работ диаметром 16 мм</t>
  </si>
  <si>
    <t>302-1325</t>
  </si>
  <si>
    <t>ТССЦ Московской обл., 302-1325, приказ Минстроя России №675/пр от 21.09.2015 г.</t>
  </si>
  <si>
    <t>Трубопроводы для внутренней канализации из поливинилхлоридных труб диаметром 100 мм</t>
  </si>
  <si>
    <t>1-1040-90</t>
  </si>
  <si>
    <t>Рабочий строитель среднего разряда 4</t>
  </si>
  <si>
    <t>330206</t>
  </si>
  <si>
    <t>ТСЭМ Московской обл., 330206, приказ Минстроя России №675/пр от 21.09.2015 г.</t>
  </si>
  <si>
    <t>Дрели электрические</t>
  </si>
  <si>
    <t>101-0311</t>
  </si>
  <si>
    <t>ТССЦ Московской обл., 101-0311, приказ Минстроя России №675/пр от 21.09.2015 г.</t>
  </si>
  <si>
    <t>Каболка</t>
  </si>
  <si>
    <t>101-0388</t>
  </si>
  <si>
    <t>ТССЦ Московской обл., 101-0388, приказ Минстроя России №675/пр от 21.09.2015 г.</t>
  </si>
  <si>
    <t>Краски масляные земляные марки МА-0115 мумия, сурик железный</t>
  </si>
  <si>
    <t>101-0628</t>
  </si>
  <si>
    <t>ТССЦ Московской обл., 101-0628, приказ Минстроя России №675/пр от 21.09.2015 г.</t>
  </si>
  <si>
    <t>Олифа комбинированная, марки К-3</t>
  </si>
  <si>
    <t>101-1355</t>
  </si>
  <si>
    <t>ТССЦ Московской обл., 101-1355, приказ Минстроя России №675/пр от 21.09.2015 г.</t>
  </si>
  <si>
    <t>Цемент гипсоглиноземистый расширяющийся</t>
  </si>
  <si>
    <t>101-1669</t>
  </si>
  <si>
    <t>ТССЦ Московской обл., 101-1669, приказ Минстроя России №675/пр от 21.09.2015 г.</t>
  </si>
  <si>
    <t>Очес льняной</t>
  </si>
  <si>
    <t>101-1847</t>
  </si>
  <si>
    <t>ТССЦ Московской обл., 101-1847, приказ Минстроя России №675/пр от 21.09.2015 г.</t>
  </si>
  <si>
    <t>Замазка защитная</t>
  </si>
  <si>
    <t>101-2186</t>
  </si>
  <si>
    <t>ТССЦ Московской обл., 101-2186, приказ Минстроя России №675/пр от 21.09.2015 г.</t>
  </si>
  <si>
    <t>Шурупы с полукруглой головкой 6х90 мм</t>
  </si>
  <si>
    <t>101-2204</t>
  </si>
  <si>
    <t>ТССЦ Московской обл., 101-2204, приказ Минстроя России №675/пр от 21.09.2015 г.</t>
  </si>
  <si>
    <t>Дюбели распорные полиэтиленовые 8х40 мм</t>
  </si>
  <si>
    <t>301-0572</t>
  </si>
  <si>
    <t>ТССЦ Московской обл., 301-0572, приказ Минстроя России №675/пр от 21.09.2015 г.</t>
  </si>
  <si>
    <t>Раковины стальные эмалированные</t>
  </si>
  <si>
    <t>компл.</t>
  </si>
  <si>
    <t>101-2181</t>
  </si>
  <si>
    <t>ТССЦ Московской обл., 101-2181, приказ Минстроя России №675/пр от 21.09.2015 г.</t>
  </si>
  <si>
    <t>Шурупы с полукруглой головкой 5х35 мм</t>
  </si>
  <si>
    <t>101-2201</t>
  </si>
  <si>
    <t>ТССЦ Московской обл., 101-2201, приказ Минстроя России №675/пр от 21.09.2015 г.</t>
  </si>
  <si>
    <t>Дюбели распорные полиэтиленовые 6х30 мм</t>
  </si>
  <si>
    <t>301-1527</t>
  </si>
  <si>
    <t>ТССЦ Московской обл., 301-1527, приказ Минстроя России №675/пр от 21.09.2015 г.</t>
  </si>
  <si>
    <t>Смеситель латунный с гальванопокрытием для мойки настольный, с верхней камерой смешения</t>
  </si>
  <si>
    <t>шт.</t>
  </si>
  <si>
    <t>1-1039-90</t>
  </si>
  <si>
    <t>Рабочий строитель среднего разряда 3,9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</si>
  <si>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</si>
  <si>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</si>
  <si>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</si>
  <si>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</si>
  <si>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</si>
  <si>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</si>
  <si>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</si>
  <si>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</si>
  <si>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</si>
  <si>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</si>
  <si>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</si>
  <si>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</si>
  <si>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</si>
  <si>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</si>
  <si>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</si>
  <si>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</si>
  <si>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</si>
  <si>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</si>
  <si>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</si>
  <si>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110902</t>
  </si>
  <si>
    <t>ТСЭМ Московской обл., 110902, приказ Минстроя России №675/пр от 21.09.2015 г.</t>
  </si>
  <si>
    <t>Растворосмесители передвижные 250 л</t>
  </si>
  <si>
    <t>252502</t>
  </si>
  <si>
    <t>ТСЭМ Московской обл., 252502, приказ Минстроя России №675/пр от 21.09.2015 г.</t>
  </si>
  <si>
    <t>Насосы для строительных растворов, производительность 5 м3/час</t>
  </si>
  <si>
    <t>101-0593</t>
  </si>
  <si>
    <t>ТССЦ Московской обл., 101-0593, приказ Минстроя России №675/пр от 21.09.2015 г.</t>
  </si>
  <si>
    <t>Мастика битумно-бутилкаучуковая холодная</t>
  </si>
  <si>
    <t>101-1748</t>
  </si>
  <si>
    <t>ТССЦ Московской обл., 101-1748, приказ Минстроя России №675/пр от 21.09.2015 г.</t>
  </si>
  <si>
    <t>Портландцемент напрягающий, марки 400</t>
  </si>
  <si>
    <t>101-1749</t>
  </si>
  <si>
    <t>ТССЦ Московской обл., 101-1749, приказ Минстроя России №675/пр от 21.09.2015 г.</t>
  </si>
  <si>
    <t>Латекс СКС-65 ГП</t>
  </si>
  <si>
    <t>408-0122</t>
  </si>
  <si>
    <t>ТССЦ Московской обл., 408-0122, приказ Минстроя России №675/пр от 21.09.2015 г.</t>
  </si>
  <si>
    <t>Песок природный для строительных работ средний</t>
  </si>
  <si>
    <t>1-100-32-90</t>
  </si>
  <si>
    <t>Рабочий среднего разряда 3,2</t>
  </si>
  <si>
    <t>030101</t>
  </si>
  <si>
    <t>ТСЭМ-2001 Московской области, 030101, протокол от 24.05.2017 г. № 5</t>
  </si>
  <si>
    <t>Автопогрузчики 5 т</t>
  </si>
  <si>
    <t>030953</t>
  </si>
  <si>
    <t>ТСЭМ-2001 Московской области, 030953, протокол от 24.05.2017 г. № 5</t>
  </si>
  <si>
    <t>Подъемники грузоподъемностью до 500 кг одномачтовые, высота подъема 35 м</t>
  </si>
  <si>
    <t>110901</t>
  </si>
  <si>
    <t>ТСЭМ-2001 Московской области, 110901, протокол от 24.05.2017 г. № 5</t>
  </si>
  <si>
    <t>Растворосмесители передвижные 65 л</t>
  </si>
  <si>
    <t>339904</t>
  </si>
  <si>
    <t>ТСЭМ-2001 Московской области, 339904, протокол от 24.05.2017 г. № 5</t>
  </si>
  <si>
    <t>Плиткорез MAKITA RH 4101</t>
  </si>
  <si>
    <t>ТСЭМ-2001 Московской области, 400001, протокол от 24.05.2017 г. № 5</t>
  </si>
  <si>
    <t>ТССЦ-2001 Московской области, 101-1757, протокол от 24.05.2017 г. № 5</t>
  </si>
  <si>
    <t>101-1971</t>
  </si>
  <si>
    <t>ТССЦ-2001 Московской области, 101-1971, протокол от 24.05.2017 г. № 5</t>
  </si>
  <si>
    <t>Затирка «Старатели» (разной цветности)</t>
  </si>
  <si>
    <t>101-4368</t>
  </si>
  <si>
    <t>ТССЦ-2001 Московской области, 101-4368, протокол от 24.05.2017 г. № 5</t>
  </si>
  <si>
    <t>Клей плиточный «Юнис Гранит»</t>
  </si>
  <si>
    <t>101-5566</t>
  </si>
  <si>
    <t>ТССЦ-2001 Московской области, 101-5566, протокол от 24.05.2017 г. № 5</t>
  </si>
  <si>
    <t>Плитки керамогранитные размером 300х300х8 мм, бежевые</t>
  </si>
  <si>
    <t>ТССЦ-2001 Московской области, 411-0001, протокол от 24.05.2017 г. № 5</t>
  </si>
  <si>
    <t>1-1041-90</t>
  </si>
  <si>
    <t>Рабочий строитель среднего разряда 4,1</t>
  </si>
  <si>
    <t>101-0609</t>
  </si>
  <si>
    <t>ТССЦ Московской обл., 101-0609, приказ Минстроя России №675/пр от 21.09.2015 г.</t>
  </si>
  <si>
    <t>Мастика клеящая каучуковая, марки КН-2</t>
  </si>
  <si>
    <t>101-4852</t>
  </si>
  <si>
    <t>ТССЦ Московской обл., 101-4852, приказ Минстроя России №675/пр от 21.09.2015 г.</t>
  </si>
  <si>
    <t>Плинтуса для полов пластиковые, 19х48 мм</t>
  </si>
  <si>
    <t>1-2038</t>
  </si>
  <si>
    <t>Рабочий монтажник среднего разряда 3,8</t>
  </si>
  <si>
    <t>021102</t>
  </si>
  <si>
    <t>ФСЭМ-2001, 021102, приказ Минстроя России №899/пр от 11.12.2015 г.</t>
  </si>
  <si>
    <t>Краны на автомобильном ходу при работе на монтаже технологического оборудования 10 т</t>
  </si>
  <si>
    <t>ФСЭМ-2001, 400001, приказ Минстроя России №899/пр от 11.12.2015 г.</t>
  </si>
  <si>
    <t>101-0319</t>
  </si>
  <si>
    <t>ФССЦ-2001, 101-0319, приказ Минстроя России №899/пр от 11.12.2015 г.</t>
  </si>
  <si>
    <t>Картон строительный прокладочный марки Б</t>
  </si>
  <si>
    <t>101-0612</t>
  </si>
  <si>
    <t>ФССЦ-2001, 101-0612, приказ Минстроя России №899/пр от 11.12.2015 г.</t>
  </si>
  <si>
    <t>Мастика клеящая морозостойкая битумно-масляная МБ-50</t>
  </si>
  <si>
    <t>101-1764</t>
  </si>
  <si>
    <t>ФССЦ-2001, 101-1764, приказ Минстроя России №899/пр от 11.12.2015 г.</t>
  </si>
  <si>
    <t>Тальк молотый, сорт I</t>
  </si>
  <si>
    <t>101-2143</t>
  </si>
  <si>
    <t>ФССЦ-2001, 101-2143, приказ Минстроя России №899/пр от 11.12.2015 г.</t>
  </si>
  <si>
    <t>Краска</t>
  </si>
  <si>
    <t>101-2499</t>
  </si>
  <si>
    <t>ФССЦ-2001, 101-2499, приказ Минстроя России №899/пр от 11.12.2015 г.</t>
  </si>
  <si>
    <t>Лента изоляционная прорезиненная односторонняя ширина 20 мм, толщина 0,25-0,35 мм</t>
  </si>
  <si>
    <t>101-3914</t>
  </si>
  <si>
    <t>ФССЦ-2001, 101-3914, приказ Минстроя России №899/пр от 11.12.2015 г.</t>
  </si>
  <si>
    <t>Дюбели распорные полипропиленовые</t>
  </si>
  <si>
    <t>405-0219</t>
  </si>
  <si>
    <t>ФССЦ-2001, 405-0219, приказ Минстроя России №899/пр от 11.12.2015 г.</t>
  </si>
  <si>
    <t>Гипсовые вяжущие, марка Г3</t>
  </si>
  <si>
    <t>ФССЦ-2001, 999-9950, приказ Минстроя России №899/пр от 11.12.2015 г.</t>
  </si>
  <si>
    <t>1-1038-90</t>
  </si>
  <si>
    <t>Рабочий строитель среднего разряда 3,8</t>
  </si>
  <si>
    <t>1-1036-90</t>
  </si>
  <si>
    <t>Рабочий строитель среднего разряда 3,6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</si>
  <si>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</si>
  <si>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</si>
  <si>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</si>
  <si>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101-1484</t>
  </si>
  <si>
    <t>ТССЦ Московской обл., 101-1484, приказ Минстроя России №675/пр от 21.09.2015 г.</t>
  </si>
  <si>
    <t>Шурупы с полукруглой головкой 8x100 мм</t>
  </si>
  <si>
    <t>101-1596</t>
  </si>
  <si>
    <t>ТССЦ Московской обл., 101-1596, приказ Минстроя России №675/пр от 21.09.2015 г.</t>
  </si>
  <si>
    <t>Шкурка шлифовальная двухслойная с зернистостью 40-25</t>
  </si>
  <si>
    <t>101-1774</t>
  </si>
  <si>
    <t>ТССЦ Московской обл., 101-1774, приказ Минстроя России №675/пр от 21.09.2015 г.</t>
  </si>
  <si>
    <t>Раскладки поливинилхлоридные горизонтальные</t>
  </si>
  <si>
    <t>101-1775</t>
  </si>
  <si>
    <t>ТССЦ Московской обл., 101-1775, приказ Минстроя России №675/пр от 21.09.2015 г.</t>
  </si>
  <si>
    <t>Раскладки поливинилхлоридные вертикальные</t>
  </si>
  <si>
    <t>101-1805</t>
  </si>
  <si>
    <t>ТССЦ Московской обл., 101-1805, приказ Минстроя России №675/пр от 21.09.2015 г.</t>
  </si>
  <si>
    <t>Гвозди строительные</t>
  </si>
  <si>
    <t>101-1862</t>
  </si>
  <si>
    <t>ТССЦ Московской обл., 101-1862, приказ Минстроя России №675/пр от 21.09.2015 г.</t>
  </si>
  <si>
    <t>Пластик бумажно-слоистый 2 с декоративной стороной</t>
  </si>
  <si>
    <t>1000 м2</t>
  </si>
  <si>
    <t>101-2434</t>
  </si>
  <si>
    <t>ТССЦ Московской обл., 101-2434, приказ Минстроя России №675/пр от 21.09.2015 г.</t>
  </si>
  <si>
    <t>Клей ПВА</t>
  </si>
  <si>
    <t>102-0026</t>
  </si>
  <si>
    <t>ТССЦ Московской обл., 102-0026, приказ Минстроя России №675/пр от 21.09.2015 г.</t>
  </si>
  <si>
    <t>Бруски обрезные хвойных пород длиной 4-6,5 м, шириной 75-150 мм, толщиной 40-75 мм, IV сорта</t>
  </si>
  <si>
    <t>113-1777</t>
  </si>
  <si>
    <t>ТССЦ Московской обл., 113-1777, приказ Минстроя России №675/пр от 21.09.2015 г.</t>
  </si>
  <si>
    <t>Паста антисептическая</t>
  </si>
  <si>
    <t>203-0516</t>
  </si>
  <si>
    <t>ТССЦ Московской обл., 203-0516, приказ Минстроя России №675/пр от 21.09.2015 г.</t>
  </si>
  <si>
    <t>Рейки деревянные 8х18 мм</t>
  </si>
  <si>
    <t>1-1030-90</t>
  </si>
  <si>
    <t>Рабочий строитель среднего разряда 3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</si>
  <si>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</si>
  <si>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</si>
  <si>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</si>
  <si>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</si>
  <si>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</si>
  <si>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</si>
  <si>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1-2042</t>
  </si>
  <si>
    <t>Рабочий монтажник среднего разряда 4,2</t>
  </si>
  <si>
    <t>ФСЭМ-2001, 330206, приказ Минстроя России №899/пр от 11.12.2015 г.</t>
  </si>
  <si>
    <t>101-1477</t>
  </si>
  <si>
    <t>ФССЦ-2001, 101-1477, приказ Минстроя России №899/пр от 11.12.2015 г.</t>
  </si>
  <si>
    <t>Шурупы с полукруглой головкой 2,5х20 мм</t>
  </si>
  <si>
    <t>ФССЦ-2001, 101-1481, приказ Минстроя России №899/пр от 11.12.2015 г.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</si>
  <si>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</si>
  <si>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</si>
  <si>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</si>
  <si>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</si>
  <si>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</si>
  <si>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</si>
  <si>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</si>
  <si>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</si>
  <si>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</si>
  <si>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</si>
  <si>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</si>
  <si>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</si>
  <si>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</si>
  <si>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</si>
  <si>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</si>
  <si>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</si>
  <si>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</si>
  <si>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</si>
  <si>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</si>
  <si>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</si>
  <si>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</si>
  <si>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</si>
  <si>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</si>
  <si>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</si>
  <si>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</si>
  <si>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</si>
  <si>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</si>
  <si>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</si>
  <si>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</si>
  <si>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</si>
  <si>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</si>
  <si>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январь 2021 года и Московская область Каталог текущих цен на материалы, декабрь 2020 г</t>
  </si>
  <si>
    <t>Зарплата</t>
  </si>
  <si>
    <t>в т.ч. зарплата машинистов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</si>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</sst>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35"/>
  <sheetViews>
    <sheetView tabSelected="1" zoomScaleNormal="100" workbookViewId="0">
      <selection activeCell="A117" sqref="A117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502</v>
      </c>
      <c r="C3" s="79"/>
      <c r="D3" s="79"/>
      <c r="E3" s="79"/>
      <c r="F3" s="11"/>
      <c r="G3" s="11"/>
      <c r="H3" s="79" t="s">
        <v>503</v>
      </c>
      <c r="I3" s="79"/>
      <c r="J3" s="79"/>
      <c r="K3" s="79"/>
      <c r="L3" s="79"/>
    </row>
    <row r="4" spans="1:12" ht="14.25">
      <c r="A4" s="11"/>
      <c r="B4" s="62"/>
      <c r="C4" s="62"/>
      <c r="D4" s="62"/>
      <c r="E4" s="62"/>
      <c r="F4" s="11"/>
      <c r="G4" s="11"/>
      <c r="H4" s="62"/>
      <c r="I4" s="62"/>
      <c r="J4" s="62"/>
      <c r="K4" s="62"/>
      <c r="L4" s="6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2" t="str">
        <f>CONCATENATE("______________________ ", IF(Source!AL12&lt;&gt;"", Source!AL12, ""))</f>
        <v xml:space="preserve">______________________ </v>
      </c>
      <c r="C6" s="62"/>
      <c r="D6" s="62"/>
      <c r="E6" s="62"/>
      <c r="F6" s="11"/>
      <c r="G6" s="11"/>
      <c r="H6" s="62" t="str">
        <f>CONCATENATE("______________________ ", IF(Source!AH12&lt;&gt;"", Source!AH12, ""))</f>
        <v xml:space="preserve">______________________ </v>
      </c>
      <c r="I6" s="62"/>
      <c r="J6" s="62"/>
      <c r="K6" s="62"/>
      <c r="L6" s="62"/>
    </row>
    <row r="7" spans="1:12" ht="14.25">
      <c r="A7" s="16"/>
      <c r="B7" s="77" t="s">
        <v>504</v>
      </c>
      <c r="C7" s="77"/>
      <c r="D7" s="77"/>
      <c r="E7" s="77"/>
      <c r="F7" s="11"/>
      <c r="G7" s="11"/>
      <c r="H7" s="77" t="s">
        <v>504</v>
      </c>
      <c r="I7" s="77"/>
      <c r="J7" s="77"/>
      <c r="K7" s="77"/>
      <c r="L7" s="77"/>
    </row>
    <row r="10" spans="1:12" ht="15.75">
      <c r="A10" s="16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16"/>
    </row>
    <row r="11" spans="1:12" ht="14.25">
      <c r="A11" s="17"/>
      <c r="B11" s="78" t="s">
        <v>505</v>
      </c>
      <c r="C11" s="78"/>
      <c r="D11" s="78"/>
      <c r="E11" s="78"/>
      <c r="F11" s="78"/>
      <c r="G11" s="78"/>
      <c r="H11" s="78"/>
      <c r="I11" s="78"/>
      <c r="J11" s="78"/>
      <c r="K11" s="78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3" t="s">
        <v>506</v>
      </c>
      <c r="G13" s="63"/>
      <c r="H13" s="67" t="str">
        <f>IF(Source!F12&lt;&gt;"Новый объект", Source!F12, "")</f>
        <v/>
      </c>
      <c r="I13" s="67"/>
      <c r="J13" s="67"/>
      <c r="K13" s="67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2" t="str">
        <f>CONCATENATE( "ЛОКАЛЬНАЯ СМЕТА № ",IF(Source!F12&lt;&gt;"Новый объект", Source!F12, ""))</f>
        <v xml:space="preserve">ЛОКАЛЬНАЯ СМЕТА № </v>
      </c>
      <c r="C15" s="72"/>
      <c r="D15" s="72"/>
      <c r="E15" s="72"/>
      <c r="F15" s="72"/>
      <c r="G15" s="72"/>
      <c r="H15" s="72"/>
      <c r="I15" s="72"/>
      <c r="J15" s="72"/>
      <c r="K15" s="72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4" t="str">
        <f>IF(Source!G12&lt;&gt;"Новый объект", Source!G12, "")</f>
        <v>Ремонт 16 санузла Верия</v>
      </c>
      <c r="C19" s="74"/>
      <c r="D19" s="74"/>
      <c r="E19" s="74"/>
      <c r="F19" s="74"/>
      <c r="G19" s="74"/>
      <c r="H19" s="74"/>
      <c r="I19" s="74"/>
      <c r="J19" s="74"/>
      <c r="K19" s="74"/>
      <c r="L19" s="21"/>
    </row>
    <row r="20" spans="1:12" ht="14.25">
      <c r="A20" s="11"/>
      <c r="B20" s="75" t="s">
        <v>507</v>
      </c>
      <c r="C20" s="75"/>
      <c r="D20" s="75"/>
      <c r="E20" s="75"/>
      <c r="F20" s="75"/>
      <c r="G20" s="75"/>
      <c r="H20" s="75"/>
      <c r="I20" s="75"/>
      <c r="J20" s="75"/>
      <c r="K20" s="75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7" t="str">
        <f>CONCATENATE("Основание: ", Source!J12)</f>
        <v xml:space="preserve">Основание: 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6" t="s">
        <v>508</v>
      </c>
      <c r="H25" s="76"/>
      <c r="I25" s="76" t="s">
        <v>509</v>
      </c>
      <c r="J25" s="76"/>
      <c r="K25" s="11"/>
      <c r="L25" s="11"/>
    </row>
    <row r="26" spans="1:12" ht="15">
      <c r="A26" s="11"/>
      <c r="B26" s="11"/>
      <c r="C26" s="69" t="s">
        <v>510</v>
      </c>
      <c r="D26" s="69"/>
      <c r="E26" s="69"/>
      <c r="F26" s="69"/>
      <c r="G26" s="68">
        <f>SUM(O1:O223)/1000</f>
        <v>6.5354699999999992</v>
      </c>
      <c r="H26" s="68"/>
      <c r="I26" s="68">
        <f>(Source!F282/1000)</f>
        <v>77.123469999999998</v>
      </c>
      <c r="J26" s="68"/>
      <c r="K26" s="70" t="s">
        <v>511</v>
      </c>
      <c r="L26" s="70"/>
    </row>
    <row r="27" spans="1:12" ht="14.25">
      <c r="A27" s="11"/>
      <c r="B27" s="11"/>
      <c r="C27" s="71" t="s">
        <v>512</v>
      </c>
      <c r="D27" s="71"/>
      <c r="E27" s="71"/>
      <c r="F27" s="71"/>
      <c r="G27" s="68">
        <f>SUM(W1:W223)/1000</f>
        <v>6.4289500000000004</v>
      </c>
      <c r="H27" s="68"/>
      <c r="I27" s="68">
        <f>(Source!F269)/1000</f>
        <v>61.826480000000004</v>
      </c>
      <c r="J27" s="68"/>
      <c r="K27" s="70" t="s">
        <v>511</v>
      </c>
      <c r="L27" s="70"/>
    </row>
    <row r="28" spans="1:12" ht="14.25">
      <c r="A28" s="11"/>
      <c r="B28" s="11"/>
      <c r="C28" s="71" t="s">
        <v>513</v>
      </c>
      <c r="D28" s="71"/>
      <c r="E28" s="71"/>
      <c r="F28" s="71"/>
      <c r="G28" s="68">
        <f>SUM(X1:X223)/1000</f>
        <v>0.10652</v>
      </c>
      <c r="H28" s="68"/>
      <c r="I28" s="68">
        <f>(Source!F270)/1000</f>
        <v>2.4430800000000001</v>
      </c>
      <c r="J28" s="68"/>
      <c r="K28" s="70" t="s">
        <v>511</v>
      </c>
      <c r="L28" s="70"/>
    </row>
    <row r="29" spans="1:12" ht="14.25">
      <c r="A29" s="11"/>
      <c r="B29" s="11"/>
      <c r="C29" s="71" t="s">
        <v>514</v>
      </c>
      <c r="D29" s="71"/>
      <c r="E29" s="71"/>
      <c r="F29" s="71"/>
      <c r="G29" s="68">
        <f>SUM(Y1:Y223)/1000</f>
        <v>0</v>
      </c>
      <c r="H29" s="68"/>
      <c r="I29" s="68">
        <f>(Source!F261)/1000</f>
        <v>0</v>
      </c>
      <c r="J29" s="68"/>
      <c r="K29" s="70" t="s">
        <v>511</v>
      </c>
      <c r="L29" s="70"/>
    </row>
    <row r="30" spans="1:12" ht="14.25">
      <c r="A30" s="11"/>
      <c r="B30" s="11"/>
      <c r="C30" s="71" t="s">
        <v>515</v>
      </c>
      <c r="D30" s="71"/>
      <c r="E30" s="71"/>
      <c r="F30" s="71"/>
      <c r="G30" s="68">
        <f>SUM(Z1:Z223)/1000</f>
        <v>0</v>
      </c>
      <c r="H30" s="68"/>
      <c r="I30" s="68">
        <f>(Source!F271+Source!F272)/1000</f>
        <v>0</v>
      </c>
      <c r="J30" s="68"/>
      <c r="K30" s="70" t="s">
        <v>511</v>
      </c>
      <c r="L30" s="70"/>
    </row>
    <row r="31" spans="1:12" ht="15">
      <c r="A31" s="11"/>
      <c r="B31" s="11"/>
      <c r="C31" s="69" t="s">
        <v>516</v>
      </c>
      <c r="D31" s="69"/>
      <c r="E31" s="69"/>
      <c r="F31" s="69"/>
      <c r="G31" s="68">
        <f>I31</f>
        <v>48.725552999999998</v>
      </c>
      <c r="H31" s="68"/>
      <c r="I31" s="68">
        <f>(Source!F274+Source!F275)</f>
        <v>48.725552999999998</v>
      </c>
      <c r="J31" s="68"/>
      <c r="K31" s="70" t="s">
        <v>517</v>
      </c>
      <c r="L31" s="70"/>
    </row>
    <row r="32" spans="1:12" ht="15">
      <c r="A32" s="11"/>
      <c r="B32" s="11"/>
      <c r="C32" s="69" t="s">
        <v>518</v>
      </c>
      <c r="D32" s="69"/>
      <c r="E32" s="69"/>
      <c r="F32" s="69"/>
      <c r="G32" s="68">
        <f>SUM(R1:R223)/1000</f>
        <v>0.45307999999999998</v>
      </c>
      <c r="H32" s="68"/>
      <c r="I32" s="68">
        <f>(Source!F267+ Source!F266)/1000</f>
        <v>14.910909999999999</v>
      </c>
      <c r="J32" s="68"/>
      <c r="K32" s="70" t="s">
        <v>511</v>
      </c>
      <c r="L32" s="70"/>
    </row>
    <row r="33" spans="1:12" ht="14.25" hidden="1">
      <c r="A33" s="11"/>
      <c r="B33" s="11"/>
      <c r="C33" s="71" t="s">
        <v>54</v>
      </c>
      <c r="D33" s="71"/>
      <c r="E33" s="71"/>
      <c r="F33" s="71"/>
      <c r="G33" s="68"/>
      <c r="H33" s="68"/>
      <c r="I33" s="68"/>
      <c r="J33" s="68"/>
      <c r="K33" s="23" t="s">
        <v>511</v>
      </c>
      <c r="L33" s="11"/>
    </row>
    <row r="34" spans="1:1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12" ht="15" hidden="1">
      <c r="A35" s="15" t="s">
        <v>519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12" ht="15" hidden="1">
      <c r="A36" s="15" t="s">
        <v>520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1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12" ht="14.25">
      <c r="A38" s="66" t="s">
        <v>533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12" ht="57">
      <c r="A39" s="28" t="s">
        <v>521</v>
      </c>
      <c r="B39" s="28" t="s">
        <v>522</v>
      </c>
      <c r="C39" s="28" t="s">
        <v>523</v>
      </c>
      <c r="D39" s="28" t="s">
        <v>524</v>
      </c>
      <c r="E39" s="28" t="s">
        <v>525</v>
      </c>
      <c r="F39" s="28" t="s">
        <v>526</v>
      </c>
      <c r="G39" s="28" t="s">
        <v>527</v>
      </c>
      <c r="H39" s="28" t="s">
        <v>528</v>
      </c>
      <c r="I39" s="28" t="s">
        <v>529</v>
      </c>
      <c r="J39" s="28" t="s">
        <v>530</v>
      </c>
      <c r="K39" s="28" t="s">
        <v>531</v>
      </c>
      <c r="L39" s="28" t="s">
        <v>532</v>
      </c>
    </row>
    <row r="40" spans="1:1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12" ht="16.5">
      <c r="A42" s="59" t="str">
        <f>CONCATENATE("Локальная смета: ",IF(Source!G20&lt;&gt;"Новая локальная смета", Source!G20, ""))</f>
        <v xml:space="preserve">Локальная смета: 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4" spans="1:12" ht="16.5">
      <c r="A44" s="59" t="str">
        <f>CONCATENATE("Раздел: ",IF(Source!G24&lt;&gt;"Новый раздел", Source!G24, ""))</f>
        <v>Раздел: Демонтаж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6" spans="1:12" ht="15">
      <c r="A46" s="61" t="str">
        <f>CONCATENATE("Итого по разделу: ",IF(Source!G28&lt;&gt;"Новый раздел", Source!G28, ""))</f>
        <v>Итого по разделу: Демонтаж</v>
      </c>
      <c r="B46" s="61"/>
      <c r="C46" s="61"/>
      <c r="D46" s="61"/>
      <c r="E46" s="61"/>
      <c r="F46" s="61"/>
      <c r="G46" s="60">
        <f>SUM(O44:O45)</f>
        <v>0</v>
      </c>
      <c r="H46" s="60"/>
      <c r="I46" s="35"/>
      <c r="J46" s="60">
        <f>SUM(P44:P45)</f>
        <v>0</v>
      </c>
      <c r="K46" s="60"/>
      <c r="L46" s="37">
        <f>SUM(Q44:Q45)</f>
        <v>0</v>
      </c>
    </row>
    <row r="50" spans="1:26" ht="16.5">
      <c r="A50" s="59" t="str">
        <f>CONCATENATE("Раздел: ",IF(Source!G58&lt;&gt;"Новый раздел", Source!G58, ""))</f>
        <v>Раздел: Монтаж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26" ht="71.25">
      <c r="A51" s="23" t="str">
        <f>Source!E62</f>
        <v>1</v>
      </c>
      <c r="B51" s="55" t="str">
        <f>Source!F62</f>
        <v>10-01-092-1</v>
      </c>
      <c r="C51" s="55" t="str">
        <f>Source!G62</f>
        <v>Антисептическая обработка каменных, бетонных, кирпичных и деревянных поверхностей биопиреном "Нортекс-Дезинфектор"</v>
      </c>
      <c r="D51" s="38" t="str">
        <f>Source!H62</f>
        <v>100 м2 обрабатываемой поверхности</v>
      </c>
      <c r="E51" s="10">
        <f>Source!I62</f>
        <v>0.38</v>
      </c>
      <c r="F51" s="39">
        <f>Source!AL62+Source!AM62+Source!AO62</f>
        <v>249.45000000000002</v>
      </c>
      <c r="G51" s="40"/>
      <c r="H51" s="41"/>
      <c r="I51" s="40" t="str">
        <f>Source!BO62</f>
        <v>10-01-092-1</v>
      </c>
      <c r="J51" s="40"/>
      <c r="K51" s="41"/>
      <c r="L51" s="42"/>
      <c r="S51">
        <f>ROUND((Source!FX62/100)*((ROUND(Source!AF62*Source!I62, 2)+ROUND(Source!AE62*Source!I62, 2))), 2)</f>
        <v>23.56</v>
      </c>
      <c r="T51">
        <f>Source!X62</f>
        <v>773.66</v>
      </c>
      <c r="U51">
        <f>ROUND((Source!FY62/100)*((ROUND(Source!AF62*Source!I62, 2)+ROUND(Source!AE62*Source!I62, 2))), 2)</f>
        <v>11.88</v>
      </c>
      <c r="V51">
        <f>Source!Y62</f>
        <v>394.13</v>
      </c>
    </row>
    <row r="52" spans="1:26">
      <c r="C52" s="31" t="str">
        <f>"Объем: "&amp;Source!I62&amp;"=38/"&amp;"100"</f>
        <v>Объем: 0,38=38/100</v>
      </c>
    </row>
    <row r="53" spans="1:26" ht="14.25">
      <c r="A53" s="23"/>
      <c r="B53" s="55"/>
      <c r="C53" s="55" t="s">
        <v>534</v>
      </c>
      <c r="D53" s="38"/>
      <c r="E53" s="10"/>
      <c r="F53" s="39">
        <f>Source!AO62</f>
        <v>50.25</v>
      </c>
      <c r="G53" s="40" t="str">
        <f>Source!DG62</f>
        <v>*1,15</v>
      </c>
      <c r="H53" s="41">
        <f>ROUND(Source!AF62*Source!I62, 2)</f>
        <v>21.96</v>
      </c>
      <c r="I53" s="40"/>
      <c r="J53" s="40">
        <f>IF(Source!BA62&lt;&gt; 0, Source!BA62, 1)</f>
        <v>32.909999999999997</v>
      </c>
      <c r="K53" s="41">
        <f>Source!S62</f>
        <v>722.68</v>
      </c>
      <c r="L53" s="42"/>
      <c r="R53">
        <f>H53</f>
        <v>21.96</v>
      </c>
    </row>
    <row r="54" spans="1:26" ht="14.25">
      <c r="A54" s="23"/>
      <c r="B54" s="55"/>
      <c r="C54" s="55" t="s">
        <v>36</v>
      </c>
      <c r="D54" s="38"/>
      <c r="E54" s="10"/>
      <c r="F54" s="39">
        <f>Source!AM62</f>
        <v>44.74</v>
      </c>
      <c r="G54" s="40" t="str">
        <f>Source!DE62</f>
        <v>*1,25</v>
      </c>
      <c r="H54" s="41">
        <f>ROUND(Source!AD62*Source!I62, 2)</f>
        <v>21.25</v>
      </c>
      <c r="I54" s="40"/>
      <c r="J54" s="40">
        <f>IF(Source!BB62&lt;&gt; 0, Source!BB62, 1)</f>
        <v>6.03</v>
      </c>
      <c r="K54" s="41">
        <f>Source!Q62</f>
        <v>128.15</v>
      </c>
      <c r="L54" s="42"/>
    </row>
    <row r="55" spans="1:26" ht="14.25">
      <c r="A55" s="23"/>
      <c r="B55" s="55"/>
      <c r="C55" s="55" t="s">
        <v>535</v>
      </c>
      <c r="D55" s="38"/>
      <c r="E55" s="10"/>
      <c r="F55" s="39">
        <f>Source!AN62</f>
        <v>0.46</v>
      </c>
      <c r="G55" s="40" t="str">
        <f>Source!DF62</f>
        <v>*1,25</v>
      </c>
      <c r="H55" s="43">
        <f>ROUND(Source!AE62*Source!I62, 2)</f>
        <v>0.22</v>
      </c>
      <c r="I55" s="40"/>
      <c r="J55" s="40">
        <f>IF(Source!BS62&lt;&gt; 0, Source!BS62, 1)</f>
        <v>32.909999999999997</v>
      </c>
      <c r="K55" s="43">
        <f>Source!R62</f>
        <v>7.19</v>
      </c>
      <c r="L55" s="42"/>
      <c r="R55">
        <f>H55</f>
        <v>0.22</v>
      </c>
    </row>
    <row r="56" spans="1:26" ht="14.25">
      <c r="A56" s="23"/>
      <c r="B56" s="55"/>
      <c r="C56" s="55" t="s">
        <v>536</v>
      </c>
      <c r="D56" s="38"/>
      <c r="E56" s="10"/>
      <c r="F56" s="39">
        <f>Source!AL62</f>
        <v>154.46</v>
      </c>
      <c r="G56" s="40" t="str">
        <f>Source!DD62</f>
        <v/>
      </c>
      <c r="H56" s="41">
        <f>ROUND(Source!AC62*Source!I62, 2)</f>
        <v>58.69</v>
      </c>
      <c r="I56" s="40"/>
      <c r="J56" s="40">
        <f>IF(Source!BC62&lt;&gt; 0, Source!BC62, 1)</f>
        <v>9.57</v>
      </c>
      <c r="K56" s="41">
        <f>Source!P62</f>
        <v>561.71</v>
      </c>
      <c r="L56" s="42"/>
    </row>
    <row r="57" spans="1:26" ht="14.25">
      <c r="A57" s="23"/>
      <c r="B57" s="55"/>
      <c r="C57" s="55" t="s">
        <v>537</v>
      </c>
      <c r="D57" s="38" t="s">
        <v>538</v>
      </c>
      <c r="E57" s="10">
        <f>Source!BZ62</f>
        <v>118</v>
      </c>
      <c r="F57" s="62" t="str">
        <f>CONCATENATE(" )", Source!DL62, Source!FT62, "=", Source!FX62)</f>
        <v xml:space="preserve"> )*0,9=106,2</v>
      </c>
      <c r="G57" s="63"/>
      <c r="H57" s="41">
        <f>SUM(S51:S60)</f>
        <v>23.56</v>
      </c>
      <c r="I57" s="44"/>
      <c r="J57" s="36">
        <f>Source!AT62</f>
        <v>106</v>
      </c>
      <c r="K57" s="41">
        <f>SUM(T51:T60)</f>
        <v>773.66</v>
      </c>
      <c r="L57" s="42"/>
    </row>
    <row r="58" spans="1:26" ht="14.25">
      <c r="A58" s="23"/>
      <c r="B58" s="55"/>
      <c r="C58" s="55" t="s">
        <v>539</v>
      </c>
      <c r="D58" s="38" t="s">
        <v>538</v>
      </c>
      <c r="E58" s="10">
        <f>Source!CA62</f>
        <v>63</v>
      </c>
      <c r="F58" s="62" t="str">
        <f>CONCATENATE(" )", Source!DM62, Source!FU62, "=", Source!FY62)</f>
        <v xml:space="preserve"> )*0,85=53,55</v>
      </c>
      <c r="G58" s="63"/>
      <c r="H58" s="41">
        <f>SUM(U51:U60)</f>
        <v>11.88</v>
      </c>
      <c r="I58" s="44"/>
      <c r="J58" s="36">
        <f>Source!AU62</f>
        <v>54</v>
      </c>
      <c r="K58" s="41">
        <f>SUM(V51:V60)</f>
        <v>394.13</v>
      </c>
      <c r="L58" s="42"/>
    </row>
    <row r="59" spans="1:26" ht="14.25">
      <c r="A59" s="23"/>
      <c r="B59" s="55"/>
      <c r="C59" s="55" t="s">
        <v>540</v>
      </c>
      <c r="D59" s="38" t="s">
        <v>541</v>
      </c>
      <c r="E59" s="10">
        <f>Source!AQ62</f>
        <v>5.94</v>
      </c>
      <c r="F59" s="39"/>
      <c r="G59" s="40" t="str">
        <f>Source!DI62</f>
        <v>*1,15</v>
      </c>
      <c r="H59" s="41"/>
      <c r="I59" s="40"/>
      <c r="J59" s="40"/>
      <c r="K59" s="41"/>
      <c r="L59" s="45">
        <f>Source!U62</f>
        <v>2.59578</v>
      </c>
    </row>
    <row r="60" spans="1:26" ht="28.5">
      <c r="A60" s="56" t="str">
        <f>Source!E63</f>
        <v>1,1</v>
      </c>
      <c r="B60" s="57" t="str">
        <f>Source!F63</f>
        <v>113-8067</v>
      </c>
      <c r="C60" s="57" t="str">
        <f>Source!G63</f>
        <v>Антисептик «НОРТЕКС-ДЕЗИНФЕКТОР» для бетона</v>
      </c>
      <c r="D60" s="46" t="str">
        <f>Source!H63</f>
        <v>кг</v>
      </c>
      <c r="E60" s="47">
        <f>Source!I63</f>
        <v>5.560975</v>
      </c>
      <c r="F60" s="48">
        <f>Source!AL63+Source!AM63+Source!AO63</f>
        <v>16.78</v>
      </c>
      <c r="G60" s="49" t="s">
        <v>3</v>
      </c>
      <c r="H60" s="50">
        <f>ROUND(Source!AC63*Source!I63, 2)+ROUND(Source!AD63*Source!I63, 2)+ROUND(Source!AF63*Source!I63, 2)</f>
        <v>93.31</v>
      </c>
      <c r="I60" s="51"/>
      <c r="J60" s="51">
        <f>IF(Source!BC63&lt;&gt; 0, Source!BC63, 1)</f>
        <v>9.27</v>
      </c>
      <c r="K60" s="50">
        <f>Source!O63</f>
        <v>865.01</v>
      </c>
      <c r="L60" s="52"/>
      <c r="S60">
        <f>ROUND((Source!FX63/100)*((ROUND(Source!AF63*Source!I63, 2)+ROUND(Source!AE63*Source!I63, 2))), 2)</f>
        <v>0</v>
      </c>
      <c r="T60">
        <f>Source!X63</f>
        <v>0</v>
      </c>
      <c r="U60">
        <f>ROUND((Source!FY63/100)*((ROUND(Source!AF63*Source!I63, 2)+ROUND(Source!AE63*Source!I63, 2))), 2)</f>
        <v>0</v>
      </c>
      <c r="V60">
        <f>Source!Y63</f>
        <v>0</v>
      </c>
      <c r="W60">
        <f>IF(Source!BI63&lt;=1,H60, 0)</f>
        <v>93.31</v>
      </c>
      <c r="X60">
        <f>IF(Source!BI63=2,H60, 0)</f>
        <v>0</v>
      </c>
      <c r="Y60">
        <f>IF(Source!BI63=3,H60, 0)</f>
        <v>0</v>
      </c>
      <c r="Z60">
        <f>IF(Source!BI63=4,H60, 0)</f>
        <v>0</v>
      </c>
    </row>
    <row r="61" spans="1:26" ht="15">
      <c r="G61" s="64">
        <f>H53+H54+H56+H57+H58+SUM(H60:H60)</f>
        <v>230.65</v>
      </c>
      <c r="H61" s="64"/>
      <c r="J61" s="64">
        <f>K53+K54+K56+K57+K58+SUM(K60:K60)</f>
        <v>3445.34</v>
      </c>
      <c r="K61" s="64"/>
      <c r="L61" s="37">
        <f>Source!U62</f>
        <v>2.59578</v>
      </c>
      <c r="O61" s="32">
        <f>G61</f>
        <v>230.65</v>
      </c>
      <c r="P61" s="32">
        <f>J61</f>
        <v>3445.34</v>
      </c>
      <c r="Q61" s="32">
        <f>L61</f>
        <v>2.59578</v>
      </c>
      <c r="W61">
        <f>IF(Source!BI62&lt;=1,H53+H54+H56+H57+H58, 0)</f>
        <v>137.34</v>
      </c>
      <c r="X61">
        <f>IF(Source!BI62=2,H53+H54+H56+H57+H58, 0)</f>
        <v>0</v>
      </c>
      <c r="Y61">
        <f>IF(Source!BI62=3,H53+H54+H56+H57+H58, 0)</f>
        <v>0</v>
      </c>
      <c r="Z61">
        <f>IF(Source!BI62=4,H53+H54+H56+H57+H58, 0)</f>
        <v>0</v>
      </c>
    </row>
    <row r="62" spans="1:26" ht="85.5">
      <c r="A62" s="23" t="str">
        <f>Source!E64</f>
        <v>2</v>
      </c>
      <c r="B62" s="55" t="str">
        <f>Source!F64</f>
        <v>65-8-2</v>
      </c>
      <c r="C62" s="55" t="str">
        <f>Source!G64</f>
        <v>Смена трубопроводов из полиэтиленовых канализационных труб диаметром до 100 мм</v>
      </c>
      <c r="D62" s="38" t="str">
        <f>Source!H64</f>
        <v>100 м трубопровода с фасонными частями</v>
      </c>
      <c r="E62" s="10">
        <f>Source!I64</f>
        <v>0.05</v>
      </c>
      <c r="F62" s="39">
        <f>Source!AL64+Source!AM64+Source!AO64</f>
        <v>11161.61</v>
      </c>
      <c r="G62" s="40"/>
      <c r="H62" s="41"/>
      <c r="I62" s="40" t="str">
        <f>Source!BO64</f>
        <v>65-8-2</v>
      </c>
      <c r="J62" s="40"/>
      <c r="K62" s="41"/>
      <c r="L62" s="42"/>
      <c r="S62">
        <f>ROUND((Source!FX64/100)*((ROUND(Source!AF64*Source!I64, 2)+ROUND(Source!AE64*Source!I64, 2))), 2)</f>
        <v>31.77</v>
      </c>
      <c r="T62">
        <f>Source!X64</f>
        <v>1045.31</v>
      </c>
      <c r="U62">
        <f>ROUND((Source!FY64/100)*((ROUND(Source!AF64*Source!I64, 2)+ROUND(Source!AE64*Source!I64, 2))), 2)</f>
        <v>18.5</v>
      </c>
      <c r="V62">
        <f>Source!Y64</f>
        <v>608.91999999999996</v>
      </c>
    </row>
    <row r="63" spans="1:26">
      <c r="C63" s="31" t="str">
        <f>"Объем: "&amp;Source!I64&amp;"=5/"&amp;"100"</f>
        <v>Объем: 0,05=5/100</v>
      </c>
    </row>
    <row r="64" spans="1:26" ht="14.25">
      <c r="A64" s="23"/>
      <c r="B64" s="55"/>
      <c r="C64" s="55" t="s">
        <v>534</v>
      </c>
      <c r="D64" s="38"/>
      <c r="E64" s="10"/>
      <c r="F64" s="39">
        <f>Source!AO64</f>
        <v>614.04999999999995</v>
      </c>
      <c r="G64" s="40" t="str">
        <f>Source!DG64</f>
        <v/>
      </c>
      <c r="H64" s="41">
        <f>ROUND(Source!AF64*Source!I64, 2)</f>
        <v>30.7</v>
      </c>
      <c r="I64" s="40"/>
      <c r="J64" s="40">
        <f>IF(Source!BA64&lt;&gt; 0, Source!BA64, 1)</f>
        <v>32.909999999999997</v>
      </c>
      <c r="K64" s="41">
        <f>Source!S64</f>
        <v>1010.42</v>
      </c>
      <c r="L64" s="42"/>
      <c r="R64">
        <f>H64</f>
        <v>30.7</v>
      </c>
    </row>
    <row r="65" spans="1:26" ht="14.25">
      <c r="A65" s="23"/>
      <c r="B65" s="55"/>
      <c r="C65" s="55" t="s">
        <v>36</v>
      </c>
      <c r="D65" s="38"/>
      <c r="E65" s="10"/>
      <c r="F65" s="39">
        <f>Source!AM64</f>
        <v>23.69</v>
      </c>
      <c r="G65" s="40" t="str">
        <f>Source!DE64</f>
        <v/>
      </c>
      <c r="H65" s="41">
        <f>ROUND(Source!AD64*Source!I64, 2)</f>
        <v>1.18</v>
      </c>
      <c r="I65" s="40"/>
      <c r="J65" s="40">
        <f>IF(Source!BB64&lt;&gt; 0, Source!BB64, 1)</f>
        <v>11.57</v>
      </c>
      <c r="K65" s="41">
        <f>Source!Q64</f>
        <v>13.7</v>
      </c>
      <c r="L65" s="42"/>
    </row>
    <row r="66" spans="1:26" ht="14.25">
      <c r="A66" s="23"/>
      <c r="B66" s="55"/>
      <c r="C66" s="55" t="s">
        <v>535</v>
      </c>
      <c r="D66" s="38"/>
      <c r="E66" s="10"/>
      <c r="F66" s="39">
        <f>Source!AN64</f>
        <v>2.7</v>
      </c>
      <c r="G66" s="40" t="str">
        <f>Source!DF64</f>
        <v/>
      </c>
      <c r="H66" s="43">
        <f>ROUND(Source!AE64*Source!I64, 2)</f>
        <v>0.14000000000000001</v>
      </c>
      <c r="I66" s="40"/>
      <c r="J66" s="40">
        <f>IF(Source!BS64&lt;&gt; 0, Source!BS64, 1)</f>
        <v>32.909999999999997</v>
      </c>
      <c r="K66" s="43">
        <f>Source!R64</f>
        <v>4.4400000000000004</v>
      </c>
      <c r="L66" s="42"/>
      <c r="R66">
        <f>H66</f>
        <v>0.14000000000000001</v>
      </c>
    </row>
    <row r="67" spans="1:26" ht="14.25">
      <c r="A67" s="23"/>
      <c r="B67" s="55"/>
      <c r="C67" s="55" t="s">
        <v>536</v>
      </c>
      <c r="D67" s="38"/>
      <c r="E67" s="10"/>
      <c r="F67" s="39">
        <f>Source!AL64</f>
        <v>10523.87</v>
      </c>
      <c r="G67" s="40" t="str">
        <f>Source!DD64</f>
        <v/>
      </c>
      <c r="H67" s="41">
        <f>ROUND(Source!AC64*Source!I64, 2)</f>
        <v>526.19000000000005</v>
      </c>
      <c r="I67" s="40"/>
      <c r="J67" s="40">
        <f>IF(Source!BC64&lt;&gt; 0, Source!BC64, 1)</f>
        <v>3.73</v>
      </c>
      <c r="K67" s="41">
        <f>Source!P64</f>
        <v>1962.7</v>
      </c>
      <c r="L67" s="42"/>
    </row>
    <row r="68" spans="1:26" ht="14.25">
      <c r="A68" s="23"/>
      <c r="B68" s="55"/>
      <c r="C68" s="55" t="s">
        <v>537</v>
      </c>
      <c r="D68" s="38" t="s">
        <v>538</v>
      </c>
      <c r="E68" s="10">
        <f>Source!BZ64</f>
        <v>103</v>
      </c>
      <c r="F68" s="58"/>
      <c r="G68" s="40"/>
      <c r="H68" s="41">
        <f>SUM(S62:S71)</f>
        <v>31.77</v>
      </c>
      <c r="I68" s="44"/>
      <c r="J68" s="36">
        <f>Source!AT64</f>
        <v>103</v>
      </c>
      <c r="K68" s="41">
        <f>SUM(T62:T71)</f>
        <v>1045.31</v>
      </c>
      <c r="L68" s="42"/>
    </row>
    <row r="69" spans="1:26" ht="14.25">
      <c r="A69" s="23"/>
      <c r="B69" s="55"/>
      <c r="C69" s="55" t="s">
        <v>539</v>
      </c>
      <c r="D69" s="38" t="s">
        <v>538</v>
      </c>
      <c r="E69" s="10">
        <f>Source!CA64</f>
        <v>60</v>
      </c>
      <c r="F69" s="58"/>
      <c r="G69" s="40"/>
      <c r="H69" s="41">
        <f>SUM(U62:U71)</f>
        <v>18.5</v>
      </c>
      <c r="I69" s="44"/>
      <c r="J69" s="36">
        <f>Source!AU64</f>
        <v>60</v>
      </c>
      <c r="K69" s="41">
        <f>SUM(V62:V71)</f>
        <v>608.91999999999996</v>
      </c>
      <c r="L69" s="42"/>
    </row>
    <row r="70" spans="1:26" ht="14.25">
      <c r="A70" s="23"/>
      <c r="B70" s="55"/>
      <c r="C70" s="55" t="s">
        <v>540</v>
      </c>
      <c r="D70" s="38" t="s">
        <v>541</v>
      </c>
      <c r="E70" s="10">
        <f>Source!AQ64</f>
        <v>61.9</v>
      </c>
      <c r="F70" s="39"/>
      <c r="G70" s="40" t="str">
        <f>Source!DI64</f>
        <v/>
      </c>
      <c r="H70" s="41"/>
      <c r="I70" s="40"/>
      <c r="J70" s="40"/>
      <c r="K70" s="41"/>
      <c r="L70" s="45">
        <f>Source!U64</f>
        <v>3.0950000000000002</v>
      </c>
    </row>
    <row r="71" spans="1:26" ht="14.25">
      <c r="A71" s="56" t="str">
        <f>Source!E66</f>
        <v>2,2</v>
      </c>
      <c r="B71" s="57" t="str">
        <f>Source!F66</f>
        <v>509-9900</v>
      </c>
      <c r="C71" s="57" t="str">
        <f>Source!G66</f>
        <v>Строительный мусор</v>
      </c>
      <c r="D71" s="46" t="str">
        <f>Source!H66</f>
        <v>т</v>
      </c>
      <c r="E71" s="47">
        <f>Source!I66</f>
        <v>5.4999999999999997E-3</v>
      </c>
      <c r="F71" s="48">
        <f>Source!AL66+Source!AM66+Source!AO66</f>
        <v>0</v>
      </c>
      <c r="G71" s="49" t="s">
        <v>3</v>
      </c>
      <c r="H71" s="50">
        <f>ROUND(Source!AC66*Source!I66, 2)+ROUND(Source!AD66*Source!I66, 2)+ROUND(Source!AF66*Source!I66, 2)</f>
        <v>0</v>
      </c>
      <c r="I71" s="51"/>
      <c r="J71" s="51">
        <f>IF(Source!BC66&lt;&gt; 0, Source!BC66, 1)</f>
        <v>1</v>
      </c>
      <c r="K71" s="50">
        <f>Source!O66</f>
        <v>0</v>
      </c>
      <c r="L71" s="52"/>
      <c r="S71">
        <f>ROUND((Source!FX66/100)*((ROUND(Source!AF66*Source!I66, 2)+ROUND(Source!AE66*Source!I66, 2))), 2)</f>
        <v>0</v>
      </c>
      <c r="T71">
        <f>Source!X66</f>
        <v>0</v>
      </c>
      <c r="U71">
        <f>ROUND((Source!FY66/100)*((ROUND(Source!AF66*Source!I66, 2)+ROUND(Source!AE66*Source!I66, 2))), 2)</f>
        <v>0</v>
      </c>
      <c r="V71">
        <f>Source!Y66</f>
        <v>0</v>
      </c>
      <c r="W71">
        <f>IF(Source!BI66&lt;=1,H71, 0)</f>
        <v>0</v>
      </c>
      <c r="X71">
        <f>IF(Source!BI66=2,H71, 0)</f>
        <v>0</v>
      </c>
      <c r="Y71">
        <f>IF(Source!BI66=3,H71, 0)</f>
        <v>0</v>
      </c>
      <c r="Z71">
        <f>IF(Source!BI66=4,H71, 0)</f>
        <v>0</v>
      </c>
    </row>
    <row r="72" spans="1:26" ht="15">
      <c r="G72" s="64">
        <f>H64+H65+H67+H68+H69+SUM(H71:H71)</f>
        <v>608.34</v>
      </c>
      <c r="H72" s="64"/>
      <c r="J72" s="64">
        <f>K64+K65+K67+K68+K69+SUM(K71:K71)</f>
        <v>4641.0499999999993</v>
      </c>
      <c r="K72" s="64"/>
      <c r="L72" s="37">
        <f>Source!U64</f>
        <v>3.0950000000000002</v>
      </c>
      <c r="O72" s="32">
        <f>G72</f>
        <v>608.34</v>
      </c>
      <c r="P72" s="32">
        <f>J72</f>
        <v>4641.0499999999993</v>
      </c>
      <c r="Q72" s="32">
        <f>L72</f>
        <v>3.0950000000000002</v>
      </c>
      <c r="W72">
        <f>IF(Source!BI64&lt;=1,H64+H65+H67+H68+H69, 0)</f>
        <v>608.34</v>
      </c>
      <c r="X72">
        <f>IF(Source!BI64=2,H64+H65+H67+H68+H69, 0)</f>
        <v>0</v>
      </c>
      <c r="Y72">
        <f>IF(Source!BI64=3,H64+H65+H67+H68+H69, 0)</f>
        <v>0</v>
      </c>
      <c r="Z72">
        <f>IF(Source!BI64=4,H64+H65+H67+H68+H69, 0)</f>
        <v>0</v>
      </c>
    </row>
    <row r="73" spans="1:26" ht="28.5">
      <c r="A73" s="23" t="str">
        <f>Source!E67</f>
        <v>4</v>
      </c>
      <c r="B73" s="55" t="str">
        <f>Source!F67</f>
        <v>17-01-005-4</v>
      </c>
      <c r="C73" s="55" t="str">
        <f>Source!G67</f>
        <v>Установка раковин</v>
      </c>
      <c r="D73" s="38" t="str">
        <f>Source!H67</f>
        <v>10 компл.</v>
      </c>
      <c r="E73" s="10">
        <f>Source!I67</f>
        <v>0.1</v>
      </c>
      <c r="F73" s="39">
        <f>Source!AL67+Source!AM67+Source!AO67</f>
        <v>1209.32</v>
      </c>
      <c r="G73" s="40"/>
      <c r="H73" s="41"/>
      <c r="I73" s="40" t="str">
        <f>Source!BO67</f>
        <v>17-01-005-4</v>
      </c>
      <c r="J73" s="40"/>
      <c r="K73" s="41"/>
      <c r="L73" s="42"/>
      <c r="S73">
        <f>ROUND((Source!FX67/100)*((ROUND(Source!AF67*Source!I67, 2)+ROUND(Source!AE67*Source!I67, 2))), 2)</f>
        <v>11.6</v>
      </c>
      <c r="T73">
        <f>Source!X67</f>
        <v>380.89</v>
      </c>
      <c r="U73">
        <f>ROUND((Source!FY67/100)*((ROUND(Source!AF67*Source!I67, 2)+ROUND(Source!AE67*Source!I67, 2))), 2)</f>
        <v>7.1</v>
      </c>
      <c r="V73">
        <f>Source!Y67</f>
        <v>235.16</v>
      </c>
    </row>
    <row r="74" spans="1:26">
      <c r="C74" s="31" t="str">
        <f>"Объем: "&amp;Source!I67&amp;"=1/"&amp;"10"</f>
        <v>Объем: 0,1=1/10</v>
      </c>
    </row>
    <row r="75" spans="1:26" ht="14.25">
      <c r="A75" s="23"/>
      <c r="B75" s="55"/>
      <c r="C75" s="55" t="s">
        <v>534</v>
      </c>
      <c r="D75" s="38"/>
      <c r="E75" s="10"/>
      <c r="F75" s="39">
        <f>Source!AO67</f>
        <v>86.48</v>
      </c>
      <c r="G75" s="40" t="str">
        <f>Source!DG67</f>
        <v>*1,15</v>
      </c>
      <c r="H75" s="41">
        <f>ROUND(Source!AF67*Source!I67, 2)</f>
        <v>9.9499999999999993</v>
      </c>
      <c r="I75" s="40"/>
      <c r="J75" s="40">
        <f>IF(Source!BA67&lt;&gt; 0, Source!BA67, 1)</f>
        <v>32.909999999999997</v>
      </c>
      <c r="K75" s="41">
        <f>Source!S67</f>
        <v>327.3</v>
      </c>
      <c r="L75" s="42"/>
      <c r="R75">
        <f>H75</f>
        <v>9.9499999999999993</v>
      </c>
    </row>
    <row r="76" spans="1:26" ht="14.25">
      <c r="A76" s="23"/>
      <c r="B76" s="55"/>
      <c r="C76" s="55" t="s">
        <v>36</v>
      </c>
      <c r="D76" s="38"/>
      <c r="E76" s="10"/>
      <c r="F76" s="39">
        <f>Source!AM67</f>
        <v>14.78</v>
      </c>
      <c r="G76" s="40" t="str">
        <f>Source!DE67</f>
        <v>*1,25</v>
      </c>
      <c r="H76" s="41">
        <f>ROUND(Source!AD67*Source!I67, 2)</f>
        <v>1.85</v>
      </c>
      <c r="I76" s="40"/>
      <c r="J76" s="40">
        <f>IF(Source!BB67&lt;&gt; 0, Source!BB67, 1)</f>
        <v>10.94</v>
      </c>
      <c r="K76" s="41">
        <f>Source!Q67</f>
        <v>20.21</v>
      </c>
      <c r="L76" s="42"/>
    </row>
    <row r="77" spans="1:26" ht="14.25">
      <c r="A77" s="23"/>
      <c r="B77" s="55"/>
      <c r="C77" s="55" t="s">
        <v>535</v>
      </c>
      <c r="D77" s="38"/>
      <c r="E77" s="10"/>
      <c r="F77" s="39">
        <f>Source!AN67</f>
        <v>0.95</v>
      </c>
      <c r="G77" s="40" t="str">
        <f>Source!DF67</f>
        <v>*1,25</v>
      </c>
      <c r="H77" s="43">
        <f>ROUND(Source!AE67*Source!I67, 2)</f>
        <v>0.12</v>
      </c>
      <c r="I77" s="40"/>
      <c r="J77" s="40">
        <f>IF(Source!BS67&lt;&gt; 0, Source!BS67, 1)</f>
        <v>32.909999999999997</v>
      </c>
      <c r="K77" s="43">
        <f>Source!R67</f>
        <v>3.91</v>
      </c>
      <c r="L77" s="42"/>
      <c r="R77">
        <f>H77</f>
        <v>0.12</v>
      </c>
    </row>
    <row r="78" spans="1:26" ht="14.25">
      <c r="A78" s="23"/>
      <c r="B78" s="55"/>
      <c r="C78" s="55" t="s">
        <v>536</v>
      </c>
      <c r="D78" s="38"/>
      <c r="E78" s="10"/>
      <c r="F78" s="39">
        <f>Source!AL67</f>
        <v>1108.06</v>
      </c>
      <c r="G78" s="40" t="str">
        <f>Source!DD67</f>
        <v/>
      </c>
      <c r="H78" s="41">
        <f>ROUND(Source!AC67*Source!I67, 2)</f>
        <v>110.81</v>
      </c>
      <c r="I78" s="40"/>
      <c r="J78" s="40">
        <f>IF(Source!BC67&lt;&gt; 0, Source!BC67, 1)</f>
        <v>5.69</v>
      </c>
      <c r="K78" s="41">
        <f>Source!P67</f>
        <v>630.49</v>
      </c>
      <c r="L78" s="42"/>
    </row>
    <row r="79" spans="1:26" ht="14.25">
      <c r="A79" s="23"/>
      <c r="B79" s="55"/>
      <c r="C79" s="55" t="s">
        <v>537</v>
      </c>
      <c r="D79" s="38" t="s">
        <v>538</v>
      </c>
      <c r="E79" s="10">
        <f>Source!BZ67</f>
        <v>128</v>
      </c>
      <c r="F79" s="62" t="str">
        <f>CONCATENATE(" )", Source!DL67, Source!FT67, "=", Source!FX67)</f>
        <v xml:space="preserve"> )*0,9=115,2</v>
      </c>
      <c r="G79" s="63"/>
      <c r="H79" s="41">
        <f>SUM(S73:S81)</f>
        <v>11.6</v>
      </c>
      <c r="I79" s="44"/>
      <c r="J79" s="36">
        <f>Source!AT67</f>
        <v>115</v>
      </c>
      <c r="K79" s="41">
        <f>SUM(T73:T81)</f>
        <v>380.89</v>
      </c>
      <c r="L79" s="42"/>
    </row>
    <row r="80" spans="1:26" ht="14.25">
      <c r="A80" s="23"/>
      <c r="B80" s="55"/>
      <c r="C80" s="55" t="s">
        <v>539</v>
      </c>
      <c r="D80" s="38" t="s">
        <v>538</v>
      </c>
      <c r="E80" s="10">
        <f>Source!CA67</f>
        <v>83</v>
      </c>
      <c r="F80" s="62" t="str">
        <f>CONCATENATE(" )", Source!DM67, Source!FU67, "=", Source!FY67)</f>
        <v xml:space="preserve"> )*0,85=70,55</v>
      </c>
      <c r="G80" s="63"/>
      <c r="H80" s="41">
        <f>SUM(U73:U81)</f>
        <v>7.1</v>
      </c>
      <c r="I80" s="44"/>
      <c r="J80" s="36">
        <f>Source!AU67</f>
        <v>71</v>
      </c>
      <c r="K80" s="41">
        <f>SUM(V73:V81)</f>
        <v>235.16</v>
      </c>
      <c r="L80" s="42"/>
    </row>
    <row r="81" spans="1:26" ht="14.25">
      <c r="A81" s="56"/>
      <c r="B81" s="57"/>
      <c r="C81" s="57" t="s">
        <v>540</v>
      </c>
      <c r="D81" s="46" t="s">
        <v>541</v>
      </c>
      <c r="E81" s="47">
        <f>Source!AQ67</f>
        <v>8.99</v>
      </c>
      <c r="F81" s="48"/>
      <c r="G81" s="51" t="str">
        <f>Source!DI67</f>
        <v>*1,15</v>
      </c>
      <c r="H81" s="50"/>
      <c r="I81" s="51"/>
      <c r="J81" s="51"/>
      <c r="K81" s="50"/>
      <c r="L81" s="53">
        <f>Source!U67</f>
        <v>1.0338499999999999</v>
      </c>
    </row>
    <row r="82" spans="1:26" ht="15">
      <c r="G82" s="64">
        <f>H75+H76+H78+H79+H80</f>
        <v>141.31</v>
      </c>
      <c r="H82" s="64"/>
      <c r="J82" s="64">
        <f>K75+K76+K78+K79+K80</f>
        <v>1594.05</v>
      </c>
      <c r="K82" s="64"/>
      <c r="L82" s="37">
        <f>Source!U67</f>
        <v>1.0338499999999999</v>
      </c>
      <c r="O82" s="32">
        <f>G82</f>
        <v>141.31</v>
      </c>
      <c r="P82" s="32">
        <f>J82</f>
        <v>1594.05</v>
      </c>
      <c r="Q82" s="32">
        <f>L82</f>
        <v>1.0338499999999999</v>
      </c>
      <c r="W82">
        <f>IF(Source!BI67&lt;=1,H75+H76+H78+H79+H80, 0)</f>
        <v>141.31</v>
      </c>
      <c r="X82">
        <f>IF(Source!BI67=2,H75+H76+H78+H79+H80, 0)</f>
        <v>0</v>
      </c>
      <c r="Y82">
        <f>IF(Source!BI67=3,H75+H76+H78+H79+H80, 0)</f>
        <v>0</v>
      </c>
      <c r="Z82">
        <f>IF(Source!BI67=4,H75+H76+H78+H79+H80, 0)</f>
        <v>0</v>
      </c>
    </row>
    <row r="83" spans="1:26" ht="28.5">
      <c r="A83" s="23" t="str">
        <f>Source!E68</f>
        <v>5</v>
      </c>
      <c r="B83" s="55" t="str">
        <f>Source!F68</f>
        <v>17-01-002-3</v>
      </c>
      <c r="C83" s="55" t="str">
        <f>Source!G68</f>
        <v>Установка смесителей</v>
      </c>
      <c r="D83" s="38" t="str">
        <f>Source!H68</f>
        <v>10 шт.</v>
      </c>
      <c r="E83" s="10">
        <f>Source!I68</f>
        <v>0.1</v>
      </c>
      <c r="F83" s="39">
        <f>Source!AL68+Source!AM68+Source!AO68</f>
        <v>1512.97</v>
      </c>
      <c r="G83" s="40"/>
      <c r="H83" s="41"/>
      <c r="I83" s="40" t="str">
        <f>Source!BO68</f>
        <v>17-01-002-3</v>
      </c>
      <c r="J83" s="40"/>
      <c r="K83" s="41"/>
      <c r="L83" s="42"/>
      <c r="S83">
        <f>ROUND((Source!FX68/100)*((ROUND(Source!AF68*Source!I68, 2)+ROUND(Source!AE68*Source!I68, 2))), 2)</f>
        <v>8.92</v>
      </c>
      <c r="T83">
        <f>Source!X68</f>
        <v>293.08999999999997</v>
      </c>
      <c r="U83">
        <f>ROUND((Source!FY68/100)*((ROUND(Source!AF68*Source!I68, 2)+ROUND(Source!AE68*Source!I68, 2))), 2)</f>
        <v>5.46</v>
      </c>
      <c r="V83">
        <f>Source!Y68</f>
        <v>180.95</v>
      </c>
    </row>
    <row r="84" spans="1:26">
      <c r="C84" s="31" t="str">
        <f>"Объем: "&amp;Source!I68&amp;"=1/"&amp;"10"</f>
        <v>Объем: 0,1=1/10</v>
      </c>
    </row>
    <row r="85" spans="1:26" ht="14.25">
      <c r="A85" s="23"/>
      <c r="B85" s="55"/>
      <c r="C85" s="55" t="s">
        <v>534</v>
      </c>
      <c r="D85" s="38"/>
      <c r="E85" s="10"/>
      <c r="F85" s="39">
        <f>Source!AO68</f>
        <v>67.34</v>
      </c>
      <c r="G85" s="40" t="str">
        <f>Source!DG68</f>
        <v>*1,15</v>
      </c>
      <c r="H85" s="41">
        <f>ROUND(Source!AF68*Source!I68, 2)</f>
        <v>7.74</v>
      </c>
      <c r="I85" s="40"/>
      <c r="J85" s="40">
        <f>IF(Source!BA68&lt;&gt; 0, Source!BA68, 1)</f>
        <v>32.909999999999997</v>
      </c>
      <c r="K85" s="41">
        <f>Source!S68</f>
        <v>254.86</v>
      </c>
      <c r="L85" s="42"/>
      <c r="R85">
        <f>H85</f>
        <v>7.74</v>
      </c>
    </row>
    <row r="86" spans="1:26" ht="14.25">
      <c r="A86" s="23"/>
      <c r="B86" s="55"/>
      <c r="C86" s="55" t="s">
        <v>36</v>
      </c>
      <c r="D86" s="38"/>
      <c r="E86" s="10"/>
      <c r="F86" s="39">
        <f>Source!AM68</f>
        <v>0.2</v>
      </c>
      <c r="G86" s="40" t="str">
        <f>Source!DE68</f>
        <v>*1,25</v>
      </c>
      <c r="H86" s="41">
        <f>ROUND(Source!AD68*Source!I68, 2)</f>
        <v>0.03</v>
      </c>
      <c r="I86" s="40"/>
      <c r="J86" s="40">
        <f>IF(Source!BB68&lt;&gt; 0, Source!BB68, 1)</f>
        <v>3.65</v>
      </c>
      <c r="K86" s="41">
        <f>Source!Q68</f>
        <v>0.09</v>
      </c>
      <c r="L86" s="42"/>
    </row>
    <row r="87" spans="1:26" ht="14.25">
      <c r="A87" s="23"/>
      <c r="B87" s="55"/>
      <c r="C87" s="55" t="s">
        <v>536</v>
      </c>
      <c r="D87" s="38"/>
      <c r="E87" s="10"/>
      <c r="F87" s="39">
        <f>Source!AL68</f>
        <v>1445.43</v>
      </c>
      <c r="G87" s="40" t="str">
        <f>Source!DD68</f>
        <v/>
      </c>
      <c r="H87" s="41">
        <f>ROUND(Source!AC68*Source!I68, 2)</f>
        <v>144.54</v>
      </c>
      <c r="I87" s="40"/>
      <c r="J87" s="40">
        <f>IF(Source!BC68&lt;&gt; 0, Source!BC68, 1)</f>
        <v>3.92</v>
      </c>
      <c r="K87" s="41">
        <f>Source!P68</f>
        <v>566.61</v>
      </c>
      <c r="L87" s="42"/>
    </row>
    <row r="88" spans="1:26" ht="14.25">
      <c r="A88" s="23"/>
      <c r="B88" s="55"/>
      <c r="C88" s="55" t="s">
        <v>537</v>
      </c>
      <c r="D88" s="38" t="s">
        <v>538</v>
      </c>
      <c r="E88" s="10">
        <f>Source!BZ68</f>
        <v>128</v>
      </c>
      <c r="F88" s="62" t="str">
        <f>CONCATENATE(" )", Source!DL68, Source!FT68, "=", Source!FX68)</f>
        <v xml:space="preserve"> )*0,9=115,2</v>
      </c>
      <c r="G88" s="63"/>
      <c r="H88" s="41">
        <f>SUM(S83:S90)</f>
        <v>8.92</v>
      </c>
      <c r="I88" s="44"/>
      <c r="J88" s="36">
        <f>Source!AT68</f>
        <v>115</v>
      </c>
      <c r="K88" s="41">
        <f>SUM(T83:T90)</f>
        <v>293.08999999999997</v>
      </c>
      <c r="L88" s="42"/>
    </row>
    <row r="89" spans="1:26" ht="14.25">
      <c r="A89" s="23"/>
      <c r="B89" s="55"/>
      <c r="C89" s="55" t="s">
        <v>539</v>
      </c>
      <c r="D89" s="38" t="s">
        <v>538</v>
      </c>
      <c r="E89" s="10">
        <f>Source!CA68</f>
        <v>83</v>
      </c>
      <c r="F89" s="62" t="str">
        <f>CONCATENATE(" )", Source!DM68, Source!FU68, "=", Source!FY68)</f>
        <v xml:space="preserve"> )*0,85=70,55</v>
      </c>
      <c r="G89" s="63"/>
      <c r="H89" s="41">
        <f>SUM(U83:U90)</f>
        <v>5.46</v>
      </c>
      <c r="I89" s="44"/>
      <c r="J89" s="36">
        <f>Source!AU68</f>
        <v>71</v>
      </c>
      <c r="K89" s="41">
        <f>SUM(V83:V90)</f>
        <v>180.95</v>
      </c>
      <c r="L89" s="42"/>
    </row>
    <row r="90" spans="1:26" ht="14.25">
      <c r="A90" s="56"/>
      <c r="B90" s="57"/>
      <c r="C90" s="57" t="s">
        <v>540</v>
      </c>
      <c r="D90" s="46" t="s">
        <v>541</v>
      </c>
      <c r="E90" s="47">
        <f>Source!AQ68</f>
        <v>7</v>
      </c>
      <c r="F90" s="48"/>
      <c r="G90" s="51" t="str">
        <f>Source!DI68</f>
        <v>*1,15</v>
      </c>
      <c r="H90" s="50"/>
      <c r="I90" s="51"/>
      <c r="J90" s="51"/>
      <c r="K90" s="50"/>
      <c r="L90" s="53">
        <f>Source!U68</f>
        <v>0.80499999999999994</v>
      </c>
    </row>
    <row r="91" spans="1:26" ht="15">
      <c r="G91" s="64">
        <f>H85+H86+H87+H88+H89</f>
        <v>166.69</v>
      </c>
      <c r="H91" s="64"/>
      <c r="J91" s="64">
        <f>K85+K86+K87+K88+K89</f>
        <v>1295.6000000000001</v>
      </c>
      <c r="K91" s="64"/>
      <c r="L91" s="37">
        <f>Source!U68</f>
        <v>0.80499999999999994</v>
      </c>
      <c r="O91" s="32">
        <f>G91</f>
        <v>166.69</v>
      </c>
      <c r="P91" s="32">
        <f>J91</f>
        <v>1295.6000000000001</v>
      </c>
      <c r="Q91" s="32">
        <f>L91</f>
        <v>0.80499999999999994</v>
      </c>
      <c r="W91">
        <f>IF(Source!BI68&lt;=1,H85+H86+H87+H88+H89, 0)</f>
        <v>166.69</v>
      </c>
      <c r="X91">
        <f>IF(Source!BI68=2,H85+H86+H87+H88+H89, 0)</f>
        <v>0</v>
      </c>
      <c r="Y91">
        <f>IF(Source!BI68=3,H85+H86+H87+H88+H89, 0)</f>
        <v>0</v>
      </c>
      <c r="Z91">
        <f>IF(Source!BI68=4,H85+H86+H87+H88+H89, 0)</f>
        <v>0</v>
      </c>
    </row>
    <row r="92" spans="1:26" ht="28.5">
      <c r="A92" s="23" t="str">
        <f>Source!E69</f>
        <v>6</v>
      </c>
      <c r="B92" s="55" t="str">
        <f>Source!F69</f>
        <v>м08-02-390-1</v>
      </c>
      <c r="C92" s="55" t="str">
        <f>Source!G69</f>
        <v>Короба пластмассовые шириной до 40 мм</v>
      </c>
      <c r="D92" s="38" t="str">
        <f>Source!H69</f>
        <v>100 м</v>
      </c>
      <c r="E92" s="10">
        <f>Source!I69</f>
        <v>0.08</v>
      </c>
      <c r="F92" s="39">
        <f>Source!AL69+Source!AM69+Source!AO69</f>
        <v>237.45</v>
      </c>
      <c r="G92" s="40"/>
      <c r="H92" s="41"/>
      <c r="I92" s="40" t="str">
        <f>Source!BO69</f>
        <v>м08-02-390-1</v>
      </c>
      <c r="J92" s="40"/>
      <c r="K92" s="41"/>
      <c r="L92" s="42"/>
      <c r="S92">
        <f>ROUND((Source!FX69/100)*((ROUND(Source!AF69*Source!I69, 2)+ROUND(Source!AE69*Source!I69, 2))), 2)</f>
        <v>11.78</v>
      </c>
      <c r="T92">
        <f>Source!X69</f>
        <v>387.83</v>
      </c>
      <c r="U92">
        <f>ROUND((Source!FY69/100)*((ROUND(Source!AF69*Source!I69, 2)+ROUND(Source!AE69*Source!I69, 2))), 2)</f>
        <v>8.06</v>
      </c>
      <c r="V92">
        <f>Source!Y69</f>
        <v>265.36</v>
      </c>
    </row>
    <row r="93" spans="1:26">
      <c r="C93" s="31" t="str">
        <f>"Объем: "&amp;Source!I69&amp;"=8/"&amp;"100"</f>
        <v>Объем: 0,08=8/100</v>
      </c>
    </row>
    <row r="94" spans="1:26" ht="14.25">
      <c r="A94" s="23"/>
      <c r="B94" s="55"/>
      <c r="C94" s="55" t="s">
        <v>534</v>
      </c>
      <c r="D94" s="38"/>
      <c r="E94" s="10"/>
      <c r="F94" s="39">
        <f>Source!AO69</f>
        <v>154.91999999999999</v>
      </c>
      <c r="G94" s="40" t="str">
        <f>Source!DG69</f>
        <v/>
      </c>
      <c r="H94" s="41">
        <f>ROUND(Source!AF69*Source!I69, 2)</f>
        <v>12.39</v>
      </c>
      <c r="I94" s="40"/>
      <c r="J94" s="40">
        <f>IF(Source!BA69&lt;&gt; 0, Source!BA69, 1)</f>
        <v>32.909999999999997</v>
      </c>
      <c r="K94" s="41">
        <f>Source!S69</f>
        <v>407.87</v>
      </c>
      <c r="L94" s="42"/>
      <c r="R94">
        <f>H94</f>
        <v>12.39</v>
      </c>
    </row>
    <row r="95" spans="1:26" ht="14.25">
      <c r="A95" s="23"/>
      <c r="B95" s="55"/>
      <c r="C95" s="55" t="s">
        <v>36</v>
      </c>
      <c r="D95" s="38"/>
      <c r="E95" s="10"/>
      <c r="F95" s="39">
        <f>Source!AM69</f>
        <v>31.2</v>
      </c>
      <c r="G95" s="40" t="str">
        <f>Source!DE69</f>
        <v/>
      </c>
      <c r="H95" s="41">
        <f>ROUND(Source!AD69*Source!I69, 2)</f>
        <v>2.5</v>
      </c>
      <c r="I95" s="40"/>
      <c r="J95" s="40">
        <f>IF(Source!BB69&lt;&gt; 0, Source!BB69, 1)</f>
        <v>8.84</v>
      </c>
      <c r="K95" s="41">
        <f>Source!Q69</f>
        <v>22.06</v>
      </c>
      <c r="L95" s="42"/>
    </row>
    <row r="96" spans="1:26" ht="14.25">
      <c r="A96" s="23"/>
      <c r="B96" s="55"/>
      <c r="C96" s="55" t="s">
        <v>535</v>
      </c>
      <c r="D96" s="38"/>
      <c r="E96" s="10"/>
      <c r="F96" s="39">
        <f>Source!AN69</f>
        <v>0.14000000000000001</v>
      </c>
      <c r="G96" s="40" t="str">
        <f>Source!DF69</f>
        <v/>
      </c>
      <c r="H96" s="43">
        <f>ROUND(Source!AE69*Source!I69, 2)</f>
        <v>0.01</v>
      </c>
      <c r="I96" s="40"/>
      <c r="J96" s="40">
        <f>IF(Source!BS69&lt;&gt; 0, Source!BS69, 1)</f>
        <v>32.909999999999997</v>
      </c>
      <c r="K96" s="43">
        <f>Source!R69</f>
        <v>0.37</v>
      </c>
      <c r="L96" s="42"/>
      <c r="R96">
        <f>H96</f>
        <v>0.01</v>
      </c>
    </row>
    <row r="97" spans="1:26" ht="14.25">
      <c r="A97" s="23"/>
      <c r="B97" s="55"/>
      <c r="C97" s="55" t="s">
        <v>536</v>
      </c>
      <c r="D97" s="38"/>
      <c r="E97" s="10"/>
      <c r="F97" s="39">
        <f>Source!AL69</f>
        <v>51.33</v>
      </c>
      <c r="G97" s="40" t="str">
        <f>Source!DD69</f>
        <v/>
      </c>
      <c r="H97" s="41">
        <f>ROUND(Source!AC69*Source!I69, 2)</f>
        <v>4.1100000000000003</v>
      </c>
      <c r="I97" s="40"/>
      <c r="J97" s="40">
        <f>IF(Source!BC69&lt;&gt; 0, Source!BC69, 1)</f>
        <v>4.62</v>
      </c>
      <c r="K97" s="41">
        <f>Source!P69</f>
        <v>18.97</v>
      </c>
      <c r="L97" s="42"/>
    </row>
    <row r="98" spans="1:26" ht="14.25">
      <c r="A98" s="23"/>
      <c r="B98" s="55"/>
      <c r="C98" s="55" t="s">
        <v>537</v>
      </c>
      <c r="D98" s="38" t="s">
        <v>538</v>
      </c>
      <c r="E98" s="10">
        <f>Source!BZ69</f>
        <v>95</v>
      </c>
      <c r="F98" s="58"/>
      <c r="G98" s="40"/>
      <c r="H98" s="41">
        <f>SUM(S92:S101)</f>
        <v>11.78</v>
      </c>
      <c r="I98" s="44"/>
      <c r="J98" s="36">
        <f>Source!AT69</f>
        <v>95</v>
      </c>
      <c r="K98" s="41">
        <f>SUM(T92:T101)</f>
        <v>387.83</v>
      </c>
      <c r="L98" s="42"/>
    </row>
    <row r="99" spans="1:26" ht="14.25">
      <c r="A99" s="23"/>
      <c r="B99" s="55"/>
      <c r="C99" s="55" t="s">
        <v>539</v>
      </c>
      <c r="D99" s="38" t="s">
        <v>538</v>
      </c>
      <c r="E99" s="10">
        <f>Source!CA69</f>
        <v>65</v>
      </c>
      <c r="F99" s="58"/>
      <c r="G99" s="40"/>
      <c r="H99" s="41">
        <f>SUM(U92:U101)</f>
        <v>8.06</v>
      </c>
      <c r="I99" s="44"/>
      <c r="J99" s="36">
        <f>Source!AU69</f>
        <v>65</v>
      </c>
      <c r="K99" s="41">
        <f>SUM(V92:V101)</f>
        <v>265.36</v>
      </c>
      <c r="L99" s="42"/>
    </row>
    <row r="100" spans="1:26" ht="14.25">
      <c r="A100" s="23"/>
      <c r="B100" s="55"/>
      <c r="C100" s="55" t="s">
        <v>540</v>
      </c>
      <c r="D100" s="38" t="s">
        <v>541</v>
      </c>
      <c r="E100" s="10">
        <f>Source!AQ69</f>
        <v>16.29</v>
      </c>
      <c r="F100" s="39"/>
      <c r="G100" s="40" t="str">
        <f>Source!DI69</f>
        <v/>
      </c>
      <c r="H100" s="41"/>
      <c r="I100" s="40"/>
      <c r="J100" s="40"/>
      <c r="K100" s="41"/>
      <c r="L100" s="45">
        <f>Source!U69</f>
        <v>1.3031999999999999</v>
      </c>
    </row>
    <row r="101" spans="1:26" ht="28.5">
      <c r="A101" s="56" t="str">
        <f>Source!E70</f>
        <v>6,1</v>
      </c>
      <c r="B101" s="57" t="str">
        <f>Source!F70</f>
        <v>509-1829</v>
      </c>
      <c r="C101" s="57" t="str">
        <f>Source!G70</f>
        <v>Кабель-канал (короб) "Электропласт" 16x16 мм</v>
      </c>
      <c r="D101" s="46" t="str">
        <f>Source!H70</f>
        <v>м</v>
      </c>
      <c r="E101" s="47">
        <f>Source!I70</f>
        <v>8</v>
      </c>
      <c r="F101" s="48">
        <f>Source!AL70+Source!AM70+Source!AO70</f>
        <v>1.2</v>
      </c>
      <c r="G101" s="49" t="s">
        <v>3</v>
      </c>
      <c r="H101" s="50">
        <f>ROUND(Source!AC70*Source!I70, 2)+ROUND(Source!AD70*Source!I70, 2)+ROUND(Source!AF70*Source!I70, 2)</f>
        <v>9.6</v>
      </c>
      <c r="I101" s="51"/>
      <c r="J101" s="51">
        <f>IF(Source!BC70&lt;&gt; 0, Source!BC70, 1)</f>
        <v>4.8600000000000003</v>
      </c>
      <c r="K101" s="50">
        <f>Source!O70</f>
        <v>46.66</v>
      </c>
      <c r="L101" s="52"/>
      <c r="S101">
        <f>ROUND((Source!FX70/100)*((ROUND(Source!AF70*Source!I70, 2)+ROUND(Source!AE70*Source!I70, 2))), 2)</f>
        <v>0</v>
      </c>
      <c r="T101">
        <f>Source!X70</f>
        <v>0</v>
      </c>
      <c r="U101">
        <f>ROUND((Source!FY70/100)*((ROUND(Source!AF70*Source!I70, 2)+ROUND(Source!AE70*Source!I70, 2))), 2)</f>
        <v>0</v>
      </c>
      <c r="V101">
        <f>Source!Y70</f>
        <v>0</v>
      </c>
      <c r="W101">
        <f>IF(Source!BI70&lt;=1,H101, 0)</f>
        <v>0</v>
      </c>
      <c r="X101">
        <f>IF(Source!BI70=2,H101, 0)</f>
        <v>9.6</v>
      </c>
      <c r="Y101">
        <f>IF(Source!BI70=3,H101, 0)</f>
        <v>0</v>
      </c>
      <c r="Z101">
        <f>IF(Source!BI70=4,H101, 0)</f>
        <v>0</v>
      </c>
    </row>
    <row r="102" spans="1:26" ht="15">
      <c r="G102" s="64">
        <f>H94+H95+H97+H98+H99+SUM(H101:H101)</f>
        <v>48.440000000000005</v>
      </c>
      <c r="H102" s="64"/>
      <c r="J102" s="64">
        <f>K94+K95+K97+K98+K99+SUM(K101:K101)</f>
        <v>1148.7500000000002</v>
      </c>
      <c r="K102" s="64"/>
      <c r="L102" s="37">
        <f>Source!U69</f>
        <v>1.3031999999999999</v>
      </c>
      <c r="O102" s="32">
        <f>G102</f>
        <v>48.440000000000005</v>
      </c>
      <c r="P102" s="32">
        <f>J102</f>
        <v>1148.7500000000002</v>
      </c>
      <c r="Q102" s="32">
        <f>L102</f>
        <v>1.3031999999999999</v>
      </c>
      <c r="W102">
        <f>IF(Source!BI69&lt;=1,H94+H95+H97+H98+H99, 0)</f>
        <v>0</v>
      </c>
      <c r="X102">
        <f>IF(Source!BI69=2,H94+H95+H97+H98+H99, 0)</f>
        <v>38.840000000000003</v>
      </c>
      <c r="Y102">
        <f>IF(Source!BI69=3,H94+H95+H97+H98+H99, 0)</f>
        <v>0</v>
      </c>
      <c r="Z102">
        <f>IF(Source!BI69=4,H94+H95+H97+H98+H99, 0)</f>
        <v>0</v>
      </c>
    </row>
    <row r="104" spans="1:26" ht="16.5">
      <c r="A104" s="59" t="str">
        <f>CONCATENATE("Подраздел: ",IF(Source!G72&lt;&gt;"Новый подраздел", Source!G72, ""))</f>
        <v>Подраздел: Пол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</row>
    <row r="105" spans="1:26" ht="57">
      <c r="A105" s="23" t="str">
        <f>Source!E76</f>
        <v>1</v>
      </c>
      <c r="B105" s="55" t="str">
        <f>Source!F76</f>
        <v>11-01-006-2</v>
      </c>
      <c r="C105" s="55" t="str">
        <f>Source!G76</f>
        <v>Устройство гидроизоляции полимерцементным составом толщиной слоя 30 мм на латексе СКС-65-ГП</v>
      </c>
      <c r="D105" s="38" t="str">
        <f>Source!H76</f>
        <v>100 м2 поверхности</v>
      </c>
      <c r="E105" s="10">
        <f>Source!I76</f>
        <v>0.05</v>
      </c>
      <c r="F105" s="39">
        <f>Source!AL76+Source!AM76+Source!AO76</f>
        <v>4431.62</v>
      </c>
      <c r="G105" s="40"/>
      <c r="H105" s="41"/>
      <c r="I105" s="40" t="str">
        <f>Source!BO76</f>
        <v>11-01-006-2</v>
      </c>
      <c r="J105" s="40"/>
      <c r="K105" s="41"/>
      <c r="L105" s="42"/>
      <c r="S105">
        <f>ROUND((Source!FX76/100)*((ROUND(Source!AF76*Source!I76, 2)+ROUND(Source!AE76*Source!I76, 2))), 2)</f>
        <v>58.73</v>
      </c>
      <c r="T105">
        <f>Source!X76</f>
        <v>1937.83</v>
      </c>
      <c r="U105">
        <f>ROUND((Source!FY76/100)*((ROUND(Source!AF76*Source!I76, 2)+ROUND(Source!AE76*Source!I76, 2))), 2)</f>
        <v>33.82</v>
      </c>
      <c r="V105">
        <f>Source!Y76</f>
        <v>1117.31</v>
      </c>
    </row>
    <row r="106" spans="1:26">
      <c r="C106" s="31" t="str">
        <f>"Объем: "&amp;Source!I76&amp;"=5/"&amp;"100"</f>
        <v>Объем: 0,05=5/100</v>
      </c>
    </row>
    <row r="107" spans="1:26" ht="14.25">
      <c r="A107" s="23"/>
      <c r="B107" s="55"/>
      <c r="C107" s="55" t="s">
        <v>534</v>
      </c>
      <c r="D107" s="38"/>
      <c r="E107" s="10"/>
      <c r="F107" s="39">
        <f>Source!AO76</f>
        <v>767.77</v>
      </c>
      <c r="G107" s="40" t="str">
        <f>Source!DG76</f>
        <v>*1,15</v>
      </c>
      <c r="H107" s="41">
        <f>ROUND(Source!AF76*Source!I76, 2)</f>
        <v>44.15</v>
      </c>
      <c r="I107" s="40"/>
      <c r="J107" s="40">
        <f>IF(Source!BA76&lt;&gt; 0, Source!BA76, 1)</f>
        <v>32.909999999999997</v>
      </c>
      <c r="K107" s="41">
        <f>Source!S76</f>
        <v>1452.87</v>
      </c>
      <c r="L107" s="42"/>
      <c r="R107">
        <f>H107</f>
        <v>44.15</v>
      </c>
    </row>
    <row r="108" spans="1:26" ht="14.25">
      <c r="A108" s="23"/>
      <c r="B108" s="55"/>
      <c r="C108" s="55" t="s">
        <v>36</v>
      </c>
      <c r="D108" s="38"/>
      <c r="E108" s="10"/>
      <c r="F108" s="39">
        <f>Source!AM76</f>
        <v>845.71</v>
      </c>
      <c r="G108" s="40" t="str">
        <f>Source!DE76</f>
        <v>*1,25</v>
      </c>
      <c r="H108" s="41">
        <f>ROUND(Source!AD76*Source!I76, 2)</f>
        <v>52.86</v>
      </c>
      <c r="I108" s="40"/>
      <c r="J108" s="40">
        <f>IF(Source!BB76&lt;&gt; 0, Source!BB76, 1)</f>
        <v>11.49</v>
      </c>
      <c r="K108" s="41">
        <f>Source!Q76</f>
        <v>607.33000000000004</v>
      </c>
      <c r="L108" s="42"/>
    </row>
    <row r="109" spans="1:26" ht="14.25">
      <c r="A109" s="23"/>
      <c r="B109" s="55"/>
      <c r="C109" s="55" t="s">
        <v>535</v>
      </c>
      <c r="D109" s="38"/>
      <c r="E109" s="10"/>
      <c r="F109" s="39">
        <f>Source!AN76</f>
        <v>142.41</v>
      </c>
      <c r="G109" s="40" t="str">
        <f>Source!DF76</f>
        <v>*1,25</v>
      </c>
      <c r="H109" s="43">
        <f>ROUND(Source!AE76*Source!I76, 2)</f>
        <v>8.9</v>
      </c>
      <c r="I109" s="40"/>
      <c r="J109" s="40">
        <f>IF(Source!BS76&lt;&gt; 0, Source!BS76, 1)</f>
        <v>32.909999999999997</v>
      </c>
      <c r="K109" s="43">
        <f>Source!R76</f>
        <v>292.92</v>
      </c>
      <c r="L109" s="42"/>
      <c r="R109">
        <f>H109</f>
        <v>8.9</v>
      </c>
    </row>
    <row r="110" spans="1:26" ht="14.25">
      <c r="A110" s="23"/>
      <c r="B110" s="55"/>
      <c r="C110" s="55" t="s">
        <v>536</v>
      </c>
      <c r="D110" s="38"/>
      <c r="E110" s="10"/>
      <c r="F110" s="39">
        <f>Source!AL76</f>
        <v>2818.14</v>
      </c>
      <c r="G110" s="40" t="str">
        <f>Source!DD76</f>
        <v/>
      </c>
      <c r="H110" s="41">
        <f>ROUND(Source!AC76*Source!I76, 2)</f>
        <v>140.91</v>
      </c>
      <c r="I110" s="40"/>
      <c r="J110" s="40">
        <f>IF(Source!BC76&lt;&gt; 0, Source!BC76, 1)</f>
        <v>10.210000000000001</v>
      </c>
      <c r="K110" s="41">
        <f>Source!P76</f>
        <v>1438.66</v>
      </c>
      <c r="L110" s="42"/>
    </row>
    <row r="111" spans="1:26" ht="14.25">
      <c r="A111" s="23"/>
      <c r="B111" s="55"/>
      <c r="C111" s="55" t="s">
        <v>537</v>
      </c>
      <c r="D111" s="38" t="s">
        <v>538</v>
      </c>
      <c r="E111" s="10">
        <f>Source!BZ76</f>
        <v>123</v>
      </c>
      <c r="F111" s="62" t="str">
        <f>CONCATENATE(" )", Source!DL76, Source!FT76, "=", Source!FX76)</f>
        <v xml:space="preserve"> )*0,9=110,7</v>
      </c>
      <c r="G111" s="63"/>
      <c r="H111" s="41">
        <f>SUM(S105:S113)</f>
        <v>58.73</v>
      </c>
      <c r="I111" s="44"/>
      <c r="J111" s="36">
        <f>Source!AT76</f>
        <v>111</v>
      </c>
      <c r="K111" s="41">
        <f>SUM(T105:T113)</f>
        <v>1937.83</v>
      </c>
      <c r="L111" s="42"/>
    </row>
    <row r="112" spans="1:26" ht="14.25">
      <c r="A112" s="23"/>
      <c r="B112" s="55"/>
      <c r="C112" s="55" t="s">
        <v>539</v>
      </c>
      <c r="D112" s="38" t="s">
        <v>538</v>
      </c>
      <c r="E112" s="10">
        <f>Source!CA76</f>
        <v>75</v>
      </c>
      <c r="F112" s="62" t="str">
        <f>CONCATENATE(" )", Source!DM76, Source!FU76, "=", Source!FY76)</f>
        <v xml:space="preserve"> )*0,85=63,75</v>
      </c>
      <c r="G112" s="63"/>
      <c r="H112" s="41">
        <f>SUM(U105:U113)</f>
        <v>33.82</v>
      </c>
      <c r="I112" s="44"/>
      <c r="J112" s="36">
        <f>Source!AU76</f>
        <v>64</v>
      </c>
      <c r="K112" s="41">
        <f>SUM(V105:V113)</f>
        <v>1117.31</v>
      </c>
      <c r="L112" s="42"/>
    </row>
    <row r="113" spans="1:26" ht="14.25">
      <c r="A113" s="56"/>
      <c r="B113" s="57"/>
      <c r="C113" s="57" t="s">
        <v>540</v>
      </c>
      <c r="D113" s="46" t="s">
        <v>541</v>
      </c>
      <c r="E113" s="47">
        <f>Source!AQ76</f>
        <v>79.81</v>
      </c>
      <c r="F113" s="48"/>
      <c r="G113" s="51" t="str">
        <f>Source!DI76</f>
        <v>*1,15</v>
      </c>
      <c r="H113" s="50"/>
      <c r="I113" s="51"/>
      <c r="J113" s="51"/>
      <c r="K113" s="50"/>
      <c r="L113" s="53">
        <f>Source!U76</f>
        <v>4.5890750000000002</v>
      </c>
    </row>
    <row r="114" spans="1:26" ht="15">
      <c r="G114" s="64">
        <f>H107+H108+H110+H111+H112</f>
        <v>330.46999999999997</v>
      </c>
      <c r="H114" s="64"/>
      <c r="J114" s="64">
        <f>K107+K108+K110+K111+K112</f>
        <v>6554</v>
      </c>
      <c r="K114" s="64"/>
      <c r="L114" s="37">
        <f>Source!U76</f>
        <v>4.5890750000000002</v>
      </c>
      <c r="O114" s="32">
        <f>G114</f>
        <v>330.46999999999997</v>
      </c>
      <c r="P114" s="32">
        <f>J114</f>
        <v>6554</v>
      </c>
      <c r="Q114" s="32">
        <f>L114</f>
        <v>4.5890750000000002</v>
      </c>
      <c r="W114">
        <f>IF(Source!BI76&lt;=1,H107+H108+H110+H111+H112, 0)</f>
        <v>330.46999999999997</v>
      </c>
      <c r="X114">
        <f>IF(Source!BI76=2,H107+H108+H110+H111+H112, 0)</f>
        <v>0</v>
      </c>
      <c r="Y114">
        <f>IF(Source!BI76=3,H107+H108+H110+H111+H112, 0)</f>
        <v>0</v>
      </c>
      <c r="Z114">
        <f>IF(Source!BI76=4,H107+H108+H110+H111+H112, 0)</f>
        <v>0</v>
      </c>
    </row>
    <row r="115" spans="1:26" ht="42.75">
      <c r="A115" s="23" t="str">
        <f>Source!E77</f>
        <v>2</v>
      </c>
      <c r="B115" s="55" t="str">
        <f>Source!F77</f>
        <v>11-01-300-1</v>
      </c>
      <c r="C115" s="55" t="str">
        <f>Source!G77</f>
        <v>Устройство покрытий из керамогранитных плиток размером 30х30 см</v>
      </c>
      <c r="D115" s="38" t="str">
        <f>Source!H77</f>
        <v>100 м2</v>
      </c>
      <c r="E115" s="10">
        <f>Source!I77</f>
        <v>0.05</v>
      </c>
      <c r="F115" s="39">
        <f>Source!AL77+Source!AM77+Source!AO77</f>
        <v>9873.01</v>
      </c>
      <c r="G115" s="40"/>
      <c r="H115" s="41"/>
      <c r="I115" s="40" t="str">
        <f>Source!BO77</f>
        <v>11-01-300-1</v>
      </c>
      <c r="J115" s="40"/>
      <c r="K115" s="41"/>
      <c r="L115" s="42"/>
      <c r="S115">
        <f>ROUND((Source!FX77/100)*((ROUND(Source!AF77*Source!I77, 2)+ROUND(Source!AE77*Source!I77, 2))), 2)</f>
        <v>45.82</v>
      </c>
      <c r="T115">
        <f>Source!X77</f>
        <v>1511.82</v>
      </c>
      <c r="U115">
        <f>ROUND((Source!FY77/100)*((ROUND(Source!AF77*Source!I77, 2)+ROUND(Source!AE77*Source!I77, 2))), 2)</f>
        <v>26.39</v>
      </c>
      <c r="V115">
        <f>Source!Y77</f>
        <v>871.68</v>
      </c>
    </row>
    <row r="116" spans="1:26">
      <c r="C116" s="31" t="str">
        <f>"Объем: "&amp;Source!I77&amp;"=5/"&amp;"100"</f>
        <v>Объем: 0,05=5/100</v>
      </c>
    </row>
    <row r="117" spans="1:26" ht="14.25">
      <c r="A117" s="23"/>
      <c r="B117" s="55"/>
      <c r="C117" s="55" t="s">
        <v>534</v>
      </c>
      <c r="D117" s="38"/>
      <c r="E117" s="10"/>
      <c r="F117" s="39">
        <f>Source!AO77</f>
        <v>669.75</v>
      </c>
      <c r="G117" s="40" t="str">
        <f>Source!DG77</f>
        <v>*1,15</v>
      </c>
      <c r="H117" s="41">
        <f>ROUND(Source!AF77*Source!I77, 2)</f>
        <v>38.51</v>
      </c>
      <c r="I117" s="40"/>
      <c r="J117" s="40">
        <f>IF(Source!BA77&lt;&gt; 0, Source!BA77, 1)</f>
        <v>32.909999999999997</v>
      </c>
      <c r="K117" s="41">
        <f>Source!S77</f>
        <v>1267.3800000000001</v>
      </c>
      <c r="L117" s="42"/>
      <c r="R117">
        <f>H117</f>
        <v>38.51</v>
      </c>
    </row>
    <row r="118" spans="1:26" ht="14.25">
      <c r="A118" s="23"/>
      <c r="B118" s="55"/>
      <c r="C118" s="55" t="s">
        <v>36</v>
      </c>
      <c r="D118" s="38"/>
      <c r="E118" s="10"/>
      <c r="F118" s="39">
        <f>Source!AM77</f>
        <v>147.97</v>
      </c>
      <c r="G118" s="40" t="str">
        <f>Source!DE77</f>
        <v>*1,25</v>
      </c>
      <c r="H118" s="41">
        <f>ROUND(Source!AD77*Source!I77, 2)</f>
        <v>9.25</v>
      </c>
      <c r="I118" s="40"/>
      <c r="J118" s="40">
        <f>IF(Source!BB77&lt;&gt; 0, Source!BB77, 1)</f>
        <v>14.19</v>
      </c>
      <c r="K118" s="41">
        <f>Source!Q77</f>
        <v>131.22999999999999</v>
      </c>
      <c r="L118" s="42"/>
    </row>
    <row r="119" spans="1:26" ht="14.25">
      <c r="A119" s="23"/>
      <c r="B119" s="55"/>
      <c r="C119" s="55" t="s">
        <v>535</v>
      </c>
      <c r="D119" s="38"/>
      <c r="E119" s="10"/>
      <c r="F119" s="39">
        <f>Source!AN77</f>
        <v>46</v>
      </c>
      <c r="G119" s="40" t="str">
        <f>Source!DF77</f>
        <v>*1,25</v>
      </c>
      <c r="H119" s="43">
        <f>ROUND(Source!AE77*Source!I77, 2)</f>
        <v>2.88</v>
      </c>
      <c r="I119" s="40"/>
      <c r="J119" s="40">
        <f>IF(Source!BS77&lt;&gt; 0, Source!BS77, 1)</f>
        <v>32.909999999999997</v>
      </c>
      <c r="K119" s="43">
        <f>Source!R77</f>
        <v>94.62</v>
      </c>
      <c r="L119" s="42"/>
      <c r="R119">
        <f>H119</f>
        <v>2.88</v>
      </c>
    </row>
    <row r="120" spans="1:26" ht="14.25">
      <c r="A120" s="23"/>
      <c r="B120" s="55"/>
      <c r="C120" s="55" t="s">
        <v>537</v>
      </c>
      <c r="D120" s="38" t="s">
        <v>538</v>
      </c>
      <c r="E120" s="10">
        <f>Source!BZ77</f>
        <v>123</v>
      </c>
      <c r="F120" s="62" t="str">
        <f>CONCATENATE(" )", Source!DL77, Source!FT77, "=", Source!FX77)</f>
        <v xml:space="preserve"> )*0,9=110,7</v>
      </c>
      <c r="G120" s="63"/>
      <c r="H120" s="41">
        <f>SUM(S115:S123)</f>
        <v>45.82</v>
      </c>
      <c r="I120" s="44"/>
      <c r="J120" s="36">
        <f>Source!AT77</f>
        <v>111</v>
      </c>
      <c r="K120" s="41">
        <f>SUM(T115:T123)</f>
        <v>1511.82</v>
      </c>
      <c r="L120" s="42"/>
    </row>
    <row r="121" spans="1:26" ht="14.25">
      <c r="A121" s="23"/>
      <c r="B121" s="55"/>
      <c r="C121" s="55" t="s">
        <v>539</v>
      </c>
      <c r="D121" s="38" t="s">
        <v>538</v>
      </c>
      <c r="E121" s="10">
        <f>Source!CA77</f>
        <v>75</v>
      </c>
      <c r="F121" s="62" t="str">
        <f>CONCATENATE(" )", Source!DM77, Source!FU77, "=", Source!FY77)</f>
        <v xml:space="preserve"> )*0,85=63,75</v>
      </c>
      <c r="G121" s="63"/>
      <c r="H121" s="41">
        <f>SUM(U115:U123)</f>
        <v>26.39</v>
      </c>
      <c r="I121" s="44"/>
      <c r="J121" s="36">
        <f>Source!AU77</f>
        <v>64</v>
      </c>
      <c r="K121" s="41">
        <f>SUM(V115:V123)</f>
        <v>871.68</v>
      </c>
      <c r="L121" s="42"/>
    </row>
    <row r="122" spans="1:26" ht="14.25">
      <c r="A122" s="23"/>
      <c r="B122" s="55"/>
      <c r="C122" s="55" t="s">
        <v>540</v>
      </c>
      <c r="D122" s="38" t="s">
        <v>541</v>
      </c>
      <c r="E122" s="10">
        <f>Source!AQ77</f>
        <v>76.63</v>
      </c>
      <c r="F122" s="39"/>
      <c r="G122" s="40" t="str">
        <f>Source!DI77</f>
        <v>*1,15</v>
      </c>
      <c r="H122" s="41"/>
      <c r="I122" s="40"/>
      <c r="J122" s="40"/>
      <c r="K122" s="41"/>
      <c r="L122" s="45">
        <f>Source!U77</f>
        <v>4.4062249999999992</v>
      </c>
    </row>
    <row r="123" spans="1:26" ht="57">
      <c r="A123" s="56" t="str">
        <f>Source!E78</f>
        <v>2,1</v>
      </c>
      <c r="B123" s="57" t="str">
        <f>Source!F78</f>
        <v>101-1741</v>
      </c>
      <c r="C123" s="57" t="str">
        <f>Source!G78</f>
        <v>Плитки керамические для полов гладкие неглазурованные многоцветные квадратные и прямоугольные</v>
      </c>
      <c r="D123" s="46" t="str">
        <f>Source!H78</f>
        <v>м2</v>
      </c>
      <c r="E123" s="47">
        <f>Source!I78</f>
        <v>5</v>
      </c>
      <c r="F123" s="48">
        <f>Source!AL78+Source!AM78+Source!AO78</f>
        <v>67.8</v>
      </c>
      <c r="G123" s="49" t="s">
        <v>3</v>
      </c>
      <c r="H123" s="50">
        <f>ROUND(Source!AC78*Source!I78, 2)+ROUND(Source!AD78*Source!I78, 2)+ROUND(Source!AF78*Source!I78, 2)</f>
        <v>339</v>
      </c>
      <c r="I123" s="51"/>
      <c r="J123" s="51">
        <f>IF(Source!BC78&lt;&gt; 0, Source!BC78, 1)</f>
        <v>7.57</v>
      </c>
      <c r="K123" s="50">
        <f>Source!O78</f>
        <v>2566.23</v>
      </c>
      <c r="L123" s="52"/>
      <c r="S123">
        <f>ROUND((Source!FX78/100)*((ROUND(Source!AF78*Source!I78, 2)+ROUND(Source!AE78*Source!I78, 2))), 2)</f>
        <v>0</v>
      </c>
      <c r="T123">
        <f>Source!X78</f>
        <v>0</v>
      </c>
      <c r="U123">
        <f>ROUND((Source!FY78/100)*((ROUND(Source!AF78*Source!I78, 2)+ROUND(Source!AE78*Source!I78, 2))), 2)</f>
        <v>0</v>
      </c>
      <c r="V123">
        <f>Source!Y78</f>
        <v>0</v>
      </c>
      <c r="W123">
        <f>IF(Source!BI78&lt;=1,H123, 0)</f>
        <v>339</v>
      </c>
      <c r="X123">
        <f>IF(Source!BI78=2,H123, 0)</f>
        <v>0</v>
      </c>
      <c r="Y123">
        <f>IF(Source!BI78=3,H123, 0)</f>
        <v>0</v>
      </c>
      <c r="Z123">
        <f>IF(Source!BI78=4,H123, 0)</f>
        <v>0</v>
      </c>
    </row>
    <row r="124" spans="1:26" ht="15">
      <c r="G124" s="64">
        <f>H117+H118+H120+H121+SUM(H123:H123)</f>
        <v>458.97</v>
      </c>
      <c r="H124" s="64"/>
      <c r="J124" s="64">
        <f>K117+K118+K120+K121+SUM(K123:K123)</f>
        <v>6348.34</v>
      </c>
      <c r="K124" s="64"/>
      <c r="L124" s="37">
        <f>Source!U77</f>
        <v>4.4062249999999992</v>
      </c>
      <c r="O124" s="32">
        <f>G124</f>
        <v>458.97</v>
      </c>
      <c r="P124" s="32">
        <f>J124</f>
        <v>6348.34</v>
      </c>
      <c r="Q124" s="32">
        <f>L124</f>
        <v>4.4062249999999992</v>
      </c>
      <c r="W124">
        <f>IF(Source!BI77&lt;=1,H117+H118+H120+H121, 0)</f>
        <v>119.97</v>
      </c>
      <c r="X124">
        <f>IF(Source!BI77=2,H117+H118+H120+H121, 0)</f>
        <v>0</v>
      </c>
      <c r="Y124">
        <f>IF(Source!BI77=3,H117+H118+H120+H121, 0)</f>
        <v>0</v>
      </c>
      <c r="Z124">
        <f>IF(Source!BI77=4,H117+H118+H120+H121, 0)</f>
        <v>0</v>
      </c>
    </row>
    <row r="125" spans="1:26" ht="42.75">
      <c r="A125" s="23" t="str">
        <f>Source!E79</f>
        <v>3</v>
      </c>
      <c r="B125" s="55" t="str">
        <f>Source!F79</f>
        <v>11-01-040-1</v>
      </c>
      <c r="C125" s="55" t="str">
        <f>Source!G79</f>
        <v>Устройство плинтусов поливинилхлоридных на клее КН-2</v>
      </c>
      <c r="D125" s="38" t="str">
        <f>Source!H79</f>
        <v>100 М ПЛИНТУСА</v>
      </c>
      <c r="E125" s="10">
        <f>Source!I79</f>
        <v>0.09</v>
      </c>
      <c r="F125" s="39">
        <f>Source!AL79+Source!AM79+Source!AO79</f>
        <v>90.36</v>
      </c>
      <c r="G125" s="40"/>
      <c r="H125" s="41"/>
      <c r="I125" s="40" t="str">
        <f>Source!BO79</f>
        <v>11-01-040-1</v>
      </c>
      <c r="J125" s="40"/>
      <c r="K125" s="41"/>
      <c r="L125" s="42"/>
      <c r="S125">
        <f>ROUND((Source!FX79/100)*((ROUND(Source!AF79*Source!I79, 2)+ROUND(Source!AE79*Source!I79, 2))), 2)</f>
        <v>10.050000000000001</v>
      </c>
      <c r="T125">
        <f>Source!X79</f>
        <v>331.73</v>
      </c>
      <c r="U125">
        <f>ROUND((Source!FY79/100)*((ROUND(Source!AF79*Source!I79, 2)+ROUND(Source!AE79*Source!I79, 2))), 2)</f>
        <v>5.79</v>
      </c>
      <c r="V125">
        <f>Source!Y79</f>
        <v>191.27</v>
      </c>
    </row>
    <row r="126" spans="1:26">
      <c r="C126" s="31" t="str">
        <f>"Объем: "&amp;Source!I79&amp;"=9/"&amp;"100"</f>
        <v>Объем: 0,09=9/100</v>
      </c>
    </row>
    <row r="127" spans="1:26" ht="14.25">
      <c r="A127" s="23"/>
      <c r="B127" s="55"/>
      <c r="C127" s="55" t="s">
        <v>534</v>
      </c>
      <c r="D127" s="38"/>
      <c r="E127" s="10"/>
      <c r="F127" s="39">
        <f>Source!AO79</f>
        <v>87.74</v>
      </c>
      <c r="G127" s="40" t="str">
        <f>Source!DG79</f>
        <v>*1,15</v>
      </c>
      <c r="H127" s="41">
        <f>ROUND(Source!AF79*Source!I79, 2)</f>
        <v>9.08</v>
      </c>
      <c r="I127" s="40"/>
      <c r="J127" s="40">
        <f>IF(Source!BA79&lt;&gt; 0, Source!BA79, 1)</f>
        <v>32.909999999999997</v>
      </c>
      <c r="K127" s="41">
        <f>Source!S79</f>
        <v>298.86</v>
      </c>
      <c r="L127" s="42"/>
      <c r="R127">
        <f>H127</f>
        <v>9.08</v>
      </c>
    </row>
    <row r="128" spans="1:26" ht="14.25">
      <c r="A128" s="23"/>
      <c r="B128" s="55"/>
      <c r="C128" s="55" t="s">
        <v>36</v>
      </c>
      <c r="D128" s="38"/>
      <c r="E128" s="10"/>
      <c r="F128" s="39">
        <f>Source!AM79</f>
        <v>2.62</v>
      </c>
      <c r="G128" s="40" t="str">
        <f>Source!DE79</f>
        <v>*1,25</v>
      </c>
      <c r="H128" s="41">
        <f>ROUND(Source!AD79*Source!I79, 2)</f>
        <v>0.28999999999999998</v>
      </c>
      <c r="I128" s="40"/>
      <c r="J128" s="40">
        <f>IF(Source!BB79&lt;&gt; 0, Source!BB79, 1)</f>
        <v>10.52</v>
      </c>
      <c r="K128" s="41">
        <f>Source!Q79</f>
        <v>3.1</v>
      </c>
      <c r="L128" s="42"/>
    </row>
    <row r="129" spans="1:26" ht="14.25">
      <c r="A129" s="23"/>
      <c r="B129" s="55"/>
      <c r="C129" s="55" t="s">
        <v>537</v>
      </c>
      <c r="D129" s="38" t="s">
        <v>538</v>
      </c>
      <c r="E129" s="10">
        <f>Source!BZ79</f>
        <v>123</v>
      </c>
      <c r="F129" s="62" t="str">
        <f>CONCATENATE(" )", Source!DL79, Source!FT79, "=", Source!FX79)</f>
        <v xml:space="preserve"> )*0,9=110,7</v>
      </c>
      <c r="G129" s="63"/>
      <c r="H129" s="41">
        <f>SUM(S125:S131)</f>
        <v>10.050000000000001</v>
      </c>
      <c r="I129" s="44"/>
      <c r="J129" s="36">
        <f>Source!AT79</f>
        <v>111</v>
      </c>
      <c r="K129" s="41">
        <f>SUM(T125:T131)</f>
        <v>331.73</v>
      </c>
      <c r="L129" s="42"/>
    </row>
    <row r="130" spans="1:26" ht="14.25">
      <c r="A130" s="23"/>
      <c r="B130" s="55"/>
      <c r="C130" s="55" t="s">
        <v>539</v>
      </c>
      <c r="D130" s="38" t="s">
        <v>538</v>
      </c>
      <c r="E130" s="10">
        <f>Source!CA79</f>
        <v>75</v>
      </c>
      <c r="F130" s="62" t="str">
        <f>CONCATENATE(" )", Source!DM79, Source!FU79, "=", Source!FY79)</f>
        <v xml:space="preserve"> )*0,85=63,75</v>
      </c>
      <c r="G130" s="63"/>
      <c r="H130" s="41">
        <f>SUM(U125:U131)</f>
        <v>5.79</v>
      </c>
      <c r="I130" s="44"/>
      <c r="J130" s="36">
        <f>Source!AU79</f>
        <v>64</v>
      </c>
      <c r="K130" s="41">
        <f>SUM(V125:V131)</f>
        <v>191.27</v>
      </c>
      <c r="L130" s="42"/>
    </row>
    <row r="131" spans="1:26" ht="14.25">
      <c r="A131" s="56"/>
      <c r="B131" s="57"/>
      <c r="C131" s="57" t="s">
        <v>540</v>
      </c>
      <c r="D131" s="46" t="s">
        <v>541</v>
      </c>
      <c r="E131" s="47">
        <f>Source!AQ79</f>
        <v>8.99</v>
      </c>
      <c r="F131" s="48"/>
      <c r="G131" s="51" t="str">
        <f>Source!DI79</f>
        <v>*1,15</v>
      </c>
      <c r="H131" s="50"/>
      <c r="I131" s="51"/>
      <c r="J131" s="51"/>
      <c r="K131" s="50"/>
      <c r="L131" s="53">
        <f>Source!U79</f>
        <v>0.93046499999999999</v>
      </c>
    </row>
    <row r="132" spans="1:26" ht="15">
      <c r="G132" s="64">
        <f>H127+H128+H129+H130</f>
        <v>25.21</v>
      </c>
      <c r="H132" s="64"/>
      <c r="J132" s="64">
        <f>K127+K128+K129+K130</f>
        <v>824.96</v>
      </c>
      <c r="K132" s="64"/>
      <c r="L132" s="37">
        <f>Source!U79</f>
        <v>0.93046499999999999</v>
      </c>
      <c r="O132" s="32">
        <f>G132</f>
        <v>25.21</v>
      </c>
      <c r="P132" s="32">
        <f>J132</f>
        <v>824.96</v>
      </c>
      <c r="Q132" s="32">
        <f>L132</f>
        <v>0.93046499999999999</v>
      </c>
      <c r="W132">
        <f>IF(Source!BI79&lt;=1,H127+H128+H129+H130, 0)</f>
        <v>25.21</v>
      </c>
      <c r="X132">
        <f>IF(Source!BI79=2,H127+H128+H129+H130, 0)</f>
        <v>0</v>
      </c>
      <c r="Y132">
        <f>IF(Source!BI79=3,H127+H128+H129+H130, 0)</f>
        <v>0</v>
      </c>
      <c r="Z132">
        <f>IF(Source!BI79=4,H127+H128+H129+H130, 0)</f>
        <v>0</v>
      </c>
    </row>
    <row r="134" spans="1:26" ht="15">
      <c r="A134" s="61" t="str">
        <f>CONCATENATE("Итого по подразделу: ",IF(Source!G81&lt;&gt;"Новый подраздел", Source!G81, ""))</f>
        <v>Итого по подразделу: Пол</v>
      </c>
      <c r="B134" s="61"/>
      <c r="C134" s="61"/>
      <c r="D134" s="61"/>
      <c r="E134" s="61"/>
      <c r="F134" s="61"/>
      <c r="G134" s="60">
        <f>SUM(O104:O133)</f>
        <v>814.65000000000009</v>
      </c>
      <c r="H134" s="60"/>
      <c r="I134" s="35"/>
      <c r="J134" s="60">
        <f>SUM(P104:P133)</f>
        <v>13727.3</v>
      </c>
      <c r="K134" s="60"/>
      <c r="L134" s="37">
        <f>SUM(Q104:Q133)</f>
        <v>9.9257650000000002</v>
      </c>
    </row>
    <row r="138" spans="1:26" ht="16.5">
      <c r="A138" s="59" t="str">
        <f>CONCATENATE("Подраздел: ",IF(Source!G111&lt;&gt;"Новый подраздел", Source!G111, ""))</f>
        <v>Подраздел: Потолок</v>
      </c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</row>
    <row r="139" spans="1:26" ht="42.75">
      <c r="A139" s="23" t="str">
        <f>Source!E115</f>
        <v>1</v>
      </c>
      <c r="B139" s="55" t="str">
        <f>Source!F115</f>
        <v>м08-02-413-1</v>
      </c>
      <c r="C139" s="55" t="str">
        <f>Source!G115</f>
        <v>Провод, количество проводов в резинобитумной трубке до 2, сечение провода до 6 мм2</v>
      </c>
      <c r="D139" s="38" t="str">
        <f>Source!H115</f>
        <v>100 М ТРУБОК</v>
      </c>
      <c r="E139" s="10">
        <f>Source!I115</f>
        <v>0.06</v>
      </c>
      <c r="F139" s="39">
        <f>Source!AL115+Source!AM115+Source!AO115</f>
        <v>256.35000000000002</v>
      </c>
      <c r="G139" s="40"/>
      <c r="H139" s="41"/>
      <c r="I139" s="40" t="str">
        <f>Source!BO115</f>
        <v>м08-02-413-1</v>
      </c>
      <c r="J139" s="40"/>
      <c r="K139" s="41"/>
      <c r="L139" s="42"/>
      <c r="S139">
        <f>ROUND((Source!FX115/100)*((ROUND(Source!AF115*Source!I115, 2)+ROUND(Source!AE115*Source!I115, 2))), 2)</f>
        <v>8.8000000000000007</v>
      </c>
      <c r="T139">
        <f>Source!X115</f>
        <v>289.5</v>
      </c>
      <c r="U139">
        <f>ROUND((Source!FY115/100)*((ROUND(Source!AF115*Source!I115, 2)+ROUND(Source!AE115*Source!I115, 2))), 2)</f>
        <v>6.02</v>
      </c>
      <c r="V139">
        <f>Source!Y115</f>
        <v>198.08</v>
      </c>
    </row>
    <row r="140" spans="1:26">
      <c r="C140" s="31" t="str">
        <f>"Объем: "&amp;Source!I115&amp;"=6/"&amp;"100"</f>
        <v>Объем: 0,06=6/100</v>
      </c>
    </row>
    <row r="141" spans="1:26" ht="14.25">
      <c r="A141" s="23"/>
      <c r="B141" s="55"/>
      <c r="C141" s="55" t="s">
        <v>534</v>
      </c>
      <c r="D141" s="38"/>
      <c r="E141" s="10"/>
      <c r="F141" s="39">
        <f>Source!AO115</f>
        <v>151.9</v>
      </c>
      <c r="G141" s="40" t="str">
        <f>Source!DG115</f>
        <v/>
      </c>
      <c r="H141" s="41">
        <f>ROUND(Source!AF115*Source!I115, 2)</f>
        <v>9.11</v>
      </c>
      <c r="I141" s="40"/>
      <c r="J141" s="40">
        <f>IF(Source!BA115&lt;&gt; 0, Source!BA115, 1)</f>
        <v>32.909999999999997</v>
      </c>
      <c r="K141" s="41">
        <f>Source!S115</f>
        <v>299.94</v>
      </c>
      <c r="L141" s="42"/>
      <c r="R141">
        <f>H141</f>
        <v>9.11</v>
      </c>
    </row>
    <row r="142" spans="1:26" ht="14.25">
      <c r="A142" s="23"/>
      <c r="B142" s="55"/>
      <c r="C142" s="55" t="s">
        <v>36</v>
      </c>
      <c r="D142" s="38"/>
      <c r="E142" s="10"/>
      <c r="F142" s="39">
        <f>Source!AM115</f>
        <v>39.93</v>
      </c>
      <c r="G142" s="40" t="str">
        <f>Source!DE115</f>
        <v/>
      </c>
      <c r="H142" s="41">
        <f>ROUND(Source!AD115*Source!I115, 2)</f>
        <v>2.4</v>
      </c>
      <c r="I142" s="40"/>
      <c r="J142" s="40">
        <f>IF(Source!BB115&lt;&gt; 0, Source!BB115, 1)</f>
        <v>9.09</v>
      </c>
      <c r="K142" s="41">
        <f>Source!Q115</f>
        <v>21.78</v>
      </c>
      <c r="L142" s="42"/>
    </row>
    <row r="143" spans="1:26" ht="14.25">
      <c r="A143" s="23"/>
      <c r="B143" s="55"/>
      <c r="C143" s="55" t="s">
        <v>535</v>
      </c>
      <c r="D143" s="38"/>
      <c r="E143" s="10"/>
      <c r="F143" s="39">
        <f>Source!AN115</f>
        <v>2.4300000000000002</v>
      </c>
      <c r="G143" s="40" t="str">
        <f>Source!DF115</f>
        <v/>
      </c>
      <c r="H143" s="43">
        <f>ROUND(Source!AE115*Source!I115, 2)</f>
        <v>0.15</v>
      </c>
      <c r="I143" s="40"/>
      <c r="J143" s="40">
        <f>IF(Source!BS115&lt;&gt; 0, Source!BS115, 1)</f>
        <v>32.909999999999997</v>
      </c>
      <c r="K143" s="43">
        <f>Source!R115</f>
        <v>4.8</v>
      </c>
      <c r="L143" s="42"/>
      <c r="R143">
        <f>H143</f>
        <v>0.15</v>
      </c>
    </row>
    <row r="144" spans="1:26" ht="14.25">
      <c r="A144" s="23"/>
      <c r="B144" s="55"/>
      <c r="C144" s="55" t="s">
        <v>536</v>
      </c>
      <c r="D144" s="38"/>
      <c r="E144" s="10"/>
      <c r="F144" s="39">
        <f>Source!AL115</f>
        <v>64.52</v>
      </c>
      <c r="G144" s="40" t="str">
        <f>Source!DD115</f>
        <v/>
      </c>
      <c r="H144" s="41">
        <f>ROUND(Source!AC115*Source!I115, 2)</f>
        <v>3.87</v>
      </c>
      <c r="I144" s="40"/>
      <c r="J144" s="40">
        <f>IF(Source!BC115&lt;&gt; 0, Source!BC115, 1)</f>
        <v>5.33</v>
      </c>
      <c r="K144" s="41">
        <f>Source!P115</f>
        <v>20.63</v>
      </c>
      <c r="L144" s="42"/>
    </row>
    <row r="145" spans="1:26" ht="14.25">
      <c r="A145" s="23"/>
      <c r="B145" s="55"/>
      <c r="C145" s="55" t="s">
        <v>537</v>
      </c>
      <c r="D145" s="38" t="s">
        <v>538</v>
      </c>
      <c r="E145" s="10">
        <f>Source!BZ115</f>
        <v>95</v>
      </c>
      <c r="F145" s="58"/>
      <c r="G145" s="40"/>
      <c r="H145" s="41">
        <f>SUM(S139:S148)</f>
        <v>8.8000000000000007</v>
      </c>
      <c r="I145" s="44"/>
      <c r="J145" s="36">
        <f>Source!AT115</f>
        <v>95</v>
      </c>
      <c r="K145" s="41">
        <f>SUM(T139:T148)</f>
        <v>289.5</v>
      </c>
      <c r="L145" s="42"/>
    </row>
    <row r="146" spans="1:26" ht="14.25">
      <c r="A146" s="23"/>
      <c r="B146" s="55"/>
      <c r="C146" s="55" t="s">
        <v>539</v>
      </c>
      <c r="D146" s="38" t="s">
        <v>538</v>
      </c>
      <c r="E146" s="10">
        <f>Source!CA115</f>
        <v>65</v>
      </c>
      <c r="F146" s="58"/>
      <c r="G146" s="40"/>
      <c r="H146" s="41">
        <f>SUM(U139:U148)</f>
        <v>6.02</v>
      </c>
      <c r="I146" s="44"/>
      <c r="J146" s="36">
        <f>Source!AU115</f>
        <v>65</v>
      </c>
      <c r="K146" s="41">
        <f>SUM(V139:V148)</f>
        <v>198.08</v>
      </c>
      <c r="L146" s="42"/>
    </row>
    <row r="147" spans="1:26" ht="14.25">
      <c r="A147" s="23"/>
      <c r="B147" s="55"/>
      <c r="C147" s="55" t="s">
        <v>540</v>
      </c>
      <c r="D147" s="38" t="s">
        <v>541</v>
      </c>
      <c r="E147" s="10">
        <f>Source!AQ115</f>
        <v>16.16</v>
      </c>
      <c r="F147" s="39"/>
      <c r="G147" s="40" t="str">
        <f>Source!DI115</f>
        <v/>
      </c>
      <c r="H147" s="41"/>
      <c r="I147" s="40"/>
      <c r="J147" s="40"/>
      <c r="K147" s="41"/>
      <c r="L147" s="45">
        <f>Source!U115</f>
        <v>0.96960000000000002</v>
      </c>
    </row>
    <row r="148" spans="1:26" ht="85.5">
      <c r="A148" s="56" t="str">
        <f>Source!E116</f>
        <v>1,1</v>
      </c>
      <c r="B148" s="57" t="str">
        <f>Source!F116</f>
        <v>501-8442</v>
      </c>
      <c r="C148" s="57" t="str">
        <f>Source!G116</f>
        <v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v>
      </c>
      <c r="D148" s="46" t="str">
        <f>Source!H116</f>
        <v>1000 м</v>
      </c>
      <c r="E148" s="47">
        <f>Source!I116</f>
        <v>6.0000000000000001E-3</v>
      </c>
      <c r="F148" s="48">
        <f>Source!AL116+Source!AM116+Source!AO116</f>
        <v>3090.95</v>
      </c>
      <c r="G148" s="49" t="s">
        <v>3</v>
      </c>
      <c r="H148" s="50">
        <f>ROUND(Source!AC116*Source!I116, 2)+ROUND(Source!AD116*Source!I116, 2)+ROUND(Source!AF116*Source!I116, 2)</f>
        <v>18.55</v>
      </c>
      <c r="I148" s="51"/>
      <c r="J148" s="51">
        <f>IF(Source!BC116&lt;&gt; 0, Source!BC116, 1)</f>
        <v>10.35</v>
      </c>
      <c r="K148" s="50">
        <f>Source!O116</f>
        <v>191.95</v>
      </c>
      <c r="L148" s="52"/>
      <c r="S148">
        <f>ROUND((Source!FX116/100)*((ROUND(Source!AF116*Source!I116, 2)+ROUND(Source!AE116*Source!I116, 2))), 2)</f>
        <v>0</v>
      </c>
      <c r="T148">
        <f>Source!X116</f>
        <v>0</v>
      </c>
      <c r="U148">
        <f>ROUND((Source!FY116/100)*((ROUND(Source!AF116*Source!I116, 2)+ROUND(Source!AE116*Source!I116, 2))), 2)</f>
        <v>0</v>
      </c>
      <c r="V148">
        <f>Source!Y116</f>
        <v>0</v>
      </c>
      <c r="W148">
        <f>IF(Source!BI116&lt;=1,H148, 0)</f>
        <v>0</v>
      </c>
      <c r="X148">
        <f>IF(Source!BI116=2,H148, 0)</f>
        <v>18.55</v>
      </c>
      <c r="Y148">
        <f>IF(Source!BI116=3,H148, 0)</f>
        <v>0</v>
      </c>
      <c r="Z148">
        <f>IF(Source!BI116=4,H148, 0)</f>
        <v>0</v>
      </c>
    </row>
    <row r="149" spans="1:26" ht="15">
      <c r="G149" s="64">
        <f>H141+H142+H144+H145+H146+SUM(H148:H148)</f>
        <v>48.75</v>
      </c>
      <c r="H149" s="64"/>
      <c r="J149" s="64">
        <f>K141+K142+K144+K145+K146+SUM(K148:K148)</f>
        <v>1021.8800000000001</v>
      </c>
      <c r="K149" s="64"/>
      <c r="L149" s="37">
        <f>Source!U115</f>
        <v>0.96960000000000002</v>
      </c>
      <c r="O149" s="32">
        <f>G149</f>
        <v>48.75</v>
      </c>
      <c r="P149" s="32">
        <f>J149</f>
        <v>1021.8800000000001</v>
      </c>
      <c r="Q149" s="32">
        <f>L149</f>
        <v>0.96960000000000002</v>
      </c>
      <c r="W149">
        <f>IF(Source!BI115&lt;=1,H141+H142+H144+H145+H146, 0)</f>
        <v>0</v>
      </c>
      <c r="X149">
        <f>IF(Source!BI115=2,H141+H142+H144+H145+H146, 0)</f>
        <v>30.2</v>
      </c>
      <c r="Y149">
        <f>IF(Source!BI115=3,H141+H142+H144+H145+H146, 0)</f>
        <v>0</v>
      </c>
      <c r="Z149">
        <f>IF(Source!BI115=4,H141+H142+H144+H145+H146, 0)</f>
        <v>0</v>
      </c>
    </row>
    <row r="150" spans="1:26" ht="71.25">
      <c r="A150" s="23" t="str">
        <f>Source!E117</f>
        <v>3</v>
      </c>
      <c r="B150" s="55" t="str">
        <f>Source!F117</f>
        <v>15-01-047-15</v>
      </c>
      <c r="C150" s="55" t="str">
        <f>Source!G117</f>
        <v>Устройство подвесных потолков типа &lt;Армстронг&gt; по каркасу из оцинкованного профиля</v>
      </c>
      <c r="D150" s="38" t="str">
        <f>Source!H117</f>
        <v>100 м2 поверхности облицовки</v>
      </c>
      <c r="E150" s="10">
        <f>Source!I117</f>
        <v>0.05</v>
      </c>
      <c r="F150" s="39">
        <f>Source!AL117+Source!AM117+Source!AO117</f>
        <v>6747.4000000000005</v>
      </c>
      <c r="G150" s="40"/>
      <c r="H150" s="41"/>
      <c r="I150" s="40" t="str">
        <f>Source!BO117</f>
        <v>15-01-047-15</v>
      </c>
      <c r="J150" s="40"/>
      <c r="K150" s="41"/>
      <c r="L150" s="42"/>
      <c r="S150">
        <f>ROUND((Source!FX117/100)*((ROUND(Source!AF117*Source!I117, 2)+ROUND(Source!AE117*Source!I117, 2))), 2)</f>
        <v>52.94</v>
      </c>
      <c r="T150">
        <f>Source!X117</f>
        <v>1751.46</v>
      </c>
      <c r="U150">
        <f>ROUND((Source!FY117/100)*((ROUND(Source!AF117*Source!I117, 2)+ROUND(Source!AE117*Source!I117, 2))), 2)</f>
        <v>26.19</v>
      </c>
      <c r="V150">
        <f>Source!Y117</f>
        <v>866.51</v>
      </c>
    </row>
    <row r="151" spans="1:26">
      <c r="C151" s="31" t="str">
        <f>"Объем: "&amp;Source!I117&amp;"=5/"&amp;"100"</f>
        <v>Объем: 0,05=5/100</v>
      </c>
    </row>
    <row r="152" spans="1:26" ht="14.25">
      <c r="A152" s="23"/>
      <c r="B152" s="55"/>
      <c r="C152" s="55" t="s">
        <v>534</v>
      </c>
      <c r="D152" s="38"/>
      <c r="E152" s="10"/>
      <c r="F152" s="39">
        <f>Source!AO117</f>
        <v>963.12</v>
      </c>
      <c r="G152" s="40" t="str">
        <f>Source!DG117</f>
        <v>*1,15</v>
      </c>
      <c r="H152" s="41">
        <f>ROUND(Source!AF117*Source!I117, 2)</f>
        <v>55.38</v>
      </c>
      <c r="I152" s="40"/>
      <c r="J152" s="40">
        <f>IF(Source!BA117&lt;&gt; 0, Source!BA117, 1)</f>
        <v>32.909999999999997</v>
      </c>
      <c r="K152" s="41">
        <f>Source!S117</f>
        <v>1822.54</v>
      </c>
      <c r="L152" s="42"/>
      <c r="R152">
        <f>H152</f>
        <v>55.38</v>
      </c>
    </row>
    <row r="153" spans="1:26" ht="14.25">
      <c r="A153" s="23"/>
      <c r="B153" s="55"/>
      <c r="C153" s="55" t="s">
        <v>36</v>
      </c>
      <c r="D153" s="38"/>
      <c r="E153" s="10"/>
      <c r="F153" s="39">
        <f>Source!AM117</f>
        <v>433.43</v>
      </c>
      <c r="G153" s="40" t="str">
        <f>Source!DE117</f>
        <v>*1,25</v>
      </c>
      <c r="H153" s="41">
        <f>ROUND(Source!AD117*Source!I117, 2)</f>
        <v>27.09</v>
      </c>
      <c r="I153" s="40"/>
      <c r="J153" s="40">
        <f>IF(Source!BB117&lt;&gt; 0, Source!BB117, 1)</f>
        <v>10.59</v>
      </c>
      <c r="K153" s="41">
        <f>Source!Q117</f>
        <v>286.88</v>
      </c>
      <c r="L153" s="42"/>
    </row>
    <row r="154" spans="1:26" ht="14.25">
      <c r="A154" s="23"/>
      <c r="B154" s="55"/>
      <c r="C154" s="55" t="s">
        <v>535</v>
      </c>
      <c r="D154" s="38"/>
      <c r="E154" s="10"/>
      <c r="F154" s="39">
        <f>Source!AN117</f>
        <v>10.26</v>
      </c>
      <c r="G154" s="40" t="str">
        <f>Source!DF117</f>
        <v>*1,25</v>
      </c>
      <c r="H154" s="43">
        <f>ROUND(Source!AE117*Source!I117, 2)</f>
        <v>0.64</v>
      </c>
      <c r="I154" s="40"/>
      <c r="J154" s="40">
        <f>IF(Source!BS117&lt;&gt; 0, Source!BS117, 1)</f>
        <v>32.909999999999997</v>
      </c>
      <c r="K154" s="43">
        <f>Source!R117</f>
        <v>21.1</v>
      </c>
      <c r="L154" s="42"/>
      <c r="R154">
        <f>H154</f>
        <v>0.64</v>
      </c>
    </row>
    <row r="155" spans="1:26" ht="14.25">
      <c r="A155" s="23"/>
      <c r="B155" s="55"/>
      <c r="C155" s="55" t="s">
        <v>536</v>
      </c>
      <c r="D155" s="38"/>
      <c r="E155" s="10"/>
      <c r="F155" s="39">
        <f>Source!AL117</f>
        <v>5350.85</v>
      </c>
      <c r="G155" s="40" t="str">
        <f>Source!DD117</f>
        <v/>
      </c>
      <c r="H155" s="41">
        <f>ROUND(Source!AC117*Source!I117, 2)</f>
        <v>267.54000000000002</v>
      </c>
      <c r="I155" s="40"/>
      <c r="J155" s="40">
        <f>IF(Source!BC117&lt;&gt; 0, Source!BC117, 1)</f>
        <v>4.9800000000000004</v>
      </c>
      <c r="K155" s="41">
        <f>Source!P117</f>
        <v>1332.36</v>
      </c>
      <c r="L155" s="42"/>
    </row>
    <row r="156" spans="1:26" ht="14.25">
      <c r="A156" s="23"/>
      <c r="B156" s="55"/>
      <c r="C156" s="55" t="s">
        <v>537</v>
      </c>
      <c r="D156" s="38" t="s">
        <v>538</v>
      </c>
      <c r="E156" s="10">
        <f>Source!BZ117</f>
        <v>105</v>
      </c>
      <c r="F156" s="62" t="str">
        <f>CONCATENATE(" )", Source!DL117, Source!FT117, "=", Source!FX117)</f>
        <v xml:space="preserve"> )*0,9=94,5</v>
      </c>
      <c r="G156" s="63"/>
      <c r="H156" s="41">
        <f>SUM(S150:S159)</f>
        <v>52.94</v>
      </c>
      <c r="I156" s="44"/>
      <c r="J156" s="36">
        <f>Source!AT117</f>
        <v>95</v>
      </c>
      <c r="K156" s="41">
        <f>SUM(T150:T159)</f>
        <v>1751.46</v>
      </c>
      <c r="L156" s="42"/>
    </row>
    <row r="157" spans="1:26" ht="14.25">
      <c r="A157" s="23"/>
      <c r="B157" s="55"/>
      <c r="C157" s="55" t="s">
        <v>539</v>
      </c>
      <c r="D157" s="38" t="s">
        <v>538</v>
      </c>
      <c r="E157" s="10">
        <f>Source!CA117</f>
        <v>55</v>
      </c>
      <c r="F157" s="62" t="str">
        <f>CONCATENATE(" )", Source!DM117, Source!FU117, "=", Source!FY117)</f>
        <v xml:space="preserve"> )*0,85=46,75</v>
      </c>
      <c r="G157" s="63"/>
      <c r="H157" s="41">
        <f>SUM(U150:U159)</f>
        <v>26.19</v>
      </c>
      <c r="I157" s="44"/>
      <c r="J157" s="36">
        <f>Source!AU117</f>
        <v>47</v>
      </c>
      <c r="K157" s="41">
        <f>SUM(V150:V159)</f>
        <v>866.51</v>
      </c>
      <c r="L157" s="42"/>
    </row>
    <row r="158" spans="1:26" ht="14.25">
      <c r="A158" s="23"/>
      <c r="B158" s="55"/>
      <c r="C158" s="55" t="s">
        <v>540</v>
      </c>
      <c r="D158" s="38" t="s">
        <v>541</v>
      </c>
      <c r="E158" s="10">
        <f>Source!AQ117</f>
        <v>102.46</v>
      </c>
      <c r="F158" s="39"/>
      <c r="G158" s="40" t="str">
        <f>Source!DI117</f>
        <v>*1,15</v>
      </c>
      <c r="H158" s="41"/>
      <c r="I158" s="40"/>
      <c r="J158" s="40"/>
      <c r="K158" s="41"/>
      <c r="L158" s="45">
        <f>Source!U117</f>
        <v>5.891449999999999</v>
      </c>
    </row>
    <row r="159" spans="1:26" ht="28.5">
      <c r="A159" s="56" t="str">
        <f>Source!E118</f>
        <v>3,1</v>
      </c>
      <c r="B159" s="57" t="str">
        <f>Source!F118</f>
        <v>101-2414</v>
      </c>
      <c r="C159" s="57" t="str">
        <f>Source!G118</f>
        <v>Панели потолочные с комплектующими «Армстронг»</v>
      </c>
      <c r="D159" s="46" t="str">
        <f>Source!H118</f>
        <v>м2</v>
      </c>
      <c r="E159" s="47">
        <f>Source!I118</f>
        <v>5</v>
      </c>
      <c r="F159" s="48">
        <f>Source!AL118+Source!AM118+Source!AO118</f>
        <v>51.95</v>
      </c>
      <c r="G159" s="49" t="s">
        <v>3</v>
      </c>
      <c r="H159" s="50">
        <f>ROUND(Source!AC118*Source!I118, 2)+ROUND(Source!AD118*Source!I118, 2)+ROUND(Source!AF118*Source!I118, 2)</f>
        <v>259.75</v>
      </c>
      <c r="I159" s="51"/>
      <c r="J159" s="51">
        <f>IF(Source!BC118&lt;&gt; 0, Source!BC118, 1)</f>
        <v>4.9800000000000004</v>
      </c>
      <c r="K159" s="50">
        <f>Source!O118</f>
        <v>1293.56</v>
      </c>
      <c r="L159" s="52"/>
      <c r="S159">
        <f>ROUND((Source!FX118/100)*((ROUND(Source!AF118*Source!I118, 2)+ROUND(Source!AE118*Source!I118, 2))), 2)</f>
        <v>0</v>
      </c>
      <c r="T159">
        <f>Source!X118</f>
        <v>0</v>
      </c>
      <c r="U159">
        <f>ROUND((Source!FY118/100)*((ROUND(Source!AF118*Source!I118, 2)+ROUND(Source!AE118*Source!I118, 2))), 2)</f>
        <v>0</v>
      </c>
      <c r="V159">
        <f>Source!Y118</f>
        <v>0</v>
      </c>
      <c r="W159">
        <f>IF(Source!BI118&lt;=1,H159, 0)</f>
        <v>259.75</v>
      </c>
      <c r="X159">
        <f>IF(Source!BI118=2,H159, 0)</f>
        <v>0</v>
      </c>
      <c r="Y159">
        <f>IF(Source!BI118=3,H159, 0)</f>
        <v>0</v>
      </c>
      <c r="Z159">
        <f>IF(Source!BI118=4,H159, 0)</f>
        <v>0</v>
      </c>
    </row>
    <row r="160" spans="1:26" ht="15">
      <c r="G160" s="64">
        <f>H152+H153+H155+H156+H157+SUM(H159:H159)</f>
        <v>688.89</v>
      </c>
      <c r="H160" s="64"/>
      <c r="J160" s="64">
        <f>K152+K153+K155+K156+K157+SUM(K159:K159)</f>
        <v>7353.3099999999995</v>
      </c>
      <c r="K160" s="64"/>
      <c r="L160" s="37">
        <f>Source!U117</f>
        <v>5.891449999999999</v>
      </c>
      <c r="O160" s="32">
        <f>G160</f>
        <v>688.89</v>
      </c>
      <c r="P160" s="32">
        <f>J160</f>
        <v>7353.3099999999995</v>
      </c>
      <c r="Q160" s="32">
        <f>L160</f>
        <v>5.891449999999999</v>
      </c>
      <c r="W160">
        <f>IF(Source!BI117&lt;=1,H152+H153+H155+H156+H157, 0)</f>
        <v>429.14</v>
      </c>
      <c r="X160">
        <f>IF(Source!BI117=2,H152+H153+H155+H156+H157, 0)</f>
        <v>0</v>
      </c>
      <c r="Y160">
        <f>IF(Source!BI117=3,H152+H153+H155+H156+H157, 0)</f>
        <v>0</v>
      </c>
      <c r="Z160">
        <f>IF(Source!BI117=4,H152+H153+H155+H156+H157, 0)</f>
        <v>0</v>
      </c>
    </row>
    <row r="162" spans="1:26" ht="15">
      <c r="A162" s="61" t="str">
        <f>CONCATENATE("Итого по подразделу: ",IF(Source!G120&lt;&gt;"Новый подраздел", Source!G120, ""))</f>
        <v>Итого по подразделу: Потолок</v>
      </c>
      <c r="B162" s="61"/>
      <c r="C162" s="61"/>
      <c r="D162" s="61"/>
      <c r="E162" s="61"/>
      <c r="F162" s="61"/>
      <c r="G162" s="60">
        <f>SUM(O138:O161)</f>
        <v>737.64</v>
      </c>
      <c r="H162" s="60"/>
      <c r="I162" s="35"/>
      <c r="J162" s="60">
        <f>SUM(P138:P161)</f>
        <v>8375.1899999999987</v>
      </c>
      <c r="K162" s="60"/>
      <c r="L162" s="37">
        <f>SUM(Q138:Q161)</f>
        <v>6.8610499999999988</v>
      </c>
    </row>
    <row r="166" spans="1:26" ht="16.5">
      <c r="A166" s="59" t="str">
        <f>CONCATENATE("Подраздел: ",IF(Source!G150&lt;&gt;"Новый подраздел", Source!G150, ""))</f>
        <v>Подраздел: Стены</v>
      </c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</row>
    <row r="167" spans="1:26" ht="57">
      <c r="A167" s="23" t="str">
        <f>Source!E154</f>
        <v>1</v>
      </c>
      <c r="B167" s="55" t="str">
        <f>Source!F154</f>
        <v>15-01-050-1</v>
      </c>
      <c r="C167" s="55" t="str">
        <f>Source!G154</f>
        <v>Облицовка стен декоративным бумажно-слоистым пластиком или листами из синтетических материалов по деревянной обрешетке</v>
      </c>
      <c r="D167" s="38" t="str">
        <f>Source!H154</f>
        <v>100 м2 облицовки</v>
      </c>
      <c r="E167" s="10">
        <f>Source!I154</f>
        <v>0.32329999999999998</v>
      </c>
      <c r="F167" s="39">
        <f>Source!AL154+Source!AM154+Source!AO154</f>
        <v>10435.349999999999</v>
      </c>
      <c r="G167" s="40"/>
      <c r="H167" s="41"/>
      <c r="I167" s="40" t="str">
        <f>Source!BO154</f>
        <v>15-01-050-1</v>
      </c>
      <c r="J167" s="40"/>
      <c r="K167" s="41"/>
      <c r="L167" s="42"/>
      <c r="S167">
        <f>ROUND((Source!FX154/100)*((ROUND(Source!AF154*Source!I154, 2)+ROUND(Source!AE154*Source!I154, 2))), 2)</f>
        <v>141.11000000000001</v>
      </c>
      <c r="T167">
        <f>Source!X154</f>
        <v>4668.49</v>
      </c>
      <c r="U167">
        <f>ROUND((Source!FY154/100)*((ROUND(Source!AF154*Source!I154, 2)+ROUND(Source!AE154*Source!I154, 2))), 2)</f>
        <v>69.81</v>
      </c>
      <c r="V167">
        <f>Source!Y154</f>
        <v>2309.67</v>
      </c>
    </row>
    <row r="168" spans="1:26">
      <c r="C168" s="31" t="str">
        <f>"Объем: "&amp;Source!I154&amp;"=32,33/"&amp;"100"</f>
        <v>Объем: 0,3233=32,33/100</v>
      </c>
    </row>
    <row r="169" spans="1:26" ht="14.25">
      <c r="A169" s="23"/>
      <c r="B169" s="55"/>
      <c r="C169" s="55" t="s">
        <v>534</v>
      </c>
      <c r="D169" s="38"/>
      <c r="E169" s="10"/>
      <c r="F169" s="39">
        <f>Source!AO154</f>
        <v>460.38</v>
      </c>
      <c r="G169" s="40" t="str">
        <f>Source!DG154</f>
        <v/>
      </c>
      <c r="H169" s="41">
        <f>ROUND(Source!AF154*Source!I154, 2)</f>
        <v>148.84</v>
      </c>
      <c r="I169" s="40"/>
      <c r="J169" s="40">
        <f>IF(Source!BA154&lt;&gt; 0, Source!BA154, 1)</f>
        <v>32.909999999999997</v>
      </c>
      <c r="K169" s="41">
        <f>Source!S154</f>
        <v>4898.3500000000004</v>
      </c>
      <c r="L169" s="42"/>
      <c r="R169">
        <f>H169</f>
        <v>148.84</v>
      </c>
    </row>
    <row r="170" spans="1:26" ht="14.25">
      <c r="A170" s="23"/>
      <c r="B170" s="55"/>
      <c r="C170" s="55" t="s">
        <v>36</v>
      </c>
      <c r="D170" s="38"/>
      <c r="E170" s="10"/>
      <c r="F170" s="39">
        <f>Source!AM154</f>
        <v>98.81</v>
      </c>
      <c r="G170" s="40" t="str">
        <f>Source!DE154</f>
        <v/>
      </c>
      <c r="H170" s="41">
        <f>ROUND(Source!AD154*Source!I154, 2)</f>
        <v>31.95</v>
      </c>
      <c r="I170" s="40"/>
      <c r="J170" s="40">
        <f>IF(Source!BB154&lt;&gt; 0, Source!BB154, 1)</f>
        <v>8.69</v>
      </c>
      <c r="K170" s="41">
        <f>Source!Q154</f>
        <v>277.60000000000002</v>
      </c>
      <c r="L170" s="42"/>
    </row>
    <row r="171" spans="1:26" ht="14.25">
      <c r="A171" s="23"/>
      <c r="B171" s="55"/>
      <c r="C171" s="55" t="s">
        <v>535</v>
      </c>
      <c r="D171" s="38"/>
      <c r="E171" s="10"/>
      <c r="F171" s="39">
        <f>Source!AN154</f>
        <v>1.49</v>
      </c>
      <c r="G171" s="40" t="str">
        <f>Source!DF154</f>
        <v/>
      </c>
      <c r="H171" s="43">
        <f>ROUND(Source!AE154*Source!I154, 2)</f>
        <v>0.48</v>
      </c>
      <c r="I171" s="40"/>
      <c r="J171" s="40">
        <f>IF(Source!BS154&lt;&gt; 0, Source!BS154, 1)</f>
        <v>32.909999999999997</v>
      </c>
      <c r="K171" s="43">
        <f>Source!R154</f>
        <v>15.85</v>
      </c>
      <c r="L171" s="42"/>
      <c r="R171">
        <f>H171</f>
        <v>0.48</v>
      </c>
    </row>
    <row r="172" spans="1:26" ht="14.25">
      <c r="A172" s="23"/>
      <c r="B172" s="55"/>
      <c r="C172" s="55" t="s">
        <v>536</v>
      </c>
      <c r="D172" s="38"/>
      <c r="E172" s="10"/>
      <c r="F172" s="39">
        <f>Source!AL154</f>
        <v>9876.16</v>
      </c>
      <c r="G172" s="40" t="str">
        <f>Source!DD154</f>
        <v/>
      </c>
      <c r="H172" s="41">
        <f>ROUND(Source!AC154*Source!I154, 2)</f>
        <v>3192.96</v>
      </c>
      <c r="I172" s="40"/>
      <c r="J172" s="40">
        <f>IF(Source!BC154&lt;&gt; 0, Source!BC154, 1)</f>
        <v>4.1900000000000004</v>
      </c>
      <c r="K172" s="41">
        <f>Source!P154</f>
        <v>13378.51</v>
      </c>
      <c r="L172" s="42"/>
    </row>
    <row r="173" spans="1:26" ht="14.25">
      <c r="A173" s="23"/>
      <c r="B173" s="55"/>
      <c r="C173" s="55" t="s">
        <v>537</v>
      </c>
      <c r="D173" s="38" t="s">
        <v>538</v>
      </c>
      <c r="E173" s="10">
        <f>Source!BZ154</f>
        <v>105</v>
      </c>
      <c r="F173" s="62" t="str">
        <f>CONCATENATE(" )", Source!DL154, Source!FT154, "=", Source!FX154)</f>
        <v xml:space="preserve"> )*0,9=94,5</v>
      </c>
      <c r="G173" s="63"/>
      <c r="H173" s="41">
        <f>SUM(S167:S175)</f>
        <v>141.11000000000001</v>
      </c>
      <c r="I173" s="44"/>
      <c r="J173" s="36">
        <f>Source!AT154</f>
        <v>95</v>
      </c>
      <c r="K173" s="41">
        <f>SUM(T167:T175)</f>
        <v>4668.49</v>
      </c>
      <c r="L173" s="42"/>
    </row>
    <row r="174" spans="1:26" ht="14.25">
      <c r="A174" s="23"/>
      <c r="B174" s="55"/>
      <c r="C174" s="55" t="s">
        <v>539</v>
      </c>
      <c r="D174" s="38" t="s">
        <v>538</v>
      </c>
      <c r="E174" s="10">
        <f>Source!CA154</f>
        <v>55</v>
      </c>
      <c r="F174" s="62" t="str">
        <f>CONCATENATE(" )", Source!DM154, Source!FU154, "=", Source!FY154)</f>
        <v xml:space="preserve"> )*0,85=46,75</v>
      </c>
      <c r="G174" s="63"/>
      <c r="H174" s="41">
        <f>SUM(U167:U175)</f>
        <v>69.81</v>
      </c>
      <c r="I174" s="44"/>
      <c r="J174" s="36">
        <f>Source!AU154</f>
        <v>47</v>
      </c>
      <c r="K174" s="41">
        <f>SUM(V167:V175)</f>
        <v>2309.67</v>
      </c>
      <c r="L174" s="42"/>
    </row>
    <row r="175" spans="1:26" ht="14.25">
      <c r="A175" s="56"/>
      <c r="B175" s="57"/>
      <c r="C175" s="57" t="s">
        <v>540</v>
      </c>
      <c r="D175" s="46" t="s">
        <v>541</v>
      </c>
      <c r="E175" s="47">
        <f>Source!AQ154</f>
        <v>50.15</v>
      </c>
      <c r="F175" s="48"/>
      <c r="G175" s="51" t="str">
        <f>Source!DI154</f>
        <v/>
      </c>
      <c r="H175" s="50"/>
      <c r="I175" s="51"/>
      <c r="J175" s="51"/>
      <c r="K175" s="50"/>
      <c r="L175" s="53">
        <f>Source!U154</f>
        <v>16.213494999999998</v>
      </c>
    </row>
    <row r="176" spans="1:26" ht="15">
      <c r="G176" s="64">
        <f>H169+H170+H172+H173+H174</f>
        <v>3584.67</v>
      </c>
      <c r="H176" s="64"/>
      <c r="J176" s="64">
        <f>K169+K170+K172+K173+K174</f>
        <v>25532.619999999995</v>
      </c>
      <c r="K176" s="64"/>
      <c r="L176" s="37">
        <f>Source!U154</f>
        <v>16.213494999999998</v>
      </c>
      <c r="O176" s="32">
        <f>G176</f>
        <v>3584.67</v>
      </c>
      <c r="P176" s="32">
        <f>J176</f>
        <v>25532.619999999995</v>
      </c>
      <c r="Q176" s="32">
        <f>L176</f>
        <v>16.213494999999998</v>
      </c>
      <c r="W176">
        <f>IF(Source!BI154&lt;=1,H169+H170+H172+H173+H174, 0)</f>
        <v>3584.67</v>
      </c>
      <c r="X176">
        <f>IF(Source!BI154=2,H169+H170+H172+H173+H174, 0)</f>
        <v>0</v>
      </c>
      <c r="Y176">
        <f>IF(Source!BI154=3,H169+H170+H172+H173+H174, 0)</f>
        <v>0</v>
      </c>
      <c r="Z176">
        <f>IF(Source!BI154=4,H169+H170+H172+H173+H174, 0)</f>
        <v>0</v>
      </c>
    </row>
    <row r="177" spans="1:26" ht="57">
      <c r="A177" s="23" t="str">
        <f>Source!E155</f>
        <v>2</v>
      </c>
      <c r="B177" s="55" t="str">
        <f>Source!F155</f>
        <v>15-01-050-4</v>
      </c>
      <c r="C177" s="55" t="str">
        <f>Source!G155</f>
        <v>Облицовка оконных и дверных откосов декоративным бумажно-слоистым пластиком или листами из синтетических материалов на клее</v>
      </c>
      <c r="D177" s="38" t="str">
        <f>Source!H155</f>
        <v>100 м2 облицовки</v>
      </c>
      <c r="E177" s="10">
        <f>Source!I155</f>
        <v>0.03</v>
      </c>
      <c r="F177" s="39">
        <f>Source!AL155+Source!AM155+Source!AO155</f>
        <v>2053.38</v>
      </c>
      <c r="G177" s="40"/>
      <c r="H177" s="41"/>
      <c r="I177" s="40" t="str">
        <f>Source!BO155</f>
        <v>15-01-050-4</v>
      </c>
      <c r="J177" s="40"/>
      <c r="K177" s="41"/>
      <c r="L177" s="42"/>
      <c r="S177">
        <f>ROUND((Source!FX155/100)*((ROUND(Source!AF155*Source!I155, 2)+ROUND(Source!AE155*Source!I155, 2))), 2)</f>
        <v>43.36</v>
      </c>
      <c r="T177">
        <f>Source!X155</f>
        <v>1434.36</v>
      </c>
      <c r="U177">
        <f>ROUND((Source!FY155/100)*((ROUND(Source!AF155*Source!I155, 2)+ROUND(Source!AE155*Source!I155, 2))), 2)</f>
        <v>21.45</v>
      </c>
      <c r="V177">
        <f>Source!Y155</f>
        <v>709.63</v>
      </c>
    </row>
    <row r="178" spans="1:26">
      <c r="C178" s="31" t="str">
        <f>"Объем: "&amp;Source!I155&amp;"=3/"&amp;"100"</f>
        <v>Объем: 0,03=3/100</v>
      </c>
    </row>
    <row r="179" spans="1:26" ht="14.25">
      <c r="A179" s="23"/>
      <c r="B179" s="55"/>
      <c r="C179" s="55" t="s">
        <v>534</v>
      </c>
      <c r="D179" s="38"/>
      <c r="E179" s="10"/>
      <c r="F179" s="39">
        <f>Source!AO155</f>
        <v>1528.19</v>
      </c>
      <c r="G179" s="40" t="str">
        <f>Source!DG155</f>
        <v/>
      </c>
      <c r="H179" s="41">
        <f>ROUND(Source!AF155*Source!I155, 2)</f>
        <v>45.85</v>
      </c>
      <c r="I179" s="40"/>
      <c r="J179" s="40">
        <f>IF(Source!BA155&lt;&gt; 0, Source!BA155, 1)</f>
        <v>32.909999999999997</v>
      </c>
      <c r="K179" s="41">
        <f>Source!S155</f>
        <v>1508.78</v>
      </c>
      <c r="L179" s="42"/>
      <c r="R179">
        <f>H179</f>
        <v>45.85</v>
      </c>
    </row>
    <row r="180" spans="1:26" ht="14.25">
      <c r="A180" s="23"/>
      <c r="B180" s="55"/>
      <c r="C180" s="55" t="s">
        <v>36</v>
      </c>
      <c r="D180" s="38"/>
      <c r="E180" s="10"/>
      <c r="F180" s="39">
        <f>Source!AM155</f>
        <v>46.33</v>
      </c>
      <c r="G180" s="40" t="str">
        <f>Source!DE155</f>
        <v/>
      </c>
      <c r="H180" s="41">
        <f>ROUND(Source!AD155*Source!I155, 2)</f>
        <v>1.39</v>
      </c>
      <c r="I180" s="40"/>
      <c r="J180" s="40">
        <f>IF(Source!BB155&lt;&gt; 0, Source!BB155, 1)</f>
        <v>10.75</v>
      </c>
      <c r="K180" s="41">
        <f>Source!Q155</f>
        <v>14.94</v>
      </c>
      <c r="L180" s="42"/>
    </row>
    <row r="181" spans="1:26" ht="14.25">
      <c r="A181" s="23"/>
      <c r="B181" s="55"/>
      <c r="C181" s="55" t="s">
        <v>535</v>
      </c>
      <c r="D181" s="38"/>
      <c r="E181" s="10"/>
      <c r="F181" s="39">
        <f>Source!AN155</f>
        <v>1.08</v>
      </c>
      <c r="G181" s="40" t="str">
        <f>Source!DF155</f>
        <v/>
      </c>
      <c r="H181" s="43">
        <f>ROUND(Source!AE155*Source!I155, 2)</f>
        <v>0.03</v>
      </c>
      <c r="I181" s="40"/>
      <c r="J181" s="40">
        <f>IF(Source!BS155&lt;&gt; 0, Source!BS155, 1)</f>
        <v>32.909999999999997</v>
      </c>
      <c r="K181" s="43">
        <f>Source!R155</f>
        <v>1.07</v>
      </c>
      <c r="L181" s="42"/>
      <c r="R181">
        <f>H181</f>
        <v>0.03</v>
      </c>
    </row>
    <row r="182" spans="1:26" ht="14.25">
      <c r="A182" s="23"/>
      <c r="B182" s="55"/>
      <c r="C182" s="55" t="s">
        <v>536</v>
      </c>
      <c r="D182" s="38"/>
      <c r="E182" s="10"/>
      <c r="F182" s="39">
        <f>Source!AL155</f>
        <v>478.86</v>
      </c>
      <c r="G182" s="40" t="str">
        <f>Source!DD155</f>
        <v/>
      </c>
      <c r="H182" s="41">
        <f>ROUND(Source!AC155*Source!I155, 2)</f>
        <v>14.37</v>
      </c>
      <c r="I182" s="40"/>
      <c r="J182" s="40">
        <f>IF(Source!BC155&lt;&gt; 0, Source!BC155, 1)</f>
        <v>3.4</v>
      </c>
      <c r="K182" s="41">
        <f>Source!P155</f>
        <v>48.84</v>
      </c>
      <c r="L182" s="42"/>
    </row>
    <row r="183" spans="1:26" ht="14.25">
      <c r="A183" s="23"/>
      <c r="B183" s="55"/>
      <c r="C183" s="55" t="s">
        <v>537</v>
      </c>
      <c r="D183" s="38" t="s">
        <v>538</v>
      </c>
      <c r="E183" s="10">
        <f>Source!BZ155</f>
        <v>105</v>
      </c>
      <c r="F183" s="62" t="str">
        <f>CONCATENATE(" )", Source!DL155, Source!FT155, "=", Source!FX155)</f>
        <v xml:space="preserve"> )*0,9=94,5</v>
      </c>
      <c r="G183" s="63"/>
      <c r="H183" s="41">
        <f>SUM(S177:S187)</f>
        <v>43.36</v>
      </c>
      <c r="I183" s="44"/>
      <c r="J183" s="36">
        <f>Source!AT155</f>
        <v>95</v>
      </c>
      <c r="K183" s="41">
        <f>SUM(T177:T187)</f>
        <v>1434.36</v>
      </c>
      <c r="L183" s="42"/>
    </row>
    <row r="184" spans="1:26" ht="14.25">
      <c r="A184" s="23"/>
      <c r="B184" s="55"/>
      <c r="C184" s="55" t="s">
        <v>539</v>
      </c>
      <c r="D184" s="38" t="s">
        <v>538</v>
      </c>
      <c r="E184" s="10">
        <f>Source!CA155</f>
        <v>55</v>
      </c>
      <c r="F184" s="62" t="str">
        <f>CONCATENATE(" )", Source!DM155, Source!FU155, "=", Source!FY155)</f>
        <v xml:space="preserve"> )*0,85=46,75</v>
      </c>
      <c r="G184" s="63"/>
      <c r="H184" s="41">
        <f>SUM(U177:U187)</f>
        <v>21.45</v>
      </c>
      <c r="I184" s="44"/>
      <c r="J184" s="36">
        <f>Source!AU155</f>
        <v>47</v>
      </c>
      <c r="K184" s="41">
        <f>SUM(V177:V187)</f>
        <v>709.63</v>
      </c>
      <c r="L184" s="42"/>
    </row>
    <row r="185" spans="1:26" ht="14.25">
      <c r="A185" s="23"/>
      <c r="B185" s="55"/>
      <c r="C185" s="55" t="s">
        <v>540</v>
      </c>
      <c r="D185" s="38" t="s">
        <v>541</v>
      </c>
      <c r="E185" s="10">
        <f>Source!AQ155</f>
        <v>166.47</v>
      </c>
      <c r="F185" s="39"/>
      <c r="G185" s="40" t="str">
        <f>Source!DI155</f>
        <v/>
      </c>
      <c r="H185" s="41"/>
      <c r="I185" s="40"/>
      <c r="J185" s="40"/>
      <c r="K185" s="41"/>
      <c r="L185" s="45">
        <f>Source!U155</f>
        <v>4.9940999999999995</v>
      </c>
    </row>
    <row r="186" spans="1:26" ht="14.25">
      <c r="A186" s="23" t="str">
        <f>Source!E156</f>
        <v>2,1</v>
      </c>
      <c r="B186" s="55" t="str">
        <f>Source!F156</f>
        <v>101-9155</v>
      </c>
      <c r="C186" s="55" t="str">
        <f>Source!G156</f>
        <v>Листы облицовочные декоративные</v>
      </c>
      <c r="D186" s="38" t="str">
        <f>Source!H156</f>
        <v>м2</v>
      </c>
      <c r="E186" s="10">
        <f>Source!I156</f>
        <v>3.15</v>
      </c>
      <c r="F186" s="39">
        <f>Source!AL156+Source!AM156+Source!AO156</f>
        <v>0</v>
      </c>
      <c r="G186" s="54" t="s">
        <v>3</v>
      </c>
      <c r="H186" s="41">
        <f>ROUND(Source!AC156*Source!I156, 2)+ROUND(Source!AD156*Source!I156, 2)+ROUND(Source!AF156*Source!I156, 2)</f>
        <v>0</v>
      </c>
      <c r="I186" s="40"/>
      <c r="J186" s="40">
        <f>IF(Source!BC156&lt;&gt; 0, Source!BC156, 1)</f>
        <v>1</v>
      </c>
      <c r="K186" s="41">
        <f>Source!O156</f>
        <v>0</v>
      </c>
      <c r="L186" s="42"/>
      <c r="S186">
        <f>ROUND((Source!FX156/100)*((ROUND(Source!AF156*Source!I156, 2)+ROUND(Source!AE156*Source!I156, 2))), 2)</f>
        <v>0</v>
      </c>
      <c r="T186">
        <f>Source!X156</f>
        <v>0</v>
      </c>
      <c r="U186">
        <f>ROUND((Source!FY156/100)*((ROUND(Source!AF156*Source!I156, 2)+ROUND(Source!AE156*Source!I156, 2))), 2)</f>
        <v>0</v>
      </c>
      <c r="V186">
        <f>Source!Y156</f>
        <v>0</v>
      </c>
      <c r="W186">
        <f>IF(Source!BI156&lt;=1,H186, 0)</f>
        <v>0</v>
      </c>
      <c r="X186">
        <f>IF(Source!BI156=2,H186, 0)</f>
        <v>0</v>
      </c>
      <c r="Y186">
        <f>IF(Source!BI156=3,H186, 0)</f>
        <v>0</v>
      </c>
      <c r="Z186">
        <f>IF(Source!BI156=4,H186, 0)</f>
        <v>0</v>
      </c>
    </row>
    <row r="187" spans="1:26" ht="14.25">
      <c r="A187" s="56" t="str">
        <f>Source!E157</f>
        <v>2,2</v>
      </c>
      <c r="B187" s="57" t="str">
        <f>Source!F157</f>
        <v>101-9732</v>
      </c>
      <c r="C187" s="57" t="str">
        <f>Source!G157</f>
        <v>Грунтовка</v>
      </c>
      <c r="D187" s="46" t="str">
        <f>Source!H157</f>
        <v>т</v>
      </c>
      <c r="E187" s="47">
        <f>Source!I157</f>
        <v>2.6699999999999998E-4</v>
      </c>
      <c r="F187" s="48">
        <f>Source!AL157+Source!AM157+Source!AO157</f>
        <v>0</v>
      </c>
      <c r="G187" s="49" t="s">
        <v>3</v>
      </c>
      <c r="H187" s="50">
        <f>ROUND(Source!AC157*Source!I157, 2)+ROUND(Source!AD157*Source!I157, 2)+ROUND(Source!AF157*Source!I157, 2)</f>
        <v>0</v>
      </c>
      <c r="I187" s="51"/>
      <c r="J187" s="51">
        <f>IF(Source!BC157&lt;&gt; 0, Source!BC157, 1)</f>
        <v>1</v>
      </c>
      <c r="K187" s="50">
        <f>Source!O157</f>
        <v>0</v>
      </c>
      <c r="L187" s="52"/>
      <c r="S187">
        <f>ROUND((Source!FX157/100)*((ROUND(Source!AF157*Source!I157, 2)+ROUND(Source!AE157*Source!I157, 2))), 2)</f>
        <v>0</v>
      </c>
      <c r="T187">
        <f>Source!X157</f>
        <v>0</v>
      </c>
      <c r="U187">
        <f>ROUND((Source!FY157/100)*((ROUND(Source!AF157*Source!I157, 2)+ROUND(Source!AE157*Source!I157, 2))), 2)</f>
        <v>0</v>
      </c>
      <c r="V187">
        <f>Source!Y157</f>
        <v>0</v>
      </c>
      <c r="W187">
        <f>IF(Source!BI157&lt;=1,H187, 0)</f>
        <v>0</v>
      </c>
      <c r="X187">
        <f>IF(Source!BI157=2,H187, 0)</f>
        <v>0</v>
      </c>
      <c r="Y187">
        <f>IF(Source!BI157=3,H187, 0)</f>
        <v>0</v>
      </c>
      <c r="Z187">
        <f>IF(Source!BI157=4,H187, 0)</f>
        <v>0</v>
      </c>
    </row>
    <row r="188" spans="1:26" ht="15">
      <c r="G188" s="64">
        <f>H179+H180+H182+H183+H184+SUM(H186:H187)</f>
        <v>126.42</v>
      </c>
      <c r="H188" s="64"/>
      <c r="J188" s="64">
        <f>K179+K180+K182+K183+K184+SUM(K186:K187)</f>
        <v>3716.55</v>
      </c>
      <c r="K188" s="64"/>
      <c r="L188" s="37">
        <f>Source!U155</f>
        <v>4.9940999999999995</v>
      </c>
      <c r="O188" s="32">
        <f>G188</f>
        <v>126.42</v>
      </c>
      <c r="P188" s="32">
        <f>J188</f>
        <v>3716.55</v>
      </c>
      <c r="Q188" s="32">
        <f>L188</f>
        <v>4.9940999999999995</v>
      </c>
      <c r="W188">
        <f>IF(Source!BI155&lt;=1,H179+H180+H182+H183+H184, 0)</f>
        <v>126.42</v>
      </c>
      <c r="X188">
        <f>IF(Source!BI155=2,H179+H180+H182+H183+H184, 0)</f>
        <v>0</v>
      </c>
      <c r="Y188">
        <f>IF(Source!BI155=3,H179+H180+H182+H183+H184, 0)</f>
        <v>0</v>
      </c>
      <c r="Z188">
        <f>IF(Source!BI155=4,H179+H180+H182+H183+H184, 0)</f>
        <v>0</v>
      </c>
    </row>
    <row r="189" spans="1:26" ht="28.5">
      <c r="A189" s="23" t="str">
        <f>Source!E158</f>
        <v>3</v>
      </c>
      <c r="B189" s="55" t="str">
        <f>Source!F158</f>
        <v>10-01-035-1</v>
      </c>
      <c r="C189" s="55" t="str">
        <f>Source!G158</f>
        <v>Установка подоконных досок из ПВХ в каменных стенах толщиной до 0,51 м</v>
      </c>
      <c r="D189" s="38" t="str">
        <f>Source!H158</f>
        <v>100 п. м</v>
      </c>
      <c r="E189" s="10">
        <f>Source!I158</f>
        <v>1.4999999999999999E-2</v>
      </c>
      <c r="F189" s="39">
        <f>Source!AL158+Source!AM158+Source!AO158</f>
        <v>4199.17</v>
      </c>
      <c r="G189" s="40"/>
      <c r="H189" s="41"/>
      <c r="I189" s="40" t="str">
        <f>Source!BO158</f>
        <v>10-01-035-1</v>
      </c>
      <c r="J189" s="40"/>
      <c r="K189" s="41"/>
      <c r="L189" s="42"/>
      <c r="S189">
        <f>ROUND((Source!FX158/100)*((ROUND(Source!AF158*Source!I158, 2)+ROUND(Source!AE158*Source!I158, 2))), 2)</f>
        <v>2.89</v>
      </c>
      <c r="T189">
        <f>Source!X158</f>
        <v>94.87</v>
      </c>
      <c r="U189">
        <f>ROUND((Source!FY158/100)*((ROUND(Source!AF158*Source!I158, 2)+ROUND(Source!AE158*Source!I158, 2))), 2)</f>
        <v>1.46</v>
      </c>
      <c r="V189">
        <f>Source!Y158</f>
        <v>48.33</v>
      </c>
    </row>
    <row r="190" spans="1:26">
      <c r="C190" s="31" t="str">
        <f>"Объем: "&amp;Source!I158&amp;"=1,5/"&amp;"100"</f>
        <v>Объем: 0,015=1,5/100</v>
      </c>
    </row>
    <row r="191" spans="1:26" ht="14.25">
      <c r="A191" s="23"/>
      <c r="B191" s="55"/>
      <c r="C191" s="55" t="s">
        <v>534</v>
      </c>
      <c r="D191" s="38"/>
      <c r="E191" s="10"/>
      <c r="F191" s="39">
        <f>Source!AO158</f>
        <v>180.75</v>
      </c>
      <c r="G191" s="40" t="str">
        <f>Source!DG158</f>
        <v/>
      </c>
      <c r="H191" s="41">
        <f>ROUND(Source!AF158*Source!I158, 2)</f>
        <v>2.71</v>
      </c>
      <c r="I191" s="40"/>
      <c r="J191" s="40">
        <f>IF(Source!BA158&lt;&gt; 0, Source!BA158, 1)</f>
        <v>32.909999999999997</v>
      </c>
      <c r="K191" s="41">
        <f>Source!S158</f>
        <v>89.23</v>
      </c>
      <c r="L191" s="42"/>
      <c r="R191">
        <f>H191</f>
        <v>2.71</v>
      </c>
    </row>
    <row r="192" spans="1:26" ht="14.25">
      <c r="A192" s="23"/>
      <c r="B192" s="55"/>
      <c r="C192" s="55" t="s">
        <v>36</v>
      </c>
      <c r="D192" s="38"/>
      <c r="E192" s="10"/>
      <c r="F192" s="39">
        <f>Source!AM158</f>
        <v>14.33</v>
      </c>
      <c r="G192" s="40" t="str">
        <f>Source!DE158</f>
        <v/>
      </c>
      <c r="H192" s="41">
        <f>ROUND(Source!AD158*Source!I158, 2)</f>
        <v>0.21</v>
      </c>
      <c r="I192" s="40"/>
      <c r="J192" s="40">
        <f>IF(Source!BB158&lt;&gt; 0, Source!BB158, 1)</f>
        <v>10.88</v>
      </c>
      <c r="K192" s="41">
        <f>Source!Q158</f>
        <v>2.34</v>
      </c>
      <c r="L192" s="42"/>
    </row>
    <row r="193" spans="1:26" ht="14.25">
      <c r="A193" s="23"/>
      <c r="B193" s="55"/>
      <c r="C193" s="55" t="s">
        <v>535</v>
      </c>
      <c r="D193" s="38"/>
      <c r="E193" s="10"/>
      <c r="F193" s="39">
        <f>Source!AN158</f>
        <v>0.54</v>
      </c>
      <c r="G193" s="40" t="str">
        <f>Source!DF158</f>
        <v/>
      </c>
      <c r="H193" s="43">
        <f>ROUND(Source!AE158*Source!I158, 2)</f>
        <v>0.01</v>
      </c>
      <c r="I193" s="40"/>
      <c r="J193" s="40">
        <f>IF(Source!BS158&lt;&gt; 0, Source!BS158, 1)</f>
        <v>32.909999999999997</v>
      </c>
      <c r="K193" s="43">
        <f>Source!R158</f>
        <v>0.27</v>
      </c>
      <c r="L193" s="42"/>
      <c r="R193">
        <f>H193</f>
        <v>0.01</v>
      </c>
    </row>
    <row r="194" spans="1:26" ht="14.25">
      <c r="A194" s="23"/>
      <c r="B194" s="55"/>
      <c r="C194" s="55" t="s">
        <v>536</v>
      </c>
      <c r="D194" s="38"/>
      <c r="E194" s="10"/>
      <c r="F194" s="39">
        <f>Source!AL158</f>
        <v>4004.09</v>
      </c>
      <c r="G194" s="40" t="str">
        <f>Source!DD158</f>
        <v/>
      </c>
      <c r="H194" s="41">
        <f>ROUND(Source!AC158*Source!I158, 2)</f>
        <v>60.06</v>
      </c>
      <c r="I194" s="40"/>
      <c r="J194" s="40">
        <f>IF(Source!BC158&lt;&gt; 0, Source!BC158, 1)</f>
        <v>4.76</v>
      </c>
      <c r="K194" s="41">
        <f>Source!P158</f>
        <v>285.89</v>
      </c>
      <c r="L194" s="42"/>
    </row>
    <row r="195" spans="1:26" ht="14.25">
      <c r="A195" s="23"/>
      <c r="B195" s="55"/>
      <c r="C195" s="55" t="s">
        <v>537</v>
      </c>
      <c r="D195" s="38" t="s">
        <v>538</v>
      </c>
      <c r="E195" s="10">
        <f>Source!BZ158</f>
        <v>118</v>
      </c>
      <c r="F195" s="62" t="str">
        <f>CONCATENATE(" )", Source!DL158, Source!FT158, "=", Source!FX158)</f>
        <v xml:space="preserve"> )*0,9=106,2</v>
      </c>
      <c r="G195" s="63"/>
      <c r="H195" s="41">
        <f>SUM(S189:S197)</f>
        <v>2.89</v>
      </c>
      <c r="I195" s="44"/>
      <c r="J195" s="36">
        <f>Source!AT158</f>
        <v>106</v>
      </c>
      <c r="K195" s="41">
        <f>SUM(T189:T197)</f>
        <v>94.87</v>
      </c>
      <c r="L195" s="42"/>
    </row>
    <row r="196" spans="1:26" ht="14.25">
      <c r="A196" s="23"/>
      <c r="B196" s="55"/>
      <c r="C196" s="55" t="s">
        <v>539</v>
      </c>
      <c r="D196" s="38" t="s">
        <v>538</v>
      </c>
      <c r="E196" s="10">
        <f>Source!CA158</f>
        <v>63</v>
      </c>
      <c r="F196" s="62" t="str">
        <f>CONCATENATE(" )", Source!DM158, Source!FU158, "=", Source!FY158)</f>
        <v xml:space="preserve"> )*0,85=53,55</v>
      </c>
      <c r="G196" s="63"/>
      <c r="H196" s="41">
        <f>SUM(U189:U197)</f>
        <v>1.46</v>
      </c>
      <c r="I196" s="44"/>
      <c r="J196" s="36">
        <f>Source!AU158</f>
        <v>54</v>
      </c>
      <c r="K196" s="41">
        <f>SUM(V189:V197)</f>
        <v>48.33</v>
      </c>
      <c r="L196" s="42"/>
    </row>
    <row r="197" spans="1:26" ht="14.25">
      <c r="A197" s="56"/>
      <c r="B197" s="57"/>
      <c r="C197" s="57" t="s">
        <v>540</v>
      </c>
      <c r="D197" s="46" t="s">
        <v>541</v>
      </c>
      <c r="E197" s="47">
        <f>Source!AQ158</f>
        <v>21.19</v>
      </c>
      <c r="F197" s="48"/>
      <c r="G197" s="51" t="str">
        <f>Source!DI158</f>
        <v/>
      </c>
      <c r="H197" s="50"/>
      <c r="I197" s="51"/>
      <c r="J197" s="51"/>
      <c r="K197" s="50"/>
      <c r="L197" s="53">
        <f>Source!U158</f>
        <v>0.31785000000000002</v>
      </c>
    </row>
    <row r="198" spans="1:26" ht="15">
      <c r="G198" s="64">
        <f>H191+H192+H194+H195+H196</f>
        <v>67.33</v>
      </c>
      <c r="H198" s="64"/>
      <c r="J198" s="64">
        <f>K191+K192+K194+K195+K196</f>
        <v>520.66</v>
      </c>
      <c r="K198" s="64"/>
      <c r="L198" s="37">
        <f>Source!U158</f>
        <v>0.31785000000000002</v>
      </c>
      <c r="O198" s="32">
        <f>G198</f>
        <v>67.33</v>
      </c>
      <c r="P198" s="32">
        <f>J198</f>
        <v>520.66</v>
      </c>
      <c r="Q198" s="32">
        <f>L198</f>
        <v>0.31785000000000002</v>
      </c>
      <c r="W198">
        <f>IF(Source!BI158&lt;=1,H191+H192+H194+H195+H196, 0)</f>
        <v>67.33</v>
      </c>
      <c r="X198">
        <f>IF(Source!BI158=2,H191+H192+H194+H195+H196, 0)</f>
        <v>0</v>
      </c>
      <c r="Y198">
        <f>IF(Source!BI158=3,H191+H192+H194+H195+H196, 0)</f>
        <v>0</v>
      </c>
      <c r="Z198">
        <f>IF(Source!BI158=4,H191+H192+H194+H195+H196, 0)</f>
        <v>0</v>
      </c>
    </row>
    <row r="199" spans="1:26" ht="42.75">
      <c r="A199" s="23" t="str">
        <f>Source!E160</f>
        <v>4</v>
      </c>
      <c r="B199" s="55" t="str">
        <f>Source!F160</f>
        <v>м08-03-591-1</v>
      </c>
      <c r="C199" s="55" t="str">
        <f>Source!G160</f>
        <v>Выключатель одноклавишный неутопленного типа при открытой проводке</v>
      </c>
      <c r="D199" s="38" t="str">
        <f>Source!H160</f>
        <v>100 шт.</v>
      </c>
      <c r="E199" s="10">
        <f>Source!I160</f>
        <v>0.01</v>
      </c>
      <c r="F199" s="39">
        <f>Source!AL160+Source!AM160+Source!AO160</f>
        <v>433.08000000000004</v>
      </c>
      <c r="G199" s="40"/>
      <c r="H199" s="41"/>
      <c r="I199" s="40" t="str">
        <f>Source!BO160</f>
        <v>м08-03-591-1</v>
      </c>
      <c r="J199" s="40"/>
      <c r="K199" s="41"/>
      <c r="L199" s="42"/>
      <c r="S199">
        <f>ROUND((Source!FX160/100)*((ROUND(Source!AF160*Source!I160, 2)+ROUND(Source!AE160*Source!I160, 2))), 2)</f>
        <v>2.97</v>
      </c>
      <c r="T199">
        <f>Source!X160</f>
        <v>98.13</v>
      </c>
      <c r="U199">
        <f>ROUND((Source!FY160/100)*((ROUND(Source!AF160*Source!I160, 2)+ROUND(Source!AE160*Source!I160, 2))), 2)</f>
        <v>2.0299999999999998</v>
      </c>
      <c r="V199">
        <f>Source!Y160</f>
        <v>67.14</v>
      </c>
    </row>
    <row r="200" spans="1:26">
      <c r="C200" s="31" t="str">
        <f>"Объем: "&amp;Source!I160&amp;"=1/"&amp;"100"</f>
        <v>Объем: 0,01=1/100</v>
      </c>
    </row>
    <row r="201" spans="1:26" ht="14.25">
      <c r="A201" s="23"/>
      <c r="B201" s="55"/>
      <c r="C201" s="55" t="s">
        <v>534</v>
      </c>
      <c r="D201" s="38"/>
      <c r="E201" s="10"/>
      <c r="F201" s="39">
        <f>Source!AO160</f>
        <v>313.47000000000003</v>
      </c>
      <c r="G201" s="40" t="str">
        <f>Source!DG160</f>
        <v/>
      </c>
      <c r="H201" s="41">
        <f>ROUND(Source!AF160*Source!I160, 2)</f>
        <v>3.13</v>
      </c>
      <c r="I201" s="40"/>
      <c r="J201" s="40">
        <f>IF(Source!BA160&lt;&gt; 0, Source!BA160, 1)</f>
        <v>32.909999999999997</v>
      </c>
      <c r="K201" s="41">
        <f>Source!S160</f>
        <v>103.16</v>
      </c>
      <c r="L201" s="42"/>
      <c r="R201">
        <f>H201</f>
        <v>3.13</v>
      </c>
    </row>
    <row r="202" spans="1:26" ht="14.25">
      <c r="A202" s="23"/>
      <c r="B202" s="55"/>
      <c r="C202" s="55" t="s">
        <v>36</v>
      </c>
      <c r="D202" s="38"/>
      <c r="E202" s="10"/>
      <c r="F202" s="39">
        <f>Source!AM160</f>
        <v>13.78</v>
      </c>
      <c r="G202" s="40" t="str">
        <f>Source!DE160</f>
        <v/>
      </c>
      <c r="H202" s="41">
        <f>ROUND(Source!AD160*Source!I160, 2)</f>
        <v>0.14000000000000001</v>
      </c>
      <c r="I202" s="40"/>
      <c r="J202" s="40">
        <f>IF(Source!BB160&lt;&gt; 0, Source!BB160, 1)</f>
        <v>5.9</v>
      </c>
      <c r="K202" s="41">
        <f>Source!Q160</f>
        <v>0.81</v>
      </c>
      <c r="L202" s="42"/>
    </row>
    <row r="203" spans="1:26" ht="14.25">
      <c r="A203" s="23"/>
      <c r="B203" s="55"/>
      <c r="C203" s="55" t="s">
        <v>535</v>
      </c>
      <c r="D203" s="38"/>
      <c r="E203" s="10"/>
      <c r="F203" s="39">
        <f>Source!AN160</f>
        <v>0.41</v>
      </c>
      <c r="G203" s="40" t="str">
        <f>Source!DF160</f>
        <v/>
      </c>
      <c r="H203" s="43">
        <f>ROUND(Source!AE160*Source!I160, 2)</f>
        <v>0</v>
      </c>
      <c r="I203" s="40"/>
      <c r="J203" s="40">
        <f>IF(Source!BS160&lt;&gt; 0, Source!BS160, 1)</f>
        <v>32.909999999999997</v>
      </c>
      <c r="K203" s="43">
        <f>Source!R160</f>
        <v>0.13</v>
      </c>
      <c r="L203" s="42"/>
      <c r="R203">
        <f>H203</f>
        <v>0</v>
      </c>
    </row>
    <row r="204" spans="1:26" ht="14.25">
      <c r="A204" s="23"/>
      <c r="B204" s="55"/>
      <c r="C204" s="55" t="s">
        <v>536</v>
      </c>
      <c r="D204" s="38"/>
      <c r="E204" s="10"/>
      <c r="F204" s="39">
        <f>Source!AL160</f>
        <v>105.83</v>
      </c>
      <c r="G204" s="40" t="str">
        <f>Source!DD160</f>
        <v/>
      </c>
      <c r="H204" s="41">
        <f>ROUND(Source!AC160*Source!I160, 2)</f>
        <v>1.06</v>
      </c>
      <c r="I204" s="40"/>
      <c r="J204" s="40">
        <f>IF(Source!BC160&lt;&gt; 0, Source!BC160, 1)</f>
        <v>3.03</v>
      </c>
      <c r="K204" s="41">
        <f>Source!P160</f>
        <v>3.21</v>
      </c>
      <c r="L204" s="42"/>
    </row>
    <row r="205" spans="1:26" ht="14.25">
      <c r="A205" s="23"/>
      <c r="B205" s="55"/>
      <c r="C205" s="55" t="s">
        <v>537</v>
      </c>
      <c r="D205" s="38" t="s">
        <v>538</v>
      </c>
      <c r="E205" s="10">
        <f>Source!BZ160</f>
        <v>95</v>
      </c>
      <c r="F205" s="58"/>
      <c r="G205" s="40"/>
      <c r="H205" s="41">
        <f>SUM(S199:S207)</f>
        <v>2.97</v>
      </c>
      <c r="I205" s="44"/>
      <c r="J205" s="36">
        <f>Source!AT160</f>
        <v>95</v>
      </c>
      <c r="K205" s="41">
        <f>SUM(T199:T207)</f>
        <v>98.13</v>
      </c>
      <c r="L205" s="42"/>
    </row>
    <row r="206" spans="1:26" ht="14.25">
      <c r="A206" s="23"/>
      <c r="B206" s="55"/>
      <c r="C206" s="55" t="s">
        <v>539</v>
      </c>
      <c r="D206" s="38" t="s">
        <v>538</v>
      </c>
      <c r="E206" s="10">
        <f>Source!CA160</f>
        <v>65</v>
      </c>
      <c r="F206" s="58"/>
      <c r="G206" s="40"/>
      <c r="H206" s="41">
        <f>SUM(U199:U207)</f>
        <v>2.0299999999999998</v>
      </c>
      <c r="I206" s="44"/>
      <c r="J206" s="36">
        <f>Source!AU160</f>
        <v>65</v>
      </c>
      <c r="K206" s="41">
        <f>SUM(V199:V207)</f>
        <v>67.14</v>
      </c>
      <c r="L206" s="42"/>
    </row>
    <row r="207" spans="1:26" ht="14.25">
      <c r="A207" s="56"/>
      <c r="B207" s="57"/>
      <c r="C207" s="57" t="s">
        <v>540</v>
      </c>
      <c r="D207" s="46" t="s">
        <v>541</v>
      </c>
      <c r="E207" s="47">
        <f>Source!AQ160</f>
        <v>31.6</v>
      </c>
      <c r="F207" s="48"/>
      <c r="G207" s="51" t="str">
        <f>Source!DI160</f>
        <v/>
      </c>
      <c r="H207" s="50"/>
      <c r="I207" s="51"/>
      <c r="J207" s="51"/>
      <c r="K207" s="50"/>
      <c r="L207" s="53">
        <f>Source!U160</f>
        <v>0.316</v>
      </c>
    </row>
    <row r="208" spans="1:26" ht="15">
      <c r="G208" s="64">
        <f>H201+H202+H204+H205+H206</f>
        <v>9.33</v>
      </c>
      <c r="H208" s="64"/>
      <c r="J208" s="64">
        <f>K201+K202+K204+K205+K206</f>
        <v>272.45</v>
      </c>
      <c r="K208" s="64"/>
      <c r="L208" s="37">
        <f>Source!U160</f>
        <v>0.316</v>
      </c>
      <c r="O208" s="32">
        <f>G208</f>
        <v>9.33</v>
      </c>
      <c r="P208" s="32">
        <f>J208</f>
        <v>272.45</v>
      </c>
      <c r="Q208" s="32">
        <f>L208</f>
        <v>0.316</v>
      </c>
      <c r="W208">
        <f>IF(Source!BI160&lt;=1,H201+H202+H204+H205+H206, 0)</f>
        <v>0</v>
      </c>
      <c r="X208">
        <f>IF(Source!BI160=2,H201+H202+H204+H205+H206, 0)</f>
        <v>9.33</v>
      </c>
      <c r="Y208">
        <f>IF(Source!BI160=3,H201+H202+H204+H205+H206, 0)</f>
        <v>0</v>
      </c>
      <c r="Z208">
        <f>IF(Source!BI160=4,H201+H202+H204+H205+H206, 0)</f>
        <v>0</v>
      </c>
    </row>
    <row r="210" spans="1:12" ht="15">
      <c r="A210" s="61" t="str">
        <f>CONCATENATE("Итого по подразделу: ",IF(Source!G162&lt;&gt;"Новый подраздел", Source!G162, ""))</f>
        <v>Итого по подразделу: Стены</v>
      </c>
      <c r="B210" s="61"/>
      <c r="C210" s="61"/>
      <c r="D210" s="61"/>
      <c r="E210" s="61"/>
      <c r="F210" s="61"/>
      <c r="G210" s="60">
        <f>SUM(O166:O209)</f>
        <v>3787.75</v>
      </c>
      <c r="H210" s="60"/>
      <c r="I210" s="35"/>
      <c r="J210" s="60">
        <f>SUM(P166:P209)</f>
        <v>30042.279999999995</v>
      </c>
      <c r="K210" s="60"/>
      <c r="L210" s="37">
        <f>SUM(Q166:Q209)</f>
        <v>21.841444999999997</v>
      </c>
    </row>
    <row r="214" spans="1:12" ht="15">
      <c r="A214" s="61" t="str">
        <f>CONCATENATE("Итого по разделу: ",IF(Source!G192&lt;&gt;"Новый раздел", Source!G192, ""))</f>
        <v>Итого по разделу: Монтаж</v>
      </c>
      <c r="B214" s="61"/>
      <c r="C214" s="61"/>
      <c r="D214" s="61"/>
      <c r="E214" s="61"/>
      <c r="F214" s="61"/>
      <c r="G214" s="60">
        <f>SUM(O50:O213)</f>
        <v>6535.4699999999993</v>
      </c>
      <c r="H214" s="60"/>
      <c r="I214" s="35"/>
      <c r="J214" s="60">
        <f>SUM(P50:P213)</f>
        <v>64269.56</v>
      </c>
      <c r="K214" s="60"/>
      <c r="L214" s="37">
        <f>SUM(Q50:Q213)</f>
        <v>47.461090000000006</v>
      </c>
    </row>
    <row r="218" spans="1:12" ht="15">
      <c r="A218" s="61" t="str">
        <f>CONCATENATE("Итого по локальной смете: ",IF(Source!G222&lt;&gt;"Новая локальная смета", Source!G222, ""))</f>
        <v xml:space="preserve">Итого по локальной смете: </v>
      </c>
      <c r="B218" s="61"/>
      <c r="C218" s="61"/>
      <c r="D218" s="61"/>
      <c r="E218" s="61"/>
      <c r="F218" s="61"/>
      <c r="G218" s="60">
        <f>SUM(O42:O217)</f>
        <v>6535.4699999999993</v>
      </c>
      <c r="H218" s="60"/>
      <c r="I218" s="35"/>
      <c r="J218" s="60">
        <f>SUM(P42:P217)</f>
        <v>64269.56</v>
      </c>
      <c r="K218" s="60"/>
      <c r="L218" s="37">
        <f>SUM(Q42:Q217)</f>
        <v>47.461090000000006</v>
      </c>
    </row>
    <row r="222" spans="1:12" ht="15">
      <c r="A222" s="61" t="str">
        <f>CONCATENATE("Итого по смете: ",IF(Source!G252&lt;&gt;"Новый объект", Source!G252, ""))</f>
        <v>Итого по смете: Ремонт 16 санузла Верия</v>
      </c>
      <c r="B222" s="61"/>
      <c r="C222" s="61"/>
      <c r="D222" s="61"/>
      <c r="E222" s="61"/>
      <c r="F222" s="61"/>
      <c r="G222" s="60">
        <f>SUM(O1:O221)</f>
        <v>6535.4699999999993</v>
      </c>
      <c r="H222" s="60"/>
      <c r="I222" s="35"/>
      <c r="J222" s="60">
        <f>SUM(P1:P221)</f>
        <v>64269.56</v>
      </c>
      <c r="K222" s="60"/>
      <c r="L222" s="37">
        <f>SUM(Q1:Q221)</f>
        <v>47.461090000000006</v>
      </c>
    </row>
    <row r="224" spans="1:12" ht="14.25">
      <c r="C224" s="67" t="str">
        <f>Source!H281</f>
        <v>с НДС 20%</v>
      </c>
      <c r="D224" s="67"/>
      <c r="E224" s="67"/>
      <c r="F224" s="67"/>
      <c r="G224" s="67"/>
      <c r="H224" s="67"/>
      <c r="I224" s="67"/>
      <c r="J224" s="68">
        <f>IF(Source!F281=0, "", Source!F281)</f>
        <v>12853.91</v>
      </c>
      <c r="K224" s="68"/>
    </row>
    <row r="225" spans="1:12" ht="14.25">
      <c r="C225" s="67" t="str">
        <f>Source!H282</f>
        <v>Всего с НДС 20%</v>
      </c>
      <c r="D225" s="67"/>
      <c r="E225" s="67"/>
      <c r="F225" s="67"/>
      <c r="G225" s="67"/>
      <c r="H225" s="67"/>
      <c r="I225" s="67"/>
      <c r="J225" s="68">
        <f>IF(Source!F282=0, "", Source!F282)</f>
        <v>77123.47</v>
      </c>
      <c r="K225" s="68"/>
    </row>
    <row r="228" spans="1:12" ht="14.25">
      <c r="A228" s="34" t="s">
        <v>542</v>
      </c>
      <c r="B228" s="34"/>
      <c r="C228" s="10" t="s">
        <v>543</v>
      </c>
      <c r="D228" s="33" t="str">
        <f>IF(Source!CP12&lt;&gt;"", Source!CP12," ")</f>
        <v xml:space="preserve"> </v>
      </c>
      <c r="E228" s="33"/>
      <c r="F228" s="33"/>
      <c r="G228" s="33"/>
      <c r="H228" s="33"/>
      <c r="I228" s="11" t="str">
        <f>IF(Source!CO12&lt;&gt;"", Source!CO12," ")</f>
        <v xml:space="preserve"> </v>
      </c>
      <c r="J228" s="10"/>
      <c r="K228" s="11"/>
      <c r="L228" s="11"/>
    </row>
    <row r="229" spans="1:12" ht="14.25">
      <c r="A229" s="11"/>
      <c r="B229" s="11"/>
      <c r="C229" s="10"/>
      <c r="D229" s="65" t="s">
        <v>544</v>
      </c>
      <c r="E229" s="65"/>
      <c r="F229" s="65"/>
      <c r="G229" s="65"/>
      <c r="H229" s="65"/>
      <c r="I229" s="11"/>
      <c r="J229" s="10"/>
      <c r="K229" s="11"/>
      <c r="L229" s="11"/>
    </row>
    <row r="230" spans="1:12" ht="14.25">
      <c r="A230" s="11"/>
      <c r="B230" s="11"/>
      <c r="C230" s="10"/>
      <c r="D230" s="11"/>
      <c r="E230" s="11"/>
      <c r="F230" s="11"/>
      <c r="G230" s="11"/>
      <c r="H230" s="11"/>
      <c r="I230" s="11"/>
      <c r="J230" s="10"/>
      <c r="K230" s="11"/>
      <c r="L230" s="11"/>
    </row>
    <row r="231" spans="1:12" ht="14.25">
      <c r="A231" s="34" t="s">
        <v>542</v>
      </c>
      <c r="B231" s="34"/>
      <c r="C231" s="10" t="s">
        <v>545</v>
      </c>
      <c r="D231" s="33" t="str">
        <f>IF(Source!AC12&lt;&gt;"", Source!AC12," ")</f>
        <v xml:space="preserve"> </v>
      </c>
      <c r="E231" s="33"/>
      <c r="F231" s="33"/>
      <c r="G231" s="33"/>
      <c r="H231" s="33"/>
      <c r="I231" s="11" t="str">
        <f>IF(Source!AB12&lt;&gt;"", Source!AB12," ")</f>
        <v xml:space="preserve"> </v>
      </c>
      <c r="J231" s="10"/>
      <c r="K231" s="11"/>
      <c r="L231" s="11"/>
    </row>
    <row r="232" spans="1:12" ht="14.25">
      <c r="A232" s="11"/>
      <c r="B232" s="11"/>
      <c r="C232" s="11"/>
      <c r="D232" s="65" t="s">
        <v>544</v>
      </c>
      <c r="E232" s="65"/>
      <c r="F232" s="65"/>
      <c r="G232" s="65"/>
      <c r="H232" s="65"/>
      <c r="I232" s="11"/>
      <c r="J232" s="11"/>
      <c r="K232" s="11"/>
      <c r="L232" s="11"/>
    </row>
    <row r="233" spans="1:12" ht="14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ht="14.25">
      <c r="A234" s="11"/>
      <c r="B234" s="11"/>
      <c r="C234" s="10" t="s">
        <v>546</v>
      </c>
      <c r="D234" s="33" t="str">
        <f>IF(Source!AE12&lt;&gt;"", Source!AE12," ")</f>
        <v xml:space="preserve"> </v>
      </c>
      <c r="E234" s="33"/>
      <c r="F234" s="33"/>
      <c r="G234" s="33"/>
      <c r="H234" s="33"/>
      <c r="I234" s="11" t="str">
        <f>IF(Source!AD12&lt;&gt;"", Source!AD12," ")</f>
        <v xml:space="preserve"> </v>
      </c>
      <c r="J234" s="10"/>
      <c r="K234" s="11"/>
      <c r="L234" s="11"/>
    </row>
    <row r="235" spans="1:12" ht="14.25">
      <c r="A235" s="11"/>
      <c r="B235" s="11"/>
      <c r="C235" s="11"/>
      <c r="D235" s="65" t="s">
        <v>544</v>
      </c>
      <c r="E235" s="65"/>
      <c r="F235" s="65"/>
      <c r="G235" s="65"/>
      <c r="H235" s="65"/>
      <c r="I235" s="11"/>
      <c r="J235" s="11"/>
      <c r="K235" s="11"/>
      <c r="L235" s="11"/>
    </row>
  </sheetData>
  <mergeCells count="133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224:I224"/>
    <mergeCell ref="J224:K224"/>
    <mergeCell ref="C225:I225"/>
    <mergeCell ref="J225:K225"/>
    <mergeCell ref="D229:H229"/>
    <mergeCell ref="J102:K102"/>
    <mergeCell ref="G102:H102"/>
    <mergeCell ref="J91:K91"/>
    <mergeCell ref="G91:H91"/>
    <mergeCell ref="F89:G89"/>
    <mergeCell ref="F88:G88"/>
    <mergeCell ref="J82:K82"/>
    <mergeCell ref="G82:H82"/>
    <mergeCell ref="F80:G80"/>
    <mergeCell ref="F79:G79"/>
    <mergeCell ref="D232:H232"/>
    <mergeCell ref="D235:H235"/>
    <mergeCell ref="G114:H114"/>
    <mergeCell ref="F112:G112"/>
    <mergeCell ref="F111:G111"/>
    <mergeCell ref="A104:L104"/>
    <mergeCell ref="J162:K162"/>
    <mergeCell ref="A162:F162"/>
    <mergeCell ref="J160:K160"/>
    <mergeCell ref="G160:H160"/>
    <mergeCell ref="A50:L50"/>
    <mergeCell ref="G46:H46"/>
    <mergeCell ref="J46:K46"/>
    <mergeCell ref="A46:F46"/>
    <mergeCell ref="A44:L44"/>
    <mergeCell ref="A42:L42"/>
    <mergeCell ref="J72:K72"/>
    <mergeCell ref="G72:H72"/>
    <mergeCell ref="J61:K61"/>
    <mergeCell ref="G61:H61"/>
    <mergeCell ref="F58:G58"/>
    <mergeCell ref="F57:G57"/>
    <mergeCell ref="F121:G121"/>
    <mergeCell ref="F120:G120"/>
    <mergeCell ref="J114:K114"/>
    <mergeCell ref="G214:H214"/>
    <mergeCell ref="J214:K214"/>
    <mergeCell ref="A214:F214"/>
    <mergeCell ref="G210:H210"/>
    <mergeCell ref="J210:K210"/>
    <mergeCell ref="A210:F210"/>
    <mergeCell ref="J208:K208"/>
    <mergeCell ref="J132:K132"/>
    <mergeCell ref="G132:H132"/>
    <mergeCell ref="F130:G130"/>
    <mergeCell ref="F129:G129"/>
    <mergeCell ref="J124:K124"/>
    <mergeCell ref="G124:H124"/>
    <mergeCell ref="F157:G157"/>
    <mergeCell ref="F156:G156"/>
    <mergeCell ref="J149:K149"/>
    <mergeCell ref="G149:H149"/>
    <mergeCell ref="A138:L138"/>
    <mergeCell ref="G134:H134"/>
    <mergeCell ref="J134:K134"/>
    <mergeCell ref="A134:F134"/>
    <mergeCell ref="A166:L166"/>
    <mergeCell ref="G162:H162"/>
    <mergeCell ref="G222:H222"/>
    <mergeCell ref="J222:K222"/>
    <mergeCell ref="A222:F222"/>
    <mergeCell ref="G218:H218"/>
    <mergeCell ref="J218:K218"/>
    <mergeCell ref="A218:F218"/>
    <mergeCell ref="F184:G184"/>
    <mergeCell ref="F183:G183"/>
    <mergeCell ref="J176:K176"/>
    <mergeCell ref="G176:H176"/>
    <mergeCell ref="F174:G174"/>
    <mergeCell ref="F173:G173"/>
    <mergeCell ref="G208:H208"/>
    <mergeCell ref="J198:K198"/>
    <mergeCell ref="G198:H198"/>
    <mergeCell ref="F196:G196"/>
    <mergeCell ref="F195:G195"/>
    <mergeCell ref="J188:K188"/>
    <mergeCell ref="G188:H188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319"/>
  <sheetViews>
    <sheetView workbookViewId="0">
      <selection activeCell="A315" sqref="A315:AN315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313</v>
      </c>
      <c r="C12" s="1">
        <v>0</v>
      </c>
      <c r="D12" s="1">
        <f>ROW(A252)</f>
        <v>252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06">
      <c r="A18" s="2">
        <v>52</v>
      </c>
      <c r="B18" s="2">
        <f t="shared" ref="B18:G18" si="0">B252</f>
        <v>313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16 санузла Верия</v>
      </c>
      <c r="H18" s="2"/>
      <c r="I18" s="2"/>
      <c r="J18" s="2"/>
      <c r="K18" s="2"/>
      <c r="L18" s="2"/>
      <c r="M18" s="2"/>
      <c r="N18" s="2"/>
      <c r="O18" s="2">
        <f t="shared" ref="O18:AT18" si="1">O252</f>
        <v>41206.449999999997</v>
      </c>
      <c r="P18" s="2">
        <f t="shared" si="1"/>
        <v>25211.99</v>
      </c>
      <c r="Q18" s="2">
        <f t="shared" si="1"/>
        <v>1530.22</v>
      </c>
      <c r="R18" s="2">
        <f t="shared" si="1"/>
        <v>446.67</v>
      </c>
      <c r="S18" s="2">
        <f t="shared" si="1"/>
        <v>14464.24</v>
      </c>
      <c r="T18" s="2">
        <f t="shared" si="1"/>
        <v>0</v>
      </c>
      <c r="U18" s="2">
        <f t="shared" si="1"/>
        <v>47.461089999999999</v>
      </c>
      <c r="V18" s="2">
        <f t="shared" si="1"/>
        <v>1.2644630000000003</v>
      </c>
      <c r="W18" s="2">
        <f t="shared" si="1"/>
        <v>32.200000000000003</v>
      </c>
      <c r="X18" s="2">
        <f t="shared" si="1"/>
        <v>14998.97</v>
      </c>
      <c r="Y18" s="2">
        <f t="shared" si="1"/>
        <v>8064.14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64269.56</v>
      </c>
      <c r="AS18" s="2">
        <f t="shared" si="1"/>
        <v>61826.48</v>
      </c>
      <c r="AT18" s="2">
        <f t="shared" si="1"/>
        <v>2443.08</v>
      </c>
      <c r="AU18" s="2">
        <f t="shared" ref="AU18:BZ18" si="2">AU252</f>
        <v>0</v>
      </c>
      <c r="AV18" s="2">
        <f t="shared" si="2"/>
        <v>25211.99</v>
      </c>
      <c r="AW18" s="2">
        <f t="shared" si="2"/>
        <v>25211.99</v>
      </c>
      <c r="AX18" s="2">
        <f t="shared" si="2"/>
        <v>0</v>
      </c>
      <c r="AY18" s="2">
        <f t="shared" si="2"/>
        <v>25211.99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CA252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DG252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EM252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FS252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06">
      <c r="A20" s="1">
        <v>3</v>
      </c>
      <c r="B20" s="1">
        <v>1</v>
      </c>
      <c r="C20" s="1"/>
      <c r="D20" s="1">
        <f>ROW(A222)</f>
        <v>222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06">
      <c r="A22" s="2">
        <v>52</v>
      </c>
      <c r="B22" s="2">
        <f t="shared" ref="B22:G22" si="7">B222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O222</f>
        <v>41206.449999999997</v>
      </c>
      <c r="P22" s="2">
        <f t="shared" si="8"/>
        <v>25211.99</v>
      </c>
      <c r="Q22" s="2">
        <f t="shared" si="8"/>
        <v>1530.22</v>
      </c>
      <c r="R22" s="2">
        <f t="shared" si="8"/>
        <v>446.67</v>
      </c>
      <c r="S22" s="2">
        <f t="shared" si="8"/>
        <v>14464.24</v>
      </c>
      <c r="T22" s="2">
        <f t="shared" si="8"/>
        <v>0</v>
      </c>
      <c r="U22" s="2">
        <f t="shared" si="8"/>
        <v>47.461089999999999</v>
      </c>
      <c r="V22" s="2">
        <f t="shared" si="8"/>
        <v>1.2644630000000003</v>
      </c>
      <c r="W22" s="2">
        <f t="shared" si="8"/>
        <v>32.200000000000003</v>
      </c>
      <c r="X22" s="2">
        <f t="shared" si="8"/>
        <v>14998.97</v>
      </c>
      <c r="Y22" s="2">
        <f t="shared" si="8"/>
        <v>8064.14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64269.56</v>
      </c>
      <c r="AS22" s="2">
        <f t="shared" si="8"/>
        <v>61826.48</v>
      </c>
      <c r="AT22" s="2">
        <f t="shared" si="8"/>
        <v>2443.08</v>
      </c>
      <c r="AU22" s="2">
        <f t="shared" ref="AU22:BZ22" si="9">AU222</f>
        <v>0</v>
      </c>
      <c r="AV22" s="2">
        <f t="shared" si="9"/>
        <v>25211.99</v>
      </c>
      <c r="AW22" s="2">
        <f t="shared" si="9"/>
        <v>25211.99</v>
      </c>
      <c r="AX22" s="2">
        <f t="shared" si="9"/>
        <v>0</v>
      </c>
      <c r="AY22" s="2">
        <f t="shared" si="9"/>
        <v>25211.99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CA222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DG222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EM222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FS222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06">
      <c r="A24" s="1">
        <v>4</v>
      </c>
      <c r="B24" s="1">
        <v>1</v>
      </c>
      <c r="C24" s="1"/>
      <c r="D24" s="1">
        <f>ROW(A28)</f>
        <v>28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-1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2">
        <v>52</v>
      </c>
      <c r="B26" s="2">
        <f t="shared" ref="B26:G26" si="14">B28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O28</f>
        <v>0</v>
      </c>
      <c r="P26" s="2">
        <f t="shared" si="15"/>
        <v>0</v>
      </c>
      <c r="Q26" s="2">
        <f t="shared" si="15"/>
        <v>0</v>
      </c>
      <c r="R26" s="2">
        <f t="shared" si="15"/>
        <v>0</v>
      </c>
      <c r="S26" s="2">
        <f t="shared" si="15"/>
        <v>0</v>
      </c>
      <c r="T26" s="2">
        <f t="shared" si="15"/>
        <v>0</v>
      </c>
      <c r="U26" s="2">
        <f t="shared" si="15"/>
        <v>0</v>
      </c>
      <c r="V26" s="2">
        <f t="shared" si="15"/>
        <v>0</v>
      </c>
      <c r="W26" s="2">
        <f t="shared" si="15"/>
        <v>0</v>
      </c>
      <c r="X26" s="2">
        <f t="shared" si="15"/>
        <v>0</v>
      </c>
      <c r="Y26" s="2">
        <f t="shared" si="15"/>
        <v>0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0</v>
      </c>
      <c r="AS26" s="2">
        <f t="shared" si="15"/>
        <v>0</v>
      </c>
      <c r="AT26" s="2">
        <f t="shared" si="15"/>
        <v>0</v>
      </c>
      <c r="AU26" s="2">
        <f t="shared" ref="AU26:BZ26" si="16">AU28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CA28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DG28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EM28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FS28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06">
      <c r="A28" s="2">
        <v>51</v>
      </c>
      <c r="B28" s="2">
        <f>B24</f>
        <v>1</v>
      </c>
      <c r="C28" s="2">
        <f>A24</f>
        <v>4</v>
      </c>
      <c r="D28" s="2">
        <f>ROW(A24)</f>
        <v>24</v>
      </c>
      <c r="E28" s="2"/>
      <c r="F28" s="2" t="str">
        <f>IF(F24&lt;&gt;"",F24,"")</f>
        <v>Новый раздел</v>
      </c>
      <c r="G28" s="2" t="str">
        <f>IF(G24&lt;&gt;"",G24,"")</f>
        <v>Демонтаж</v>
      </c>
      <c r="H28" s="2">
        <v>0</v>
      </c>
      <c r="I28" s="2"/>
      <c r="J28" s="2"/>
      <c r="K28" s="2"/>
      <c r="L28" s="2"/>
      <c r="M28" s="2"/>
      <c r="N28" s="2"/>
      <c r="O28" s="2">
        <f t="shared" ref="O28:Y28" si="21">AB28</f>
        <v>0</v>
      </c>
      <c r="P28" s="2">
        <f t="shared" si="21"/>
        <v>0</v>
      </c>
      <c r="Q28" s="2">
        <f t="shared" si="21"/>
        <v>0</v>
      </c>
      <c r="R28" s="2">
        <f t="shared" si="21"/>
        <v>0</v>
      </c>
      <c r="S28" s="2">
        <f t="shared" si="21"/>
        <v>0</v>
      </c>
      <c r="T28" s="2">
        <f t="shared" si="21"/>
        <v>0</v>
      </c>
      <c r="U28" s="2">
        <f t="shared" si="21"/>
        <v>0</v>
      </c>
      <c r="V28" s="2">
        <f t="shared" si="21"/>
        <v>0</v>
      </c>
      <c r="W28" s="2">
        <f t="shared" si="21"/>
        <v>0</v>
      </c>
      <c r="X28" s="2">
        <f t="shared" si="21"/>
        <v>0</v>
      </c>
      <c r="Y28" s="2">
        <f t="shared" si="21"/>
        <v>0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>
        <f t="shared" ref="AO28:BD28" si="22">BX28</f>
        <v>0</v>
      </c>
      <c r="AP28" s="2">
        <f t="shared" si="22"/>
        <v>0</v>
      </c>
      <c r="AQ28" s="2">
        <f t="shared" si="22"/>
        <v>0</v>
      </c>
      <c r="AR28" s="2">
        <f t="shared" si="22"/>
        <v>0</v>
      </c>
      <c r="AS28" s="2">
        <f t="shared" si="22"/>
        <v>0</v>
      </c>
      <c r="AT28" s="2">
        <f t="shared" si="22"/>
        <v>0</v>
      </c>
      <c r="AU28" s="2">
        <f t="shared" si="22"/>
        <v>0</v>
      </c>
      <c r="AV28" s="2">
        <f t="shared" si="22"/>
        <v>0</v>
      </c>
      <c r="AW28" s="2">
        <f t="shared" si="22"/>
        <v>0</v>
      </c>
      <c r="AX28" s="2">
        <f t="shared" si="22"/>
        <v>0</v>
      </c>
      <c r="AY28" s="2">
        <f t="shared" si="22"/>
        <v>0</v>
      </c>
      <c r="AZ28" s="2">
        <f t="shared" si="22"/>
        <v>0</v>
      </c>
      <c r="BA28" s="2">
        <f t="shared" si="22"/>
        <v>0</v>
      </c>
      <c r="BB28" s="2">
        <f t="shared" si="22"/>
        <v>0</v>
      </c>
      <c r="BC28" s="2">
        <f t="shared" si="22"/>
        <v>0</v>
      </c>
      <c r="BD28" s="2">
        <f t="shared" si="22"/>
        <v>0</v>
      </c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>
        <v>0</v>
      </c>
    </row>
    <row r="30" spans="1:206">
      <c r="A30" s="4">
        <v>50</v>
      </c>
      <c r="B30" s="4">
        <v>0</v>
      </c>
      <c r="C30" s="4">
        <v>0</v>
      </c>
      <c r="D30" s="4">
        <v>1</v>
      </c>
      <c r="E30" s="4">
        <v>201</v>
      </c>
      <c r="F30" s="4">
        <f>ROUND(Source!O28,O30)</f>
        <v>0</v>
      </c>
      <c r="G30" s="4" t="s">
        <v>15</v>
      </c>
      <c r="H30" s="4" t="s">
        <v>16</v>
      </c>
      <c r="I30" s="4"/>
      <c r="J30" s="4"/>
      <c r="K30" s="4">
        <v>201</v>
      </c>
      <c r="L30" s="4">
        <v>1</v>
      </c>
      <c r="M30" s="4">
        <v>3</v>
      </c>
      <c r="N30" s="4" t="s">
        <v>3</v>
      </c>
      <c r="O30" s="4">
        <v>2</v>
      </c>
      <c r="P30" s="4"/>
      <c r="Q30" s="4"/>
      <c r="R30" s="4"/>
      <c r="S30" s="4"/>
      <c r="T30" s="4"/>
      <c r="U30" s="4"/>
      <c r="V30" s="4"/>
      <c r="W30" s="4"/>
    </row>
    <row r="31" spans="1:206">
      <c r="A31" s="4">
        <v>50</v>
      </c>
      <c r="B31" s="4">
        <v>0</v>
      </c>
      <c r="C31" s="4">
        <v>0</v>
      </c>
      <c r="D31" s="4">
        <v>1</v>
      </c>
      <c r="E31" s="4">
        <v>202</v>
      </c>
      <c r="F31" s="4">
        <f>ROUND(Source!P28,O31)</f>
        <v>0</v>
      </c>
      <c r="G31" s="4" t="s">
        <v>17</v>
      </c>
      <c r="H31" s="4" t="s">
        <v>18</v>
      </c>
      <c r="I31" s="4"/>
      <c r="J31" s="4"/>
      <c r="K31" s="4">
        <v>202</v>
      </c>
      <c r="L31" s="4">
        <v>2</v>
      </c>
      <c r="M31" s="4">
        <v>3</v>
      </c>
      <c r="N31" s="4" t="s">
        <v>3</v>
      </c>
      <c r="O31" s="4">
        <v>2</v>
      </c>
      <c r="P31" s="4"/>
      <c r="Q31" s="4"/>
      <c r="R31" s="4"/>
      <c r="S31" s="4"/>
      <c r="T31" s="4"/>
      <c r="U31" s="4"/>
      <c r="V31" s="4"/>
      <c r="W31" s="4"/>
    </row>
    <row r="32" spans="1:206">
      <c r="A32" s="4">
        <v>50</v>
      </c>
      <c r="B32" s="4">
        <v>0</v>
      </c>
      <c r="C32" s="4">
        <v>0</v>
      </c>
      <c r="D32" s="4">
        <v>1</v>
      </c>
      <c r="E32" s="4">
        <v>222</v>
      </c>
      <c r="F32" s="4">
        <f>ROUND(Source!AO28,O32)</f>
        <v>0</v>
      </c>
      <c r="G32" s="4" t="s">
        <v>19</v>
      </c>
      <c r="H32" s="4" t="s">
        <v>20</v>
      </c>
      <c r="I32" s="4"/>
      <c r="J32" s="4"/>
      <c r="K32" s="4">
        <v>222</v>
      </c>
      <c r="L32" s="4">
        <v>3</v>
      </c>
      <c r="M32" s="4">
        <v>3</v>
      </c>
      <c r="N32" s="4" t="s">
        <v>3</v>
      </c>
      <c r="O32" s="4">
        <v>2</v>
      </c>
      <c r="P32" s="4"/>
      <c r="Q32" s="4"/>
      <c r="R32" s="4"/>
      <c r="S32" s="4"/>
      <c r="T32" s="4"/>
      <c r="U32" s="4"/>
      <c r="V32" s="4"/>
      <c r="W32" s="4"/>
    </row>
    <row r="33" spans="1:23">
      <c r="A33" s="4">
        <v>50</v>
      </c>
      <c r="B33" s="4">
        <v>0</v>
      </c>
      <c r="C33" s="4">
        <v>0</v>
      </c>
      <c r="D33" s="4">
        <v>1</v>
      </c>
      <c r="E33" s="4">
        <v>225</v>
      </c>
      <c r="F33" s="4">
        <f>ROUND(Source!AV28,O33)</f>
        <v>0</v>
      </c>
      <c r="G33" s="4" t="s">
        <v>21</v>
      </c>
      <c r="H33" s="4" t="s">
        <v>22</v>
      </c>
      <c r="I33" s="4"/>
      <c r="J33" s="4"/>
      <c r="K33" s="4">
        <v>225</v>
      </c>
      <c r="L33" s="4">
        <v>4</v>
      </c>
      <c r="M33" s="4">
        <v>3</v>
      </c>
      <c r="N33" s="4" t="s">
        <v>3</v>
      </c>
      <c r="O33" s="4">
        <v>2</v>
      </c>
      <c r="P33" s="4"/>
      <c r="Q33" s="4"/>
      <c r="R33" s="4"/>
      <c r="S33" s="4"/>
      <c r="T33" s="4"/>
      <c r="U33" s="4"/>
      <c r="V33" s="4"/>
      <c r="W33" s="4"/>
    </row>
    <row r="34" spans="1:23">
      <c r="A34" s="4">
        <v>50</v>
      </c>
      <c r="B34" s="4">
        <v>0</v>
      </c>
      <c r="C34" s="4">
        <v>0</v>
      </c>
      <c r="D34" s="4">
        <v>1</v>
      </c>
      <c r="E34" s="4">
        <v>226</v>
      </c>
      <c r="F34" s="4">
        <f>ROUND(Source!AW28,O34)</f>
        <v>0</v>
      </c>
      <c r="G34" s="4" t="s">
        <v>23</v>
      </c>
      <c r="H34" s="4" t="s">
        <v>24</v>
      </c>
      <c r="I34" s="4"/>
      <c r="J34" s="4"/>
      <c r="K34" s="4">
        <v>226</v>
      </c>
      <c r="L34" s="4">
        <v>5</v>
      </c>
      <c r="M34" s="4">
        <v>3</v>
      </c>
      <c r="N34" s="4" t="s">
        <v>3</v>
      </c>
      <c r="O34" s="4">
        <v>2</v>
      </c>
      <c r="P34" s="4"/>
      <c r="Q34" s="4"/>
      <c r="R34" s="4"/>
      <c r="S34" s="4"/>
      <c r="T34" s="4"/>
      <c r="U34" s="4"/>
      <c r="V34" s="4"/>
      <c r="W34" s="4"/>
    </row>
    <row r="35" spans="1:23">
      <c r="A35" s="4">
        <v>50</v>
      </c>
      <c r="B35" s="4">
        <v>0</v>
      </c>
      <c r="C35" s="4">
        <v>0</v>
      </c>
      <c r="D35" s="4">
        <v>1</v>
      </c>
      <c r="E35" s="4">
        <v>227</v>
      </c>
      <c r="F35" s="4">
        <f>ROUND(Source!AX28,O35)</f>
        <v>0</v>
      </c>
      <c r="G35" s="4" t="s">
        <v>25</v>
      </c>
      <c r="H35" s="4" t="s">
        <v>26</v>
      </c>
      <c r="I35" s="4"/>
      <c r="J35" s="4"/>
      <c r="K35" s="4">
        <v>227</v>
      </c>
      <c r="L35" s="4">
        <v>6</v>
      </c>
      <c r="M35" s="4">
        <v>3</v>
      </c>
      <c r="N35" s="4" t="s">
        <v>3</v>
      </c>
      <c r="O35" s="4">
        <v>2</v>
      </c>
      <c r="P35" s="4"/>
      <c r="Q35" s="4"/>
      <c r="R35" s="4"/>
      <c r="S35" s="4"/>
      <c r="T35" s="4"/>
      <c r="U35" s="4"/>
      <c r="V35" s="4"/>
      <c r="W35" s="4"/>
    </row>
    <row r="36" spans="1:23">
      <c r="A36" s="4">
        <v>50</v>
      </c>
      <c r="B36" s="4">
        <v>0</v>
      </c>
      <c r="C36" s="4">
        <v>0</v>
      </c>
      <c r="D36" s="4">
        <v>1</v>
      </c>
      <c r="E36" s="4">
        <v>228</v>
      </c>
      <c r="F36" s="4">
        <f>ROUND(Source!AY28,O36)</f>
        <v>0</v>
      </c>
      <c r="G36" s="4" t="s">
        <v>27</v>
      </c>
      <c r="H36" s="4" t="s">
        <v>28</v>
      </c>
      <c r="I36" s="4"/>
      <c r="J36" s="4"/>
      <c r="K36" s="4">
        <v>228</v>
      </c>
      <c r="L36" s="4">
        <v>7</v>
      </c>
      <c r="M36" s="4">
        <v>3</v>
      </c>
      <c r="N36" s="4" t="s">
        <v>3</v>
      </c>
      <c r="O36" s="4">
        <v>2</v>
      </c>
      <c r="P36" s="4"/>
      <c r="Q36" s="4"/>
      <c r="R36" s="4"/>
      <c r="S36" s="4"/>
      <c r="T36" s="4"/>
      <c r="U36" s="4"/>
      <c r="V36" s="4"/>
      <c r="W36" s="4"/>
    </row>
    <row r="37" spans="1:23">
      <c r="A37" s="4">
        <v>50</v>
      </c>
      <c r="B37" s="4">
        <v>0</v>
      </c>
      <c r="C37" s="4">
        <v>0</v>
      </c>
      <c r="D37" s="4">
        <v>1</v>
      </c>
      <c r="E37" s="4">
        <v>216</v>
      </c>
      <c r="F37" s="4">
        <f>ROUND(Source!AP28,O37)</f>
        <v>0</v>
      </c>
      <c r="G37" s="4" t="s">
        <v>29</v>
      </c>
      <c r="H37" s="4" t="s">
        <v>30</v>
      </c>
      <c r="I37" s="4"/>
      <c r="J37" s="4"/>
      <c r="K37" s="4">
        <v>216</v>
      </c>
      <c r="L37" s="4">
        <v>8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3">
      <c r="A38" s="4">
        <v>50</v>
      </c>
      <c r="B38" s="4">
        <v>0</v>
      </c>
      <c r="C38" s="4">
        <v>0</v>
      </c>
      <c r="D38" s="4">
        <v>1</v>
      </c>
      <c r="E38" s="4">
        <v>223</v>
      </c>
      <c r="F38" s="4">
        <f>ROUND(Source!AQ28,O38)</f>
        <v>0</v>
      </c>
      <c r="G38" s="4" t="s">
        <v>31</v>
      </c>
      <c r="H38" s="4" t="s">
        <v>32</v>
      </c>
      <c r="I38" s="4"/>
      <c r="J38" s="4"/>
      <c r="K38" s="4">
        <v>223</v>
      </c>
      <c r="L38" s="4">
        <v>9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3">
      <c r="A39" s="4">
        <v>50</v>
      </c>
      <c r="B39" s="4">
        <v>0</v>
      </c>
      <c r="C39" s="4">
        <v>0</v>
      </c>
      <c r="D39" s="4">
        <v>1</v>
      </c>
      <c r="E39" s="4">
        <v>229</v>
      </c>
      <c r="F39" s="4">
        <f>ROUND(Source!AZ28,O39)</f>
        <v>0</v>
      </c>
      <c r="G39" s="4" t="s">
        <v>33</v>
      </c>
      <c r="H39" s="4" t="s">
        <v>34</v>
      </c>
      <c r="I39" s="4"/>
      <c r="J39" s="4"/>
      <c r="K39" s="4">
        <v>229</v>
      </c>
      <c r="L39" s="4">
        <v>10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3">
      <c r="A40" s="4">
        <v>50</v>
      </c>
      <c r="B40" s="4">
        <v>0</v>
      </c>
      <c r="C40" s="4">
        <v>0</v>
      </c>
      <c r="D40" s="4">
        <v>1</v>
      </c>
      <c r="E40" s="4">
        <v>203</v>
      </c>
      <c r="F40" s="4">
        <f>ROUND(Source!Q28,O40)</f>
        <v>0</v>
      </c>
      <c r="G40" s="4" t="s">
        <v>35</v>
      </c>
      <c r="H40" s="4" t="s">
        <v>36</v>
      </c>
      <c r="I40" s="4"/>
      <c r="J40" s="4"/>
      <c r="K40" s="4">
        <v>203</v>
      </c>
      <c r="L40" s="4">
        <v>11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3">
      <c r="A41" s="4">
        <v>50</v>
      </c>
      <c r="B41" s="4">
        <v>0</v>
      </c>
      <c r="C41" s="4">
        <v>0</v>
      </c>
      <c r="D41" s="4">
        <v>1</v>
      </c>
      <c r="E41" s="4">
        <v>231</v>
      </c>
      <c r="F41" s="4">
        <f>ROUND(Source!BB28,O41)</f>
        <v>0</v>
      </c>
      <c r="G41" s="4" t="s">
        <v>37</v>
      </c>
      <c r="H41" s="4" t="s">
        <v>38</v>
      </c>
      <c r="I41" s="4"/>
      <c r="J41" s="4"/>
      <c r="K41" s="4">
        <v>231</v>
      </c>
      <c r="L41" s="4">
        <v>12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3">
      <c r="A42" s="4">
        <v>50</v>
      </c>
      <c r="B42" s="4">
        <v>0</v>
      </c>
      <c r="C42" s="4">
        <v>0</v>
      </c>
      <c r="D42" s="4">
        <v>1</v>
      </c>
      <c r="E42" s="4">
        <v>204</v>
      </c>
      <c r="F42" s="4">
        <f>ROUND(Source!R28,O42)</f>
        <v>0</v>
      </c>
      <c r="G42" s="4" t="s">
        <v>39</v>
      </c>
      <c r="H42" s="4" t="s">
        <v>40</v>
      </c>
      <c r="I42" s="4"/>
      <c r="J42" s="4"/>
      <c r="K42" s="4">
        <v>204</v>
      </c>
      <c r="L42" s="4">
        <v>13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3">
      <c r="A43" s="4">
        <v>50</v>
      </c>
      <c r="B43" s="4">
        <v>0</v>
      </c>
      <c r="C43" s="4">
        <v>0</v>
      </c>
      <c r="D43" s="4">
        <v>1</v>
      </c>
      <c r="E43" s="4">
        <v>205</v>
      </c>
      <c r="F43" s="4">
        <f>ROUND(Source!S28,O43)</f>
        <v>0</v>
      </c>
      <c r="G43" s="4" t="s">
        <v>41</v>
      </c>
      <c r="H43" s="4" t="s">
        <v>42</v>
      </c>
      <c r="I43" s="4"/>
      <c r="J43" s="4"/>
      <c r="K43" s="4">
        <v>205</v>
      </c>
      <c r="L43" s="4">
        <v>14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3">
      <c r="A44" s="4">
        <v>50</v>
      </c>
      <c r="B44" s="4">
        <v>0</v>
      </c>
      <c r="C44" s="4">
        <v>0</v>
      </c>
      <c r="D44" s="4">
        <v>1</v>
      </c>
      <c r="E44" s="4">
        <v>232</v>
      </c>
      <c r="F44" s="4">
        <f>ROUND(Source!BC28,O44)</f>
        <v>0</v>
      </c>
      <c r="G44" s="4" t="s">
        <v>43</v>
      </c>
      <c r="H44" s="4" t="s">
        <v>44</v>
      </c>
      <c r="I44" s="4"/>
      <c r="J44" s="4"/>
      <c r="K44" s="4">
        <v>232</v>
      </c>
      <c r="L44" s="4">
        <v>15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3">
      <c r="A45" s="4">
        <v>50</v>
      </c>
      <c r="B45" s="4">
        <v>0</v>
      </c>
      <c r="C45" s="4">
        <v>0</v>
      </c>
      <c r="D45" s="4">
        <v>1</v>
      </c>
      <c r="E45" s="4">
        <v>214</v>
      </c>
      <c r="F45" s="4">
        <f>ROUND(Source!AS28,O45)</f>
        <v>0</v>
      </c>
      <c r="G45" s="4" t="s">
        <v>45</v>
      </c>
      <c r="H45" s="4" t="s">
        <v>46</v>
      </c>
      <c r="I45" s="4"/>
      <c r="J45" s="4"/>
      <c r="K45" s="4">
        <v>214</v>
      </c>
      <c r="L45" s="4">
        <v>16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3">
      <c r="A46" s="4">
        <v>50</v>
      </c>
      <c r="B46" s="4">
        <v>0</v>
      </c>
      <c r="C46" s="4">
        <v>0</v>
      </c>
      <c r="D46" s="4">
        <v>1</v>
      </c>
      <c r="E46" s="4">
        <v>215</v>
      </c>
      <c r="F46" s="4">
        <f>ROUND(Source!AT28,O46)</f>
        <v>0</v>
      </c>
      <c r="G46" s="4" t="s">
        <v>47</v>
      </c>
      <c r="H46" s="4" t="s">
        <v>48</v>
      </c>
      <c r="I46" s="4"/>
      <c r="J46" s="4"/>
      <c r="K46" s="4">
        <v>215</v>
      </c>
      <c r="L46" s="4">
        <v>17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3">
      <c r="A47" s="4">
        <v>50</v>
      </c>
      <c r="B47" s="4">
        <v>0</v>
      </c>
      <c r="C47" s="4">
        <v>0</v>
      </c>
      <c r="D47" s="4">
        <v>1</v>
      </c>
      <c r="E47" s="4">
        <v>217</v>
      </c>
      <c r="F47" s="4">
        <f>ROUND(Source!AU28,O47)</f>
        <v>0</v>
      </c>
      <c r="G47" s="4" t="s">
        <v>49</v>
      </c>
      <c r="H47" s="4" t="s">
        <v>50</v>
      </c>
      <c r="I47" s="4"/>
      <c r="J47" s="4"/>
      <c r="K47" s="4">
        <v>217</v>
      </c>
      <c r="L47" s="4">
        <v>18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3">
      <c r="A48" s="4">
        <v>50</v>
      </c>
      <c r="B48" s="4">
        <v>0</v>
      </c>
      <c r="C48" s="4">
        <v>0</v>
      </c>
      <c r="D48" s="4">
        <v>1</v>
      </c>
      <c r="E48" s="4">
        <v>230</v>
      </c>
      <c r="F48" s="4">
        <f>ROUND(Source!BA28,O48)</f>
        <v>0</v>
      </c>
      <c r="G48" s="4" t="s">
        <v>51</v>
      </c>
      <c r="H48" s="4" t="s">
        <v>52</v>
      </c>
      <c r="I48" s="4"/>
      <c r="J48" s="4"/>
      <c r="K48" s="4">
        <v>230</v>
      </c>
      <c r="L48" s="4">
        <v>19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45">
      <c r="A49" s="4">
        <v>50</v>
      </c>
      <c r="B49" s="4">
        <v>0</v>
      </c>
      <c r="C49" s="4">
        <v>0</v>
      </c>
      <c r="D49" s="4">
        <v>1</v>
      </c>
      <c r="E49" s="4">
        <v>206</v>
      </c>
      <c r="F49" s="4">
        <f>ROUND(Source!T28,O49)</f>
        <v>0</v>
      </c>
      <c r="G49" s="4" t="s">
        <v>53</v>
      </c>
      <c r="H49" s="4" t="s">
        <v>54</v>
      </c>
      <c r="I49" s="4"/>
      <c r="J49" s="4"/>
      <c r="K49" s="4">
        <v>206</v>
      </c>
      <c r="L49" s="4">
        <v>20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45">
      <c r="A50" s="4">
        <v>50</v>
      </c>
      <c r="B50" s="4">
        <v>0</v>
      </c>
      <c r="C50" s="4">
        <v>0</v>
      </c>
      <c r="D50" s="4">
        <v>1</v>
      </c>
      <c r="E50" s="4">
        <v>207</v>
      </c>
      <c r="F50" s="4">
        <f>Source!U28</f>
        <v>0</v>
      </c>
      <c r="G50" s="4" t="s">
        <v>55</v>
      </c>
      <c r="H50" s="4" t="s">
        <v>56</v>
      </c>
      <c r="I50" s="4"/>
      <c r="J50" s="4"/>
      <c r="K50" s="4">
        <v>207</v>
      </c>
      <c r="L50" s="4">
        <v>21</v>
      </c>
      <c r="M50" s="4">
        <v>3</v>
      </c>
      <c r="N50" s="4" t="s">
        <v>3</v>
      </c>
      <c r="O50" s="4">
        <v>-1</v>
      </c>
      <c r="P50" s="4"/>
      <c r="Q50" s="4"/>
      <c r="R50" s="4"/>
      <c r="S50" s="4"/>
      <c r="T50" s="4"/>
      <c r="U50" s="4"/>
      <c r="V50" s="4"/>
      <c r="W50" s="4"/>
    </row>
    <row r="51" spans="1:245">
      <c r="A51" s="4">
        <v>50</v>
      </c>
      <c r="B51" s="4">
        <v>0</v>
      </c>
      <c r="C51" s="4">
        <v>0</v>
      </c>
      <c r="D51" s="4">
        <v>1</v>
      </c>
      <c r="E51" s="4">
        <v>208</v>
      </c>
      <c r="F51" s="4">
        <f>Source!V28</f>
        <v>0</v>
      </c>
      <c r="G51" s="4" t="s">
        <v>57</v>
      </c>
      <c r="H51" s="4" t="s">
        <v>58</v>
      </c>
      <c r="I51" s="4"/>
      <c r="J51" s="4"/>
      <c r="K51" s="4">
        <v>208</v>
      </c>
      <c r="L51" s="4">
        <v>22</v>
      </c>
      <c r="M51" s="4">
        <v>3</v>
      </c>
      <c r="N51" s="4" t="s">
        <v>3</v>
      </c>
      <c r="O51" s="4">
        <v>-1</v>
      </c>
      <c r="P51" s="4"/>
      <c r="Q51" s="4"/>
      <c r="R51" s="4"/>
      <c r="S51" s="4"/>
      <c r="T51" s="4"/>
      <c r="U51" s="4"/>
      <c r="V51" s="4"/>
      <c r="W51" s="4"/>
    </row>
    <row r="52" spans="1:245">
      <c r="A52" s="4">
        <v>50</v>
      </c>
      <c r="B52" s="4">
        <v>0</v>
      </c>
      <c r="C52" s="4">
        <v>0</v>
      </c>
      <c r="D52" s="4">
        <v>1</v>
      </c>
      <c r="E52" s="4">
        <v>209</v>
      </c>
      <c r="F52" s="4">
        <f>ROUND(Source!W28,O52)</f>
        <v>0</v>
      </c>
      <c r="G52" s="4" t="s">
        <v>59</v>
      </c>
      <c r="H52" s="4" t="s">
        <v>60</v>
      </c>
      <c r="I52" s="4"/>
      <c r="J52" s="4"/>
      <c r="K52" s="4">
        <v>209</v>
      </c>
      <c r="L52" s="4">
        <v>23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45">
      <c r="A53" s="4">
        <v>50</v>
      </c>
      <c r="B53" s="4">
        <v>0</v>
      </c>
      <c r="C53" s="4">
        <v>0</v>
      </c>
      <c r="D53" s="4">
        <v>1</v>
      </c>
      <c r="E53" s="4">
        <v>233</v>
      </c>
      <c r="F53" s="4">
        <f>ROUND(Source!BD28,O53)</f>
        <v>0</v>
      </c>
      <c r="G53" s="4" t="s">
        <v>61</v>
      </c>
      <c r="H53" s="4" t="s">
        <v>62</v>
      </c>
      <c r="I53" s="4"/>
      <c r="J53" s="4"/>
      <c r="K53" s="4">
        <v>233</v>
      </c>
      <c r="L53" s="4">
        <v>24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45">
      <c r="A54" s="4">
        <v>50</v>
      </c>
      <c r="B54" s="4">
        <v>0</v>
      </c>
      <c r="C54" s="4">
        <v>0</v>
      </c>
      <c r="D54" s="4">
        <v>1</v>
      </c>
      <c r="E54" s="4">
        <v>210</v>
      </c>
      <c r="F54" s="4">
        <f>ROUND(Source!X28,O54)</f>
        <v>0</v>
      </c>
      <c r="G54" s="4" t="s">
        <v>63</v>
      </c>
      <c r="H54" s="4" t="s">
        <v>64</v>
      </c>
      <c r="I54" s="4"/>
      <c r="J54" s="4"/>
      <c r="K54" s="4">
        <v>210</v>
      </c>
      <c r="L54" s="4">
        <v>25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45">
      <c r="A55" s="4">
        <v>50</v>
      </c>
      <c r="B55" s="4">
        <v>0</v>
      </c>
      <c r="C55" s="4">
        <v>0</v>
      </c>
      <c r="D55" s="4">
        <v>1</v>
      </c>
      <c r="E55" s="4">
        <v>211</v>
      </c>
      <c r="F55" s="4">
        <f>ROUND(Source!Y28,O55)</f>
        <v>0</v>
      </c>
      <c r="G55" s="4" t="s">
        <v>65</v>
      </c>
      <c r="H55" s="4" t="s">
        <v>66</v>
      </c>
      <c r="I55" s="4"/>
      <c r="J55" s="4"/>
      <c r="K55" s="4">
        <v>211</v>
      </c>
      <c r="L55" s="4">
        <v>26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45">
      <c r="A56" s="4">
        <v>50</v>
      </c>
      <c r="B56" s="4">
        <v>0</v>
      </c>
      <c r="C56" s="4">
        <v>0</v>
      </c>
      <c r="D56" s="4">
        <v>1</v>
      </c>
      <c r="E56" s="4">
        <v>224</v>
      </c>
      <c r="F56" s="4">
        <f>ROUND(Source!AR28,O56)</f>
        <v>0</v>
      </c>
      <c r="G56" s="4" t="s">
        <v>67</v>
      </c>
      <c r="H56" s="4" t="s">
        <v>68</v>
      </c>
      <c r="I56" s="4"/>
      <c r="J56" s="4"/>
      <c r="K56" s="4">
        <v>224</v>
      </c>
      <c r="L56" s="4">
        <v>27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8" spans="1:245">
      <c r="A58" s="1">
        <v>4</v>
      </c>
      <c r="B58" s="1">
        <v>1</v>
      </c>
      <c r="C58" s="1"/>
      <c r="D58" s="1">
        <f>ROW(A192)</f>
        <v>192</v>
      </c>
      <c r="E58" s="1"/>
      <c r="F58" s="1" t="s">
        <v>3</v>
      </c>
      <c r="G58" s="1" t="s">
        <v>47</v>
      </c>
      <c r="H58" s="1" t="s">
        <v>3</v>
      </c>
      <c r="I58" s="1">
        <v>0</v>
      </c>
      <c r="J58" s="1"/>
      <c r="K58" s="1">
        <v>-1</v>
      </c>
      <c r="L58" s="1"/>
      <c r="M58" s="1" t="s">
        <v>3</v>
      </c>
      <c r="N58" s="1"/>
      <c r="O58" s="1"/>
      <c r="P58" s="1"/>
      <c r="Q58" s="1"/>
      <c r="R58" s="1"/>
      <c r="S58" s="1">
        <v>0</v>
      </c>
      <c r="T58" s="1"/>
      <c r="U58" s="1" t="s">
        <v>3</v>
      </c>
      <c r="V58" s="1">
        <v>0</v>
      </c>
      <c r="W58" s="1"/>
      <c r="X58" s="1"/>
      <c r="Y58" s="1"/>
      <c r="Z58" s="1"/>
      <c r="AA58" s="1"/>
      <c r="AB58" s="1" t="s">
        <v>3</v>
      </c>
      <c r="AC58" s="1" t="s">
        <v>3</v>
      </c>
      <c r="AD58" s="1" t="s">
        <v>3</v>
      </c>
      <c r="AE58" s="1" t="s">
        <v>3</v>
      </c>
      <c r="AF58" s="1" t="s">
        <v>3</v>
      </c>
      <c r="AG58" s="1" t="s">
        <v>3</v>
      </c>
      <c r="AH58" s="1"/>
      <c r="AI58" s="1"/>
      <c r="AJ58" s="1"/>
      <c r="AK58" s="1"/>
      <c r="AL58" s="1"/>
      <c r="AM58" s="1"/>
      <c r="AN58" s="1"/>
      <c r="AO58" s="1"/>
      <c r="AP58" s="1" t="s">
        <v>3</v>
      </c>
      <c r="AQ58" s="1" t="s">
        <v>3</v>
      </c>
      <c r="AR58" s="1" t="s">
        <v>3</v>
      </c>
      <c r="AS58" s="1"/>
      <c r="AT58" s="1"/>
      <c r="AU58" s="1"/>
      <c r="AV58" s="1"/>
      <c r="AW58" s="1"/>
      <c r="AX58" s="1"/>
      <c r="AY58" s="1"/>
      <c r="AZ58" s="1" t="s">
        <v>3</v>
      </c>
      <c r="BA58" s="1"/>
      <c r="BB58" s="1" t="s">
        <v>3</v>
      </c>
      <c r="BC58" s="1" t="s">
        <v>3</v>
      </c>
      <c r="BD58" s="1" t="s">
        <v>3</v>
      </c>
      <c r="BE58" s="1" t="s">
        <v>3</v>
      </c>
      <c r="BF58" s="1" t="s">
        <v>3</v>
      </c>
      <c r="BG58" s="1" t="s">
        <v>3</v>
      </c>
      <c r="BH58" s="1" t="s">
        <v>3</v>
      </c>
      <c r="BI58" s="1" t="s">
        <v>3</v>
      </c>
      <c r="BJ58" s="1" t="s">
        <v>3</v>
      </c>
      <c r="BK58" s="1" t="s">
        <v>3</v>
      </c>
      <c r="BL58" s="1" t="s">
        <v>3</v>
      </c>
      <c r="BM58" s="1" t="s">
        <v>3</v>
      </c>
      <c r="BN58" s="1" t="s">
        <v>3</v>
      </c>
      <c r="BO58" s="1" t="s">
        <v>3</v>
      </c>
      <c r="BP58" s="1" t="s">
        <v>3</v>
      </c>
      <c r="BQ58" s="1"/>
      <c r="BR58" s="1"/>
      <c r="BS58" s="1"/>
      <c r="BT58" s="1"/>
      <c r="BU58" s="1"/>
      <c r="BV58" s="1"/>
      <c r="BW58" s="1"/>
      <c r="BX58" s="1">
        <v>0</v>
      </c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>
        <v>0</v>
      </c>
    </row>
    <row r="60" spans="1:245">
      <c r="A60" s="2">
        <v>52</v>
      </c>
      <c r="B60" s="2">
        <f t="shared" ref="B60:G60" si="23">B192</f>
        <v>1</v>
      </c>
      <c r="C60" s="2">
        <f t="shared" si="23"/>
        <v>4</v>
      </c>
      <c r="D60" s="2">
        <f t="shared" si="23"/>
        <v>58</v>
      </c>
      <c r="E60" s="2">
        <f t="shared" si="23"/>
        <v>0</v>
      </c>
      <c r="F60" s="2" t="str">
        <f t="shared" si="23"/>
        <v/>
      </c>
      <c r="G60" s="2" t="str">
        <f t="shared" si="23"/>
        <v>Монтаж</v>
      </c>
      <c r="H60" s="2"/>
      <c r="I60" s="2"/>
      <c r="J60" s="2"/>
      <c r="K60" s="2"/>
      <c r="L60" s="2"/>
      <c r="M60" s="2"/>
      <c r="N60" s="2"/>
      <c r="O60" s="2">
        <f t="shared" ref="O60:AT60" si="24">O192</f>
        <v>41206.449999999997</v>
      </c>
      <c r="P60" s="2">
        <f t="shared" si="24"/>
        <v>25211.99</v>
      </c>
      <c r="Q60" s="2">
        <f t="shared" si="24"/>
        <v>1530.22</v>
      </c>
      <c r="R60" s="2">
        <f t="shared" si="24"/>
        <v>446.67</v>
      </c>
      <c r="S60" s="2">
        <f t="shared" si="24"/>
        <v>14464.24</v>
      </c>
      <c r="T60" s="2">
        <f t="shared" si="24"/>
        <v>0</v>
      </c>
      <c r="U60" s="2">
        <f t="shared" si="24"/>
        <v>47.461089999999999</v>
      </c>
      <c r="V60" s="2">
        <f t="shared" si="24"/>
        <v>1.2644630000000003</v>
      </c>
      <c r="W60" s="2">
        <f t="shared" si="24"/>
        <v>32.200000000000003</v>
      </c>
      <c r="X60" s="2">
        <f t="shared" si="24"/>
        <v>14998.97</v>
      </c>
      <c r="Y60" s="2">
        <f t="shared" si="24"/>
        <v>8064.14</v>
      </c>
      <c r="Z60" s="2">
        <f t="shared" si="24"/>
        <v>0</v>
      </c>
      <c r="AA60" s="2">
        <f t="shared" si="24"/>
        <v>0</v>
      </c>
      <c r="AB60" s="2">
        <f t="shared" si="24"/>
        <v>7559.49</v>
      </c>
      <c r="AC60" s="2">
        <f t="shared" si="24"/>
        <v>4652.1499999999996</v>
      </c>
      <c r="AD60" s="2">
        <f t="shared" si="24"/>
        <v>184.21</v>
      </c>
      <c r="AE60" s="2">
        <f t="shared" si="24"/>
        <v>15.91</v>
      </c>
      <c r="AF60" s="2">
        <f t="shared" si="24"/>
        <v>2723.13</v>
      </c>
      <c r="AG60" s="2">
        <f t="shared" si="24"/>
        <v>0</v>
      </c>
      <c r="AH60" s="2">
        <f t="shared" si="24"/>
        <v>8.8328299999999995</v>
      </c>
      <c r="AI60" s="2">
        <f t="shared" si="24"/>
        <v>3.8550000000000008E-2</v>
      </c>
      <c r="AJ60" s="2">
        <f t="shared" si="24"/>
        <v>4.4400000000000004</v>
      </c>
      <c r="AK60" s="2">
        <f t="shared" si="24"/>
        <v>2880.78</v>
      </c>
      <c r="AL60" s="2">
        <f t="shared" si="24"/>
        <v>1684.52</v>
      </c>
      <c r="AM60" s="2">
        <f t="shared" si="24"/>
        <v>0</v>
      </c>
      <c r="AN60" s="2">
        <f t="shared" si="24"/>
        <v>0</v>
      </c>
      <c r="AO60" s="2">
        <f t="shared" si="24"/>
        <v>0</v>
      </c>
      <c r="AP60" s="2">
        <f t="shared" si="24"/>
        <v>0</v>
      </c>
      <c r="AQ60" s="2">
        <f t="shared" si="24"/>
        <v>0</v>
      </c>
      <c r="AR60" s="2">
        <f t="shared" si="24"/>
        <v>64269.56</v>
      </c>
      <c r="AS60" s="2">
        <f t="shared" si="24"/>
        <v>61826.48</v>
      </c>
      <c r="AT60" s="2">
        <f t="shared" si="24"/>
        <v>2443.08</v>
      </c>
      <c r="AU60" s="2">
        <f t="shared" ref="AU60:BZ60" si="25">AU192</f>
        <v>0</v>
      </c>
      <c r="AV60" s="2">
        <f t="shared" si="25"/>
        <v>25211.99</v>
      </c>
      <c r="AW60" s="2">
        <f t="shared" si="25"/>
        <v>25211.99</v>
      </c>
      <c r="AX60" s="2">
        <f t="shared" si="25"/>
        <v>0</v>
      </c>
      <c r="AY60" s="2">
        <f t="shared" si="25"/>
        <v>25211.99</v>
      </c>
      <c r="AZ60" s="2">
        <f t="shared" si="25"/>
        <v>0</v>
      </c>
      <c r="BA60" s="2">
        <f t="shared" si="25"/>
        <v>0</v>
      </c>
      <c r="BB60" s="2">
        <f t="shared" si="25"/>
        <v>0</v>
      </c>
      <c r="BC60" s="2">
        <f t="shared" si="25"/>
        <v>0</v>
      </c>
      <c r="BD60" s="2">
        <f t="shared" si="25"/>
        <v>0</v>
      </c>
      <c r="BE60" s="2">
        <f t="shared" si="25"/>
        <v>0</v>
      </c>
      <c r="BF60" s="2">
        <f t="shared" si="25"/>
        <v>0</v>
      </c>
      <c r="BG60" s="2">
        <f t="shared" si="25"/>
        <v>0</v>
      </c>
      <c r="BH60" s="2">
        <f t="shared" si="25"/>
        <v>0</v>
      </c>
      <c r="BI60" s="2">
        <f t="shared" si="25"/>
        <v>0</v>
      </c>
      <c r="BJ60" s="2">
        <f t="shared" si="25"/>
        <v>0</v>
      </c>
      <c r="BK60" s="2">
        <f t="shared" si="25"/>
        <v>0</v>
      </c>
      <c r="BL60" s="2">
        <f t="shared" si="25"/>
        <v>0</v>
      </c>
      <c r="BM60" s="2">
        <f t="shared" si="25"/>
        <v>0</v>
      </c>
      <c r="BN60" s="2">
        <f t="shared" si="25"/>
        <v>0</v>
      </c>
      <c r="BO60" s="2">
        <f t="shared" si="25"/>
        <v>0</v>
      </c>
      <c r="BP60" s="2">
        <f t="shared" si="25"/>
        <v>0</v>
      </c>
      <c r="BQ60" s="2">
        <f t="shared" si="25"/>
        <v>0</v>
      </c>
      <c r="BR60" s="2">
        <f t="shared" si="25"/>
        <v>0</v>
      </c>
      <c r="BS60" s="2">
        <f t="shared" si="25"/>
        <v>0</v>
      </c>
      <c r="BT60" s="2">
        <f t="shared" si="25"/>
        <v>0</v>
      </c>
      <c r="BU60" s="2">
        <f t="shared" si="25"/>
        <v>0</v>
      </c>
      <c r="BV60" s="2">
        <f t="shared" si="25"/>
        <v>0</v>
      </c>
      <c r="BW60" s="2">
        <f t="shared" si="25"/>
        <v>0</v>
      </c>
      <c r="BX60" s="2">
        <f t="shared" si="25"/>
        <v>0</v>
      </c>
      <c r="BY60" s="2">
        <f t="shared" si="25"/>
        <v>0</v>
      </c>
      <c r="BZ60" s="2">
        <f t="shared" si="25"/>
        <v>0</v>
      </c>
      <c r="CA60" s="2">
        <f t="shared" ref="CA60:DF60" si="26">CA192</f>
        <v>12124.79</v>
      </c>
      <c r="CB60" s="2">
        <f t="shared" si="26"/>
        <v>10976.04</v>
      </c>
      <c r="CC60" s="2">
        <f t="shared" si="26"/>
        <v>1148.75</v>
      </c>
      <c r="CD60" s="2">
        <f t="shared" si="26"/>
        <v>0</v>
      </c>
      <c r="CE60" s="2">
        <f t="shared" si="26"/>
        <v>4652.1499999999996</v>
      </c>
      <c r="CF60" s="2">
        <f t="shared" si="26"/>
        <v>4652.1499999999996</v>
      </c>
      <c r="CG60" s="2">
        <f t="shared" si="26"/>
        <v>0</v>
      </c>
      <c r="CH60" s="2">
        <f t="shared" si="26"/>
        <v>4652.1499999999996</v>
      </c>
      <c r="CI60" s="2">
        <f t="shared" si="26"/>
        <v>0</v>
      </c>
      <c r="CJ60" s="2">
        <f t="shared" si="26"/>
        <v>0</v>
      </c>
      <c r="CK60" s="2">
        <f t="shared" si="26"/>
        <v>0</v>
      </c>
      <c r="CL60" s="2">
        <f t="shared" si="26"/>
        <v>0</v>
      </c>
      <c r="CM60" s="2">
        <f t="shared" si="26"/>
        <v>0</v>
      </c>
      <c r="CN60" s="2">
        <f t="shared" si="26"/>
        <v>0</v>
      </c>
      <c r="CO60" s="2">
        <f t="shared" si="26"/>
        <v>0</v>
      </c>
      <c r="CP60" s="2">
        <f t="shared" si="26"/>
        <v>0</v>
      </c>
      <c r="CQ60" s="2">
        <f t="shared" si="26"/>
        <v>0</v>
      </c>
      <c r="CR60" s="2">
        <f t="shared" si="26"/>
        <v>0</v>
      </c>
      <c r="CS60" s="2">
        <f t="shared" si="26"/>
        <v>0</v>
      </c>
      <c r="CT60" s="2">
        <f t="shared" si="26"/>
        <v>0</v>
      </c>
      <c r="CU60" s="2">
        <f t="shared" si="26"/>
        <v>0</v>
      </c>
      <c r="CV60" s="2">
        <f t="shared" si="26"/>
        <v>0</v>
      </c>
      <c r="CW60" s="2">
        <f t="shared" si="26"/>
        <v>0</v>
      </c>
      <c r="CX60" s="2">
        <f t="shared" si="26"/>
        <v>0</v>
      </c>
      <c r="CY60" s="2">
        <f t="shared" si="26"/>
        <v>0</v>
      </c>
      <c r="CZ60" s="2">
        <f t="shared" si="26"/>
        <v>0</v>
      </c>
      <c r="DA60" s="2">
        <f t="shared" si="26"/>
        <v>0</v>
      </c>
      <c r="DB60" s="2">
        <f t="shared" si="26"/>
        <v>0</v>
      </c>
      <c r="DC60" s="2">
        <f t="shared" si="26"/>
        <v>0</v>
      </c>
      <c r="DD60" s="2">
        <f t="shared" si="26"/>
        <v>0</v>
      </c>
      <c r="DE60" s="2">
        <f t="shared" si="26"/>
        <v>0</v>
      </c>
      <c r="DF60" s="2">
        <f t="shared" si="26"/>
        <v>0</v>
      </c>
      <c r="DG60" s="3">
        <f t="shared" ref="DG60:EL60" si="27">DG192</f>
        <v>0</v>
      </c>
      <c r="DH60" s="3">
        <f t="shared" si="27"/>
        <v>0</v>
      </c>
      <c r="DI60" s="3">
        <f t="shared" si="27"/>
        <v>0</v>
      </c>
      <c r="DJ60" s="3">
        <f t="shared" si="27"/>
        <v>0</v>
      </c>
      <c r="DK60" s="3">
        <f t="shared" si="27"/>
        <v>0</v>
      </c>
      <c r="DL60" s="3">
        <f t="shared" si="27"/>
        <v>0</v>
      </c>
      <c r="DM60" s="3">
        <f t="shared" si="27"/>
        <v>0</v>
      </c>
      <c r="DN60" s="3">
        <f t="shared" si="27"/>
        <v>0</v>
      </c>
      <c r="DO60" s="3">
        <f t="shared" si="27"/>
        <v>0</v>
      </c>
      <c r="DP60" s="3">
        <f t="shared" si="27"/>
        <v>0</v>
      </c>
      <c r="DQ60" s="3">
        <f t="shared" si="27"/>
        <v>0</v>
      </c>
      <c r="DR60" s="3">
        <f t="shared" si="27"/>
        <v>0</v>
      </c>
      <c r="DS60" s="3">
        <f t="shared" si="27"/>
        <v>0</v>
      </c>
      <c r="DT60" s="3">
        <f t="shared" si="27"/>
        <v>0</v>
      </c>
      <c r="DU60" s="3">
        <f t="shared" si="27"/>
        <v>0</v>
      </c>
      <c r="DV60" s="3">
        <f t="shared" si="27"/>
        <v>0</v>
      </c>
      <c r="DW60" s="3">
        <f t="shared" si="27"/>
        <v>0</v>
      </c>
      <c r="DX60" s="3">
        <f t="shared" si="27"/>
        <v>0</v>
      </c>
      <c r="DY60" s="3">
        <f t="shared" si="27"/>
        <v>0</v>
      </c>
      <c r="DZ60" s="3">
        <f t="shared" si="27"/>
        <v>0</v>
      </c>
      <c r="EA60" s="3">
        <f t="shared" si="27"/>
        <v>0</v>
      </c>
      <c r="EB60" s="3">
        <f t="shared" si="27"/>
        <v>0</v>
      </c>
      <c r="EC60" s="3">
        <f t="shared" si="27"/>
        <v>0</v>
      </c>
      <c r="ED60" s="3">
        <f t="shared" si="27"/>
        <v>0</v>
      </c>
      <c r="EE60" s="3">
        <f t="shared" si="27"/>
        <v>0</v>
      </c>
      <c r="EF60" s="3">
        <f t="shared" si="27"/>
        <v>0</v>
      </c>
      <c r="EG60" s="3">
        <f t="shared" si="27"/>
        <v>0</v>
      </c>
      <c r="EH60" s="3">
        <f t="shared" si="27"/>
        <v>0</v>
      </c>
      <c r="EI60" s="3">
        <f t="shared" si="27"/>
        <v>0</v>
      </c>
      <c r="EJ60" s="3">
        <f t="shared" si="27"/>
        <v>0</v>
      </c>
      <c r="EK60" s="3">
        <f t="shared" si="27"/>
        <v>0</v>
      </c>
      <c r="EL60" s="3">
        <f t="shared" si="27"/>
        <v>0</v>
      </c>
      <c r="EM60" s="3">
        <f t="shared" ref="EM60:FR60" si="28">EM192</f>
        <v>0</v>
      </c>
      <c r="EN60" s="3">
        <f t="shared" si="28"/>
        <v>0</v>
      </c>
      <c r="EO60" s="3">
        <f t="shared" si="28"/>
        <v>0</v>
      </c>
      <c r="EP60" s="3">
        <f t="shared" si="28"/>
        <v>0</v>
      </c>
      <c r="EQ60" s="3">
        <f t="shared" si="28"/>
        <v>0</v>
      </c>
      <c r="ER60" s="3">
        <f t="shared" si="28"/>
        <v>0</v>
      </c>
      <c r="ES60" s="3">
        <f t="shared" si="28"/>
        <v>0</v>
      </c>
      <c r="ET60" s="3">
        <f t="shared" si="28"/>
        <v>0</v>
      </c>
      <c r="EU60" s="3">
        <f t="shared" si="28"/>
        <v>0</v>
      </c>
      <c r="EV60" s="3">
        <f t="shared" si="28"/>
        <v>0</v>
      </c>
      <c r="EW60" s="3">
        <f t="shared" si="28"/>
        <v>0</v>
      </c>
      <c r="EX60" s="3">
        <f t="shared" si="28"/>
        <v>0</v>
      </c>
      <c r="EY60" s="3">
        <f t="shared" si="28"/>
        <v>0</v>
      </c>
      <c r="EZ60" s="3">
        <f t="shared" si="28"/>
        <v>0</v>
      </c>
      <c r="FA60" s="3">
        <f t="shared" si="28"/>
        <v>0</v>
      </c>
      <c r="FB60" s="3">
        <f t="shared" si="28"/>
        <v>0</v>
      </c>
      <c r="FC60" s="3">
        <f t="shared" si="28"/>
        <v>0</v>
      </c>
      <c r="FD60" s="3">
        <f t="shared" si="28"/>
        <v>0</v>
      </c>
      <c r="FE60" s="3">
        <f t="shared" si="28"/>
        <v>0</v>
      </c>
      <c r="FF60" s="3">
        <f t="shared" si="28"/>
        <v>0</v>
      </c>
      <c r="FG60" s="3">
        <f t="shared" si="28"/>
        <v>0</v>
      </c>
      <c r="FH60" s="3">
        <f t="shared" si="28"/>
        <v>0</v>
      </c>
      <c r="FI60" s="3">
        <f t="shared" si="28"/>
        <v>0</v>
      </c>
      <c r="FJ60" s="3">
        <f t="shared" si="28"/>
        <v>0</v>
      </c>
      <c r="FK60" s="3">
        <f t="shared" si="28"/>
        <v>0</v>
      </c>
      <c r="FL60" s="3">
        <f t="shared" si="28"/>
        <v>0</v>
      </c>
      <c r="FM60" s="3">
        <f t="shared" si="28"/>
        <v>0</v>
      </c>
      <c r="FN60" s="3">
        <f t="shared" si="28"/>
        <v>0</v>
      </c>
      <c r="FO60" s="3">
        <f t="shared" si="28"/>
        <v>0</v>
      </c>
      <c r="FP60" s="3">
        <f t="shared" si="28"/>
        <v>0</v>
      </c>
      <c r="FQ60" s="3">
        <f t="shared" si="28"/>
        <v>0</v>
      </c>
      <c r="FR60" s="3">
        <f t="shared" si="28"/>
        <v>0</v>
      </c>
      <c r="FS60" s="3">
        <f t="shared" ref="FS60:GX60" si="29">FS192</f>
        <v>0</v>
      </c>
      <c r="FT60" s="3">
        <f t="shared" si="29"/>
        <v>0</v>
      </c>
      <c r="FU60" s="3">
        <f t="shared" si="29"/>
        <v>0</v>
      </c>
      <c r="FV60" s="3">
        <f t="shared" si="29"/>
        <v>0</v>
      </c>
      <c r="FW60" s="3">
        <f t="shared" si="29"/>
        <v>0</v>
      </c>
      <c r="FX60" s="3">
        <f t="shared" si="29"/>
        <v>0</v>
      </c>
      <c r="FY60" s="3">
        <f t="shared" si="29"/>
        <v>0</v>
      </c>
      <c r="FZ60" s="3">
        <f t="shared" si="29"/>
        <v>0</v>
      </c>
      <c r="GA60" s="3">
        <f t="shared" si="29"/>
        <v>0</v>
      </c>
      <c r="GB60" s="3">
        <f t="shared" si="29"/>
        <v>0</v>
      </c>
      <c r="GC60" s="3">
        <f t="shared" si="29"/>
        <v>0</v>
      </c>
      <c r="GD60" s="3">
        <f t="shared" si="29"/>
        <v>0</v>
      </c>
      <c r="GE60" s="3">
        <f t="shared" si="29"/>
        <v>0</v>
      </c>
      <c r="GF60" s="3">
        <f t="shared" si="29"/>
        <v>0</v>
      </c>
      <c r="GG60" s="3">
        <f t="shared" si="29"/>
        <v>0</v>
      </c>
      <c r="GH60" s="3">
        <f t="shared" si="29"/>
        <v>0</v>
      </c>
      <c r="GI60" s="3">
        <f t="shared" si="29"/>
        <v>0</v>
      </c>
      <c r="GJ60" s="3">
        <f t="shared" si="29"/>
        <v>0</v>
      </c>
      <c r="GK60" s="3">
        <f t="shared" si="29"/>
        <v>0</v>
      </c>
      <c r="GL60" s="3">
        <f t="shared" si="29"/>
        <v>0</v>
      </c>
      <c r="GM60" s="3">
        <f t="shared" si="29"/>
        <v>0</v>
      </c>
      <c r="GN60" s="3">
        <f t="shared" si="29"/>
        <v>0</v>
      </c>
      <c r="GO60" s="3">
        <f t="shared" si="29"/>
        <v>0</v>
      </c>
      <c r="GP60" s="3">
        <f t="shared" si="29"/>
        <v>0</v>
      </c>
      <c r="GQ60" s="3">
        <f t="shared" si="29"/>
        <v>0</v>
      </c>
      <c r="GR60" s="3">
        <f t="shared" si="29"/>
        <v>0</v>
      </c>
      <c r="GS60" s="3">
        <f t="shared" si="29"/>
        <v>0</v>
      </c>
      <c r="GT60" s="3">
        <f t="shared" si="29"/>
        <v>0</v>
      </c>
      <c r="GU60" s="3">
        <f t="shared" si="29"/>
        <v>0</v>
      </c>
      <c r="GV60" s="3">
        <f t="shared" si="29"/>
        <v>0</v>
      </c>
      <c r="GW60" s="3">
        <f t="shared" si="29"/>
        <v>0</v>
      </c>
      <c r="GX60" s="3">
        <f t="shared" si="29"/>
        <v>0</v>
      </c>
    </row>
    <row r="62" spans="1:245">
      <c r="A62">
        <v>17</v>
      </c>
      <c r="B62">
        <v>1</v>
      </c>
      <c r="C62">
        <f>ROW(SmtRes!A9)</f>
        <v>9</v>
      </c>
      <c r="D62">
        <f>ROW(EtalonRes!A8)</f>
        <v>8</v>
      </c>
      <c r="E62" t="s">
        <v>69</v>
      </c>
      <c r="F62" t="s">
        <v>70</v>
      </c>
      <c r="G62" t="s">
        <v>71</v>
      </c>
      <c r="H62" t="s">
        <v>72</v>
      </c>
      <c r="I62">
        <f>ROUND(38/100,9)</f>
        <v>0.38</v>
      </c>
      <c r="J62">
        <v>0</v>
      </c>
      <c r="O62">
        <f t="shared" ref="O62:O70" si="30">ROUND(CP62,2)</f>
        <v>1412.54</v>
      </c>
      <c r="P62">
        <f t="shared" ref="P62:P70" si="31">ROUND(CQ62*I62,2)</f>
        <v>561.71</v>
      </c>
      <c r="Q62">
        <f t="shared" ref="Q62:Q70" si="32">ROUND(CR62*I62,2)</f>
        <v>128.15</v>
      </c>
      <c r="R62">
        <f t="shared" ref="R62:R70" si="33">ROUND(CS62*I62,2)</f>
        <v>7.19</v>
      </c>
      <c r="S62">
        <f t="shared" ref="S62:S70" si="34">ROUND(CT62*I62,2)</f>
        <v>722.68</v>
      </c>
      <c r="T62">
        <f t="shared" ref="T62:T70" si="35">ROUND(CU62*I62,2)</f>
        <v>0</v>
      </c>
      <c r="U62">
        <f t="shared" ref="U62:U70" si="36">CV62*I62</f>
        <v>2.59578</v>
      </c>
      <c r="V62">
        <f t="shared" ref="V62:V70" si="37">CW62*I62</f>
        <v>1.9000000000000003E-2</v>
      </c>
      <c r="W62">
        <f t="shared" ref="W62:W70" si="38">ROUND(CX62*I62,2)</f>
        <v>0</v>
      </c>
      <c r="X62">
        <f t="shared" ref="X62:X70" si="39">ROUND(CY62,2)</f>
        <v>773.66</v>
      </c>
      <c r="Y62">
        <f t="shared" ref="Y62:Y70" si="40">ROUND(CZ62,2)</f>
        <v>394.13</v>
      </c>
      <c r="AA62">
        <v>33806715</v>
      </c>
      <c r="AB62">
        <f t="shared" ref="AB62:AB70" si="41">ROUND((AC62+AD62+AF62),6)</f>
        <v>268.17250000000001</v>
      </c>
      <c r="AC62">
        <f t="shared" ref="AC62:AC70" si="42">ROUND((ES62),6)</f>
        <v>154.46</v>
      </c>
      <c r="AD62">
        <f>ROUND(((((ET62*1.25))-((EU62*1.25)))+AE62),6)</f>
        <v>55.924999999999997</v>
      </c>
      <c r="AE62">
        <f>ROUND(((EU62*1.25)),6)</f>
        <v>0.57499999999999996</v>
      </c>
      <c r="AF62">
        <f>ROUND(((EV62*1.15)),6)</f>
        <v>57.787500000000001</v>
      </c>
      <c r="AG62">
        <f t="shared" ref="AG62:AG70" si="43">ROUND((AP62),6)</f>
        <v>0</v>
      </c>
      <c r="AH62">
        <f>((EW62*1.15))</f>
        <v>6.8309999999999995</v>
      </c>
      <c r="AI62">
        <f>((EX62*1.25))</f>
        <v>0.05</v>
      </c>
      <c r="AJ62">
        <f t="shared" ref="AJ62:AJ70" si="44">(AS62)</f>
        <v>0</v>
      </c>
      <c r="AK62">
        <v>249.45</v>
      </c>
      <c r="AL62">
        <v>154.46</v>
      </c>
      <c r="AM62">
        <v>44.74</v>
      </c>
      <c r="AN62">
        <v>0.46</v>
      </c>
      <c r="AO62">
        <v>50.25</v>
      </c>
      <c r="AP62">
        <v>0</v>
      </c>
      <c r="AQ62">
        <v>5.94</v>
      </c>
      <c r="AR62">
        <v>0.04</v>
      </c>
      <c r="AS62">
        <v>0</v>
      </c>
      <c r="AT62">
        <v>106</v>
      </c>
      <c r="AU62">
        <v>54</v>
      </c>
      <c r="AV62">
        <v>1</v>
      </c>
      <c r="AW62">
        <v>1</v>
      </c>
      <c r="AZ62">
        <v>1</v>
      </c>
      <c r="BA62">
        <v>32.909999999999997</v>
      </c>
      <c r="BB62">
        <v>6.03</v>
      </c>
      <c r="BC62">
        <v>9.57</v>
      </c>
      <c r="BD62" t="s">
        <v>3</v>
      </c>
      <c r="BE62" t="s">
        <v>3</v>
      </c>
      <c r="BF62" t="s">
        <v>3</v>
      </c>
      <c r="BG62" t="s">
        <v>3</v>
      </c>
      <c r="BH62">
        <v>0</v>
      </c>
      <c r="BI62">
        <v>1</v>
      </c>
      <c r="BJ62" t="s">
        <v>73</v>
      </c>
      <c r="BM62">
        <v>10001</v>
      </c>
      <c r="BN62">
        <v>0</v>
      </c>
      <c r="BO62" t="s">
        <v>70</v>
      </c>
      <c r="BP62">
        <v>1</v>
      </c>
      <c r="BQ62">
        <v>2</v>
      </c>
      <c r="BR62">
        <v>0</v>
      </c>
      <c r="BS62">
        <v>32.909999999999997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118</v>
      </c>
      <c r="CA62">
        <v>63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ref="CP62:CP70" si="45">(P62+Q62+S62)</f>
        <v>1412.54</v>
      </c>
      <c r="CQ62">
        <f t="shared" ref="CQ62:CQ70" si="46">AC62*BC62</f>
        <v>1478.1822000000002</v>
      </c>
      <c r="CR62">
        <f t="shared" ref="CR62:CR70" si="47">AD62*BB62</f>
        <v>337.22775000000001</v>
      </c>
      <c r="CS62">
        <f t="shared" ref="CS62:CS70" si="48">AE62*BS62</f>
        <v>18.923249999999996</v>
      </c>
      <c r="CT62">
        <f t="shared" ref="CT62:CT70" si="49">AF62*BA62</f>
        <v>1901.786625</v>
      </c>
      <c r="CU62">
        <f t="shared" ref="CU62:CU70" si="50">AG62</f>
        <v>0</v>
      </c>
      <c r="CV62">
        <f t="shared" ref="CV62:CV70" si="51">AH62</f>
        <v>6.8309999999999995</v>
      </c>
      <c r="CW62">
        <f t="shared" ref="CW62:CW70" si="52">AI62</f>
        <v>0.05</v>
      </c>
      <c r="CX62">
        <f t="shared" ref="CX62:CX70" si="53">AJ62</f>
        <v>0</v>
      </c>
      <c r="CY62">
        <f t="shared" ref="CY62:CY70" si="54">(((S62+R62)*AT62)/100)</f>
        <v>773.66219999999998</v>
      </c>
      <c r="CZ62">
        <f t="shared" ref="CZ62:CZ70" si="55">(((S62+R62)*AU62)/100)</f>
        <v>394.12980000000005</v>
      </c>
      <c r="DC62" t="s">
        <v>3</v>
      </c>
      <c r="DD62" t="s">
        <v>3</v>
      </c>
      <c r="DE62" t="s">
        <v>74</v>
      </c>
      <c r="DF62" t="s">
        <v>74</v>
      </c>
      <c r="DG62" t="s">
        <v>75</v>
      </c>
      <c r="DH62" t="s">
        <v>3</v>
      </c>
      <c r="DI62" t="s">
        <v>75</v>
      </c>
      <c r="DJ62" t="s">
        <v>74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1013</v>
      </c>
      <c r="DV62" t="s">
        <v>72</v>
      </c>
      <c r="DW62" t="s">
        <v>72</v>
      </c>
      <c r="DX62">
        <v>1</v>
      </c>
      <c r="DZ62" t="s">
        <v>3</v>
      </c>
      <c r="EA62" t="s">
        <v>3</v>
      </c>
      <c r="EB62" t="s">
        <v>3</v>
      </c>
      <c r="EC62" t="s">
        <v>3</v>
      </c>
      <c r="EE62">
        <v>35526079</v>
      </c>
      <c r="EF62">
        <v>2</v>
      </c>
      <c r="EG62" t="s">
        <v>76</v>
      </c>
      <c r="EH62">
        <v>0</v>
      </c>
      <c r="EI62" t="s">
        <v>3</v>
      </c>
      <c r="EJ62">
        <v>1</v>
      </c>
      <c r="EK62">
        <v>10001</v>
      </c>
      <c r="EL62" t="s">
        <v>77</v>
      </c>
      <c r="EM62" t="s">
        <v>78</v>
      </c>
      <c r="EO62" t="s">
        <v>3</v>
      </c>
      <c r="EQ62">
        <v>0</v>
      </c>
      <c r="ER62">
        <v>249.45</v>
      </c>
      <c r="ES62">
        <v>154.46</v>
      </c>
      <c r="ET62">
        <v>44.74</v>
      </c>
      <c r="EU62">
        <v>0.46</v>
      </c>
      <c r="EV62">
        <v>50.25</v>
      </c>
      <c r="EW62">
        <v>5.94</v>
      </c>
      <c r="EX62">
        <v>0.04</v>
      </c>
      <c r="EY62">
        <v>0</v>
      </c>
      <c r="FQ62">
        <v>0</v>
      </c>
      <c r="FR62">
        <f t="shared" ref="FR62:FR70" si="56">ROUND(IF(AND(BH62=3,BI62=3),P62,0),2)</f>
        <v>0</v>
      </c>
      <c r="FS62">
        <v>0</v>
      </c>
      <c r="FT62" t="s">
        <v>79</v>
      </c>
      <c r="FU62" t="s">
        <v>80</v>
      </c>
      <c r="FX62">
        <v>106.2</v>
      </c>
      <c r="FY62">
        <v>53.55</v>
      </c>
      <c r="GA62" t="s">
        <v>3</v>
      </c>
      <c r="GD62">
        <v>1</v>
      </c>
      <c r="GF62">
        <v>645621314</v>
      </c>
      <c r="GG62">
        <v>2</v>
      </c>
      <c r="GH62">
        <v>1</v>
      </c>
      <c r="GI62">
        <v>2</v>
      </c>
      <c r="GJ62">
        <v>0</v>
      </c>
      <c r="GK62">
        <v>0</v>
      </c>
      <c r="GL62">
        <f t="shared" ref="GL62:GL70" si="57">ROUND(IF(AND(BH62=3,BI62=3,FS62&lt;&gt;0),P62,0),2)</f>
        <v>0</v>
      </c>
      <c r="GM62">
        <f t="shared" ref="GM62:GM70" si="58">ROUND(O62+X62+Y62,2)+GX62</f>
        <v>2580.33</v>
      </c>
      <c r="GN62">
        <f t="shared" ref="GN62:GN70" si="59">IF(OR(BI62=0,BI62=1),ROUND(O62+X62+Y62,2),0)</f>
        <v>2580.33</v>
      </c>
      <c r="GO62">
        <f t="shared" ref="GO62:GO70" si="60">IF(BI62=2,ROUND(O62+X62+Y62,2),0)</f>
        <v>0</v>
      </c>
      <c r="GP62">
        <f t="shared" ref="GP62:GP70" si="61">IF(BI62=4,ROUND(O62+X62+Y62,2)+GX62,0)</f>
        <v>0</v>
      </c>
      <c r="GR62">
        <v>0</v>
      </c>
      <c r="GS62">
        <v>3</v>
      </c>
      <c r="GT62">
        <v>0</v>
      </c>
      <c r="GU62" t="s">
        <v>3</v>
      </c>
      <c r="GV62">
        <f t="shared" ref="GV62:GV70" si="62">ROUND((GT62),6)</f>
        <v>0</v>
      </c>
      <c r="GW62">
        <v>1</v>
      </c>
      <c r="GX62">
        <f t="shared" ref="GX62:GX70" si="63">ROUND(HC62*I62,2)</f>
        <v>0</v>
      </c>
      <c r="HA62">
        <v>0</v>
      </c>
      <c r="HB62">
        <v>0</v>
      </c>
      <c r="HC62">
        <f t="shared" ref="HC62:HC70" si="64">GV62*GW62</f>
        <v>0</v>
      </c>
      <c r="HE62" t="s">
        <v>3</v>
      </c>
      <c r="HF62" t="s">
        <v>3</v>
      </c>
      <c r="IK62">
        <v>0</v>
      </c>
    </row>
    <row r="63" spans="1:245">
      <c r="A63">
        <v>18</v>
      </c>
      <c r="B63">
        <v>1</v>
      </c>
      <c r="C63">
        <v>8</v>
      </c>
      <c r="E63" t="s">
        <v>81</v>
      </c>
      <c r="F63" t="s">
        <v>82</v>
      </c>
      <c r="G63" t="s">
        <v>83</v>
      </c>
      <c r="H63" t="s">
        <v>84</v>
      </c>
      <c r="I63">
        <f>I62*J63</f>
        <v>5.560975</v>
      </c>
      <c r="J63">
        <v>14.634144736842105</v>
      </c>
      <c r="O63">
        <f t="shared" si="30"/>
        <v>865.01</v>
      </c>
      <c r="P63">
        <f t="shared" si="31"/>
        <v>865.01</v>
      </c>
      <c r="Q63">
        <f t="shared" si="32"/>
        <v>0</v>
      </c>
      <c r="R63">
        <f t="shared" si="33"/>
        <v>0</v>
      </c>
      <c r="S63">
        <f t="shared" si="34"/>
        <v>0</v>
      </c>
      <c r="T63">
        <f t="shared" si="35"/>
        <v>0</v>
      </c>
      <c r="U63">
        <f t="shared" si="36"/>
        <v>0</v>
      </c>
      <c r="V63">
        <f t="shared" si="37"/>
        <v>0</v>
      </c>
      <c r="W63">
        <f t="shared" si="38"/>
        <v>4.28</v>
      </c>
      <c r="X63">
        <f t="shared" si="39"/>
        <v>0</v>
      </c>
      <c r="Y63">
        <f t="shared" si="40"/>
        <v>0</v>
      </c>
      <c r="AA63">
        <v>33806715</v>
      </c>
      <c r="AB63">
        <f t="shared" si="41"/>
        <v>16.78</v>
      </c>
      <c r="AC63">
        <f t="shared" si="42"/>
        <v>16.78</v>
      </c>
      <c r="AD63">
        <f>ROUND((((ET63)-(EU63))+AE63),6)</f>
        <v>0</v>
      </c>
      <c r="AE63">
        <f t="shared" ref="AE63:AF66" si="65">ROUND((EU63),6)</f>
        <v>0</v>
      </c>
      <c r="AF63">
        <f t="shared" si="65"/>
        <v>0</v>
      </c>
      <c r="AG63">
        <f t="shared" si="43"/>
        <v>0</v>
      </c>
      <c r="AH63">
        <f t="shared" ref="AH63:AI66" si="66">(EW63)</f>
        <v>0</v>
      </c>
      <c r="AI63">
        <f t="shared" si="66"/>
        <v>0</v>
      </c>
      <c r="AJ63">
        <f t="shared" si="44"/>
        <v>0.77</v>
      </c>
      <c r="AK63">
        <v>16.78</v>
      </c>
      <c r="AL63">
        <v>16.78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0.77</v>
      </c>
      <c r="AT63">
        <v>106</v>
      </c>
      <c r="AU63">
        <v>54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9.27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85</v>
      </c>
      <c r="BM63">
        <v>10001</v>
      </c>
      <c r="BN63">
        <v>0</v>
      </c>
      <c r="BO63" t="s">
        <v>82</v>
      </c>
      <c r="BP63">
        <v>1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118</v>
      </c>
      <c r="CA63">
        <v>63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45"/>
        <v>865.01</v>
      </c>
      <c r="CQ63">
        <f t="shared" si="46"/>
        <v>155.5506</v>
      </c>
      <c r="CR63">
        <f t="shared" si="47"/>
        <v>0</v>
      </c>
      <c r="CS63">
        <f t="shared" si="48"/>
        <v>0</v>
      </c>
      <c r="CT63">
        <f t="shared" si="49"/>
        <v>0</v>
      </c>
      <c r="CU63">
        <f t="shared" si="50"/>
        <v>0</v>
      </c>
      <c r="CV63">
        <f t="shared" si="51"/>
        <v>0</v>
      </c>
      <c r="CW63">
        <f t="shared" si="52"/>
        <v>0</v>
      </c>
      <c r="CX63">
        <f t="shared" si="53"/>
        <v>0.77</v>
      </c>
      <c r="CY63">
        <f t="shared" si="54"/>
        <v>0</v>
      </c>
      <c r="CZ63">
        <f t="shared" si="55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84</v>
      </c>
      <c r="DW63" t="s">
        <v>84</v>
      </c>
      <c r="DX63">
        <v>1</v>
      </c>
      <c r="DZ63" t="s">
        <v>3</v>
      </c>
      <c r="EA63" t="s">
        <v>3</v>
      </c>
      <c r="EB63" t="s">
        <v>3</v>
      </c>
      <c r="EC63" t="s">
        <v>3</v>
      </c>
      <c r="EE63">
        <v>35526079</v>
      </c>
      <c r="EF63">
        <v>2</v>
      </c>
      <c r="EG63" t="s">
        <v>76</v>
      </c>
      <c r="EH63">
        <v>0</v>
      </c>
      <c r="EI63" t="s">
        <v>3</v>
      </c>
      <c r="EJ63">
        <v>1</v>
      </c>
      <c r="EK63">
        <v>10001</v>
      </c>
      <c r="EL63" t="s">
        <v>77</v>
      </c>
      <c r="EM63" t="s">
        <v>78</v>
      </c>
      <c r="EO63" t="s">
        <v>3</v>
      </c>
      <c r="EQ63">
        <v>0</v>
      </c>
      <c r="ER63">
        <v>16.78</v>
      </c>
      <c r="ES63">
        <v>16.78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56"/>
        <v>0</v>
      </c>
      <c r="FS63">
        <v>0</v>
      </c>
      <c r="FT63" t="s">
        <v>79</v>
      </c>
      <c r="FU63" t="s">
        <v>80</v>
      </c>
      <c r="FX63">
        <v>106.2</v>
      </c>
      <c r="FY63">
        <v>53.55</v>
      </c>
      <c r="GA63" t="s">
        <v>3</v>
      </c>
      <c r="GD63">
        <v>1</v>
      </c>
      <c r="GF63">
        <v>534029189</v>
      </c>
      <c r="GG63">
        <v>2</v>
      </c>
      <c r="GH63">
        <v>1</v>
      </c>
      <c r="GI63">
        <v>2</v>
      </c>
      <c r="GJ63">
        <v>0</v>
      </c>
      <c r="GK63">
        <v>0</v>
      </c>
      <c r="GL63">
        <f t="shared" si="57"/>
        <v>0</v>
      </c>
      <c r="GM63">
        <f t="shared" si="58"/>
        <v>865.01</v>
      </c>
      <c r="GN63">
        <f t="shared" si="59"/>
        <v>865.01</v>
      </c>
      <c r="GO63">
        <f t="shared" si="60"/>
        <v>0</v>
      </c>
      <c r="GP63">
        <f t="shared" si="61"/>
        <v>0</v>
      </c>
      <c r="GR63">
        <v>0</v>
      </c>
      <c r="GS63">
        <v>3</v>
      </c>
      <c r="GT63">
        <v>0</v>
      </c>
      <c r="GU63" t="s">
        <v>3</v>
      </c>
      <c r="GV63">
        <f t="shared" si="62"/>
        <v>0</v>
      </c>
      <c r="GW63">
        <v>1</v>
      </c>
      <c r="GX63">
        <f t="shared" si="63"/>
        <v>0</v>
      </c>
      <c r="HA63">
        <v>0</v>
      </c>
      <c r="HB63">
        <v>0</v>
      </c>
      <c r="HC63">
        <f t="shared" si="64"/>
        <v>0</v>
      </c>
      <c r="HE63" t="s">
        <v>3</v>
      </c>
      <c r="HF63" t="s">
        <v>3</v>
      </c>
      <c r="IK63">
        <v>0</v>
      </c>
    </row>
    <row r="64" spans="1:245">
      <c r="A64">
        <v>17</v>
      </c>
      <c r="B64">
        <v>1</v>
      </c>
      <c r="C64">
        <f>ROW(SmtRes!A18)</f>
        <v>18</v>
      </c>
      <c r="D64">
        <f>ROW(EtalonRes!A17)</f>
        <v>17</v>
      </c>
      <c r="E64" t="s">
        <v>86</v>
      </c>
      <c r="F64" t="s">
        <v>87</v>
      </c>
      <c r="G64" t="s">
        <v>88</v>
      </c>
      <c r="H64" t="s">
        <v>89</v>
      </c>
      <c r="I64">
        <f>ROUND(5/100,9)</f>
        <v>0.05</v>
      </c>
      <c r="J64">
        <v>0</v>
      </c>
      <c r="O64">
        <f t="shared" si="30"/>
        <v>2986.82</v>
      </c>
      <c r="P64">
        <f t="shared" si="31"/>
        <v>1962.7</v>
      </c>
      <c r="Q64">
        <f t="shared" si="32"/>
        <v>13.7</v>
      </c>
      <c r="R64">
        <f t="shared" si="33"/>
        <v>4.4400000000000004</v>
      </c>
      <c r="S64">
        <f t="shared" si="34"/>
        <v>1010.42</v>
      </c>
      <c r="T64">
        <f t="shared" si="35"/>
        <v>0</v>
      </c>
      <c r="U64">
        <f t="shared" si="36"/>
        <v>3.0950000000000002</v>
      </c>
      <c r="V64">
        <f t="shared" si="37"/>
        <v>1.0000000000000002E-2</v>
      </c>
      <c r="W64">
        <f t="shared" si="38"/>
        <v>0</v>
      </c>
      <c r="X64">
        <f t="shared" si="39"/>
        <v>1045.31</v>
      </c>
      <c r="Y64">
        <f t="shared" si="40"/>
        <v>608.91999999999996</v>
      </c>
      <c r="AA64">
        <v>33806715</v>
      </c>
      <c r="AB64">
        <f t="shared" si="41"/>
        <v>11161.61</v>
      </c>
      <c r="AC64">
        <f t="shared" si="42"/>
        <v>10523.87</v>
      </c>
      <c r="AD64">
        <f>ROUND((((ET64)-(EU64))+AE64),6)</f>
        <v>23.69</v>
      </c>
      <c r="AE64">
        <f t="shared" si="65"/>
        <v>2.7</v>
      </c>
      <c r="AF64">
        <f t="shared" si="65"/>
        <v>614.04999999999995</v>
      </c>
      <c r="AG64">
        <f t="shared" si="43"/>
        <v>0</v>
      </c>
      <c r="AH64">
        <f t="shared" si="66"/>
        <v>61.9</v>
      </c>
      <c r="AI64">
        <f t="shared" si="66"/>
        <v>0.2</v>
      </c>
      <c r="AJ64">
        <f t="shared" si="44"/>
        <v>0</v>
      </c>
      <c r="AK64">
        <v>11161.61</v>
      </c>
      <c r="AL64">
        <v>10523.87</v>
      </c>
      <c r="AM64">
        <v>23.69</v>
      </c>
      <c r="AN64">
        <v>2.7</v>
      </c>
      <c r="AO64">
        <v>614.04999999999995</v>
      </c>
      <c r="AP64">
        <v>0</v>
      </c>
      <c r="AQ64">
        <v>61.9</v>
      </c>
      <c r="AR64">
        <v>0.2</v>
      </c>
      <c r="AS64">
        <v>0</v>
      </c>
      <c r="AT64">
        <v>103</v>
      </c>
      <c r="AU64">
        <v>60</v>
      </c>
      <c r="AV64">
        <v>1</v>
      </c>
      <c r="AW64">
        <v>1</v>
      </c>
      <c r="AZ64">
        <v>1</v>
      </c>
      <c r="BA64">
        <v>32.909999999999997</v>
      </c>
      <c r="BB64">
        <v>11.57</v>
      </c>
      <c r="BC64">
        <v>3.73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90</v>
      </c>
      <c r="BM64">
        <v>65007</v>
      </c>
      <c r="BN64">
        <v>0</v>
      </c>
      <c r="BO64" t="s">
        <v>87</v>
      </c>
      <c r="BP64">
        <v>1</v>
      </c>
      <c r="BQ64">
        <v>6</v>
      </c>
      <c r="BR64">
        <v>0</v>
      </c>
      <c r="BS64">
        <v>32.909999999999997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103</v>
      </c>
      <c r="CA64">
        <v>60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si="45"/>
        <v>2986.82</v>
      </c>
      <c r="CQ64">
        <f t="shared" si="46"/>
        <v>39254.035100000001</v>
      </c>
      <c r="CR64">
        <f t="shared" si="47"/>
        <v>274.0933</v>
      </c>
      <c r="CS64">
        <f t="shared" si="48"/>
        <v>88.856999999999999</v>
      </c>
      <c r="CT64">
        <f t="shared" si="49"/>
        <v>20208.385499999997</v>
      </c>
      <c r="CU64">
        <f t="shared" si="50"/>
        <v>0</v>
      </c>
      <c r="CV64">
        <f t="shared" si="51"/>
        <v>61.9</v>
      </c>
      <c r="CW64">
        <f t="shared" si="52"/>
        <v>0.2</v>
      </c>
      <c r="CX64">
        <f t="shared" si="53"/>
        <v>0</v>
      </c>
      <c r="CY64">
        <f t="shared" si="54"/>
        <v>1045.3058000000001</v>
      </c>
      <c r="CZ64">
        <f t="shared" si="55"/>
        <v>608.91599999999994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89</v>
      </c>
      <c r="DW64" t="s">
        <v>89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35526178</v>
      </c>
      <c r="EF64">
        <v>6</v>
      </c>
      <c r="EG64" t="s">
        <v>91</v>
      </c>
      <c r="EH64">
        <v>0</v>
      </c>
      <c r="EI64" t="s">
        <v>3</v>
      </c>
      <c r="EJ64">
        <v>1</v>
      </c>
      <c r="EK64">
        <v>65007</v>
      </c>
      <c r="EL64" t="s">
        <v>92</v>
      </c>
      <c r="EM64" t="s">
        <v>93</v>
      </c>
      <c r="EO64" t="s">
        <v>3</v>
      </c>
      <c r="EQ64">
        <v>0</v>
      </c>
      <c r="ER64">
        <v>11161.61</v>
      </c>
      <c r="ES64">
        <v>10523.87</v>
      </c>
      <c r="ET64">
        <v>23.69</v>
      </c>
      <c r="EU64">
        <v>2.7</v>
      </c>
      <c r="EV64">
        <v>614.04999999999995</v>
      </c>
      <c r="EW64">
        <v>61.9</v>
      </c>
      <c r="EX64">
        <v>0.2</v>
      </c>
      <c r="EY64">
        <v>0</v>
      </c>
      <c r="FQ64">
        <v>0</v>
      </c>
      <c r="FR64">
        <f t="shared" si="56"/>
        <v>0</v>
      </c>
      <c r="FS64">
        <v>0</v>
      </c>
      <c r="FX64">
        <v>103</v>
      </c>
      <c r="FY64">
        <v>60</v>
      </c>
      <c r="GA64" t="s">
        <v>3</v>
      </c>
      <c r="GD64">
        <v>1</v>
      </c>
      <c r="GF64">
        <v>-295130253</v>
      </c>
      <c r="GG64">
        <v>2</v>
      </c>
      <c r="GH64">
        <v>1</v>
      </c>
      <c r="GI64">
        <v>2</v>
      </c>
      <c r="GJ64">
        <v>0</v>
      </c>
      <c r="GK64">
        <v>0</v>
      </c>
      <c r="GL64">
        <f t="shared" si="57"/>
        <v>0</v>
      </c>
      <c r="GM64">
        <f t="shared" si="58"/>
        <v>4641.05</v>
      </c>
      <c r="GN64">
        <f t="shared" si="59"/>
        <v>4641.05</v>
      </c>
      <c r="GO64">
        <f t="shared" si="60"/>
        <v>0</v>
      </c>
      <c r="GP64">
        <f t="shared" si="61"/>
        <v>0</v>
      </c>
      <c r="GR64">
        <v>0</v>
      </c>
      <c r="GS64">
        <v>3</v>
      </c>
      <c r="GT64">
        <v>0</v>
      </c>
      <c r="GU64" t="s">
        <v>3</v>
      </c>
      <c r="GV64">
        <f t="shared" si="62"/>
        <v>0</v>
      </c>
      <c r="GW64">
        <v>1</v>
      </c>
      <c r="GX64">
        <f t="shared" si="63"/>
        <v>0</v>
      </c>
      <c r="HA64">
        <v>0</v>
      </c>
      <c r="HB64">
        <v>0</v>
      </c>
      <c r="HC64">
        <f t="shared" si="64"/>
        <v>0</v>
      </c>
      <c r="HE64" t="s">
        <v>3</v>
      </c>
      <c r="HF64" t="s">
        <v>3</v>
      </c>
      <c r="IK64">
        <v>0</v>
      </c>
    </row>
    <row r="65" spans="1:245">
      <c r="A65">
        <v>18</v>
      </c>
      <c r="B65">
        <v>1</v>
      </c>
      <c r="C65">
        <v>16</v>
      </c>
      <c r="E65" t="s">
        <v>94</v>
      </c>
      <c r="F65" t="s">
        <v>95</v>
      </c>
      <c r="G65" t="s">
        <v>96</v>
      </c>
      <c r="H65" t="s">
        <v>84</v>
      </c>
      <c r="I65">
        <f>I64*J65</f>
        <v>0</v>
      </c>
      <c r="J65">
        <v>0</v>
      </c>
      <c r="O65">
        <f t="shared" si="30"/>
        <v>0</v>
      </c>
      <c r="P65">
        <f t="shared" si="31"/>
        <v>0</v>
      </c>
      <c r="Q65">
        <f t="shared" si="32"/>
        <v>0</v>
      </c>
      <c r="R65">
        <f t="shared" si="33"/>
        <v>0</v>
      </c>
      <c r="S65">
        <f t="shared" si="34"/>
        <v>0</v>
      </c>
      <c r="T65">
        <f t="shared" si="35"/>
        <v>0</v>
      </c>
      <c r="U65">
        <f t="shared" si="36"/>
        <v>0</v>
      </c>
      <c r="V65">
        <f t="shared" si="37"/>
        <v>0</v>
      </c>
      <c r="W65">
        <f t="shared" si="38"/>
        <v>0</v>
      </c>
      <c r="X65">
        <f t="shared" si="39"/>
        <v>0</v>
      </c>
      <c r="Y65">
        <f t="shared" si="40"/>
        <v>0</v>
      </c>
      <c r="AA65">
        <v>33806715</v>
      </c>
      <c r="AB65">
        <f t="shared" si="41"/>
        <v>0</v>
      </c>
      <c r="AC65">
        <f t="shared" si="42"/>
        <v>0</v>
      </c>
      <c r="AD65">
        <f>ROUND((((ET65)-(EU65))+AE65),6)</f>
        <v>0</v>
      </c>
      <c r="AE65">
        <f t="shared" si="65"/>
        <v>0</v>
      </c>
      <c r="AF65">
        <f t="shared" si="65"/>
        <v>0</v>
      </c>
      <c r="AG65">
        <f t="shared" si="43"/>
        <v>0</v>
      </c>
      <c r="AH65">
        <f t="shared" si="66"/>
        <v>0</v>
      </c>
      <c r="AI65">
        <f t="shared" si="66"/>
        <v>0</v>
      </c>
      <c r="AJ65">
        <f t="shared" si="44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103</v>
      </c>
      <c r="AU65">
        <v>60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97</v>
      </c>
      <c r="BM65">
        <v>65007</v>
      </c>
      <c r="BN65">
        <v>0</v>
      </c>
      <c r="BO65" t="s">
        <v>3</v>
      </c>
      <c r="BP65">
        <v>0</v>
      </c>
      <c r="BQ65">
        <v>6</v>
      </c>
      <c r="BR65">
        <v>1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103</v>
      </c>
      <c r="CA65">
        <v>60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45"/>
        <v>0</v>
      </c>
      <c r="CQ65">
        <f t="shared" si="46"/>
        <v>0</v>
      </c>
      <c r="CR65">
        <f t="shared" si="47"/>
        <v>0</v>
      </c>
      <c r="CS65">
        <f t="shared" si="48"/>
        <v>0</v>
      </c>
      <c r="CT65">
        <f t="shared" si="49"/>
        <v>0</v>
      </c>
      <c r="CU65">
        <f t="shared" si="50"/>
        <v>0</v>
      </c>
      <c r="CV65">
        <f t="shared" si="51"/>
        <v>0</v>
      </c>
      <c r="CW65">
        <f t="shared" si="52"/>
        <v>0</v>
      </c>
      <c r="CX65">
        <f t="shared" si="53"/>
        <v>0</v>
      </c>
      <c r="CY65">
        <f t="shared" si="54"/>
        <v>0</v>
      </c>
      <c r="CZ65">
        <f t="shared" si="55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1009</v>
      </c>
      <c r="DV65" t="s">
        <v>84</v>
      </c>
      <c r="DW65" t="s">
        <v>84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35526178</v>
      </c>
      <c r="EF65">
        <v>6</v>
      </c>
      <c r="EG65" t="s">
        <v>91</v>
      </c>
      <c r="EH65">
        <v>0</v>
      </c>
      <c r="EI65" t="s">
        <v>3</v>
      </c>
      <c r="EJ65">
        <v>1</v>
      </c>
      <c r="EK65">
        <v>65007</v>
      </c>
      <c r="EL65" t="s">
        <v>92</v>
      </c>
      <c r="EM65" t="s">
        <v>93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56"/>
        <v>0</v>
      </c>
      <c r="FS65">
        <v>0</v>
      </c>
      <c r="FX65">
        <v>103</v>
      </c>
      <c r="FY65">
        <v>60</v>
      </c>
      <c r="GA65" t="s">
        <v>3</v>
      </c>
      <c r="GD65">
        <v>1</v>
      </c>
      <c r="GF65">
        <v>1481869091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57"/>
        <v>0</v>
      </c>
      <c r="GM65">
        <f t="shared" si="58"/>
        <v>0</v>
      </c>
      <c r="GN65">
        <f t="shared" si="59"/>
        <v>0</v>
      </c>
      <c r="GO65">
        <f t="shared" si="60"/>
        <v>0</v>
      </c>
      <c r="GP65">
        <f t="shared" si="61"/>
        <v>0</v>
      </c>
      <c r="GR65">
        <v>0</v>
      </c>
      <c r="GS65">
        <v>3</v>
      </c>
      <c r="GT65">
        <v>0</v>
      </c>
      <c r="GU65" t="s">
        <v>3</v>
      </c>
      <c r="GV65">
        <f t="shared" si="62"/>
        <v>0</v>
      </c>
      <c r="GW65">
        <v>1</v>
      </c>
      <c r="GX65">
        <f t="shared" si="63"/>
        <v>0</v>
      </c>
      <c r="HA65">
        <v>0</v>
      </c>
      <c r="HB65">
        <v>0</v>
      </c>
      <c r="HC65">
        <f t="shared" si="64"/>
        <v>0</v>
      </c>
      <c r="HE65" t="s">
        <v>3</v>
      </c>
      <c r="HF65" t="s">
        <v>3</v>
      </c>
      <c r="IK65">
        <v>0</v>
      </c>
    </row>
    <row r="66" spans="1:245">
      <c r="A66">
        <v>18</v>
      </c>
      <c r="B66">
        <v>1</v>
      </c>
      <c r="C66">
        <v>18</v>
      </c>
      <c r="E66" t="s">
        <v>98</v>
      </c>
      <c r="F66" t="s">
        <v>99</v>
      </c>
      <c r="G66" t="s">
        <v>100</v>
      </c>
      <c r="H66" t="s">
        <v>101</v>
      </c>
      <c r="I66">
        <f>I64*J66</f>
        <v>5.4999999999999997E-3</v>
      </c>
      <c r="J66">
        <v>0.10999999999999999</v>
      </c>
      <c r="O66">
        <f t="shared" si="30"/>
        <v>0</v>
      </c>
      <c r="P66">
        <f t="shared" si="31"/>
        <v>0</v>
      </c>
      <c r="Q66">
        <f t="shared" si="32"/>
        <v>0</v>
      </c>
      <c r="R66">
        <f t="shared" si="33"/>
        <v>0</v>
      </c>
      <c r="S66">
        <f t="shared" si="34"/>
        <v>0</v>
      </c>
      <c r="T66">
        <f t="shared" si="35"/>
        <v>0</v>
      </c>
      <c r="U66">
        <f t="shared" si="36"/>
        <v>0</v>
      </c>
      <c r="V66">
        <f t="shared" si="37"/>
        <v>0</v>
      </c>
      <c r="W66">
        <f t="shared" si="38"/>
        <v>0</v>
      </c>
      <c r="X66">
        <f t="shared" si="39"/>
        <v>0</v>
      </c>
      <c r="Y66">
        <f t="shared" si="40"/>
        <v>0</v>
      </c>
      <c r="AA66">
        <v>33806715</v>
      </c>
      <c r="AB66">
        <f t="shared" si="41"/>
        <v>0</v>
      </c>
      <c r="AC66">
        <f t="shared" si="42"/>
        <v>0</v>
      </c>
      <c r="AD66">
        <f>ROUND((((ET66)-(EU66))+AE66),6)</f>
        <v>0</v>
      </c>
      <c r="AE66">
        <f t="shared" si="65"/>
        <v>0</v>
      </c>
      <c r="AF66">
        <f t="shared" si="65"/>
        <v>0</v>
      </c>
      <c r="AG66">
        <f t="shared" si="43"/>
        <v>0</v>
      </c>
      <c r="AH66">
        <f t="shared" si="66"/>
        <v>0</v>
      </c>
      <c r="AI66">
        <f t="shared" si="66"/>
        <v>0</v>
      </c>
      <c r="AJ66">
        <f t="shared" si="44"/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103</v>
      </c>
      <c r="AU66">
        <v>60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102</v>
      </c>
      <c r="BM66">
        <v>65007</v>
      </c>
      <c r="BN66">
        <v>0</v>
      </c>
      <c r="BO66" t="s">
        <v>3</v>
      </c>
      <c r="BP66">
        <v>0</v>
      </c>
      <c r="BQ66">
        <v>6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103</v>
      </c>
      <c r="CA66">
        <v>60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45"/>
        <v>0</v>
      </c>
      <c r="CQ66">
        <f t="shared" si="46"/>
        <v>0</v>
      </c>
      <c r="CR66">
        <f t="shared" si="47"/>
        <v>0</v>
      </c>
      <c r="CS66">
        <f t="shared" si="48"/>
        <v>0</v>
      </c>
      <c r="CT66">
        <f t="shared" si="49"/>
        <v>0</v>
      </c>
      <c r="CU66">
        <f t="shared" si="50"/>
        <v>0</v>
      </c>
      <c r="CV66">
        <f t="shared" si="51"/>
        <v>0</v>
      </c>
      <c r="CW66">
        <f t="shared" si="52"/>
        <v>0</v>
      </c>
      <c r="CX66">
        <f t="shared" si="53"/>
        <v>0</v>
      </c>
      <c r="CY66">
        <f t="shared" si="54"/>
        <v>0</v>
      </c>
      <c r="CZ66">
        <f t="shared" si="55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1009</v>
      </c>
      <c r="DV66" t="s">
        <v>101</v>
      </c>
      <c r="DW66" t="s">
        <v>101</v>
      </c>
      <c r="DX66">
        <v>1000</v>
      </c>
      <c r="DZ66" t="s">
        <v>3</v>
      </c>
      <c r="EA66" t="s">
        <v>3</v>
      </c>
      <c r="EB66" t="s">
        <v>3</v>
      </c>
      <c r="EC66" t="s">
        <v>3</v>
      </c>
      <c r="EE66">
        <v>35526178</v>
      </c>
      <c r="EF66">
        <v>6</v>
      </c>
      <c r="EG66" t="s">
        <v>91</v>
      </c>
      <c r="EH66">
        <v>0</v>
      </c>
      <c r="EI66" t="s">
        <v>3</v>
      </c>
      <c r="EJ66">
        <v>1</v>
      </c>
      <c r="EK66">
        <v>65007</v>
      </c>
      <c r="EL66" t="s">
        <v>92</v>
      </c>
      <c r="EM66" t="s">
        <v>93</v>
      </c>
      <c r="EO66" t="s">
        <v>3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FQ66">
        <v>0</v>
      </c>
      <c r="FR66">
        <f t="shared" si="56"/>
        <v>0</v>
      </c>
      <c r="FS66">
        <v>0</v>
      </c>
      <c r="FX66">
        <v>103</v>
      </c>
      <c r="FY66">
        <v>60</v>
      </c>
      <c r="GA66" t="s">
        <v>3</v>
      </c>
      <c r="GD66">
        <v>1</v>
      </c>
      <c r="GF66">
        <v>-304821490</v>
      </c>
      <c r="GG66">
        <v>2</v>
      </c>
      <c r="GH66">
        <v>1</v>
      </c>
      <c r="GI66">
        <v>-2</v>
      </c>
      <c r="GJ66">
        <v>0</v>
      </c>
      <c r="GK66">
        <v>0</v>
      </c>
      <c r="GL66">
        <f t="shared" si="57"/>
        <v>0</v>
      </c>
      <c r="GM66">
        <f t="shared" si="58"/>
        <v>0</v>
      </c>
      <c r="GN66">
        <f t="shared" si="59"/>
        <v>0</v>
      </c>
      <c r="GO66">
        <f t="shared" si="60"/>
        <v>0</v>
      </c>
      <c r="GP66">
        <f t="shared" si="61"/>
        <v>0</v>
      </c>
      <c r="GR66">
        <v>0</v>
      </c>
      <c r="GS66">
        <v>3</v>
      </c>
      <c r="GT66">
        <v>0</v>
      </c>
      <c r="GU66" t="s">
        <v>3</v>
      </c>
      <c r="GV66">
        <f t="shared" si="62"/>
        <v>0</v>
      </c>
      <c r="GW66">
        <v>1</v>
      </c>
      <c r="GX66">
        <f t="shared" si="63"/>
        <v>0</v>
      </c>
      <c r="HA66">
        <v>0</v>
      </c>
      <c r="HB66">
        <v>0</v>
      </c>
      <c r="HC66">
        <f t="shared" si="64"/>
        <v>0</v>
      </c>
      <c r="HE66" t="s">
        <v>3</v>
      </c>
      <c r="HF66" t="s">
        <v>3</v>
      </c>
      <c r="IK66">
        <v>0</v>
      </c>
    </row>
    <row r="67" spans="1:245">
      <c r="A67">
        <v>17</v>
      </c>
      <c r="B67">
        <v>1</v>
      </c>
      <c r="C67">
        <f>ROW(SmtRes!A32)</f>
        <v>32</v>
      </c>
      <c r="D67">
        <f>ROW(EtalonRes!A31)</f>
        <v>31</v>
      </c>
      <c r="E67" t="s">
        <v>103</v>
      </c>
      <c r="F67" t="s">
        <v>104</v>
      </c>
      <c r="G67" t="s">
        <v>105</v>
      </c>
      <c r="H67" t="s">
        <v>106</v>
      </c>
      <c r="I67">
        <f>ROUND(1/10,9)</f>
        <v>0.1</v>
      </c>
      <c r="J67">
        <v>0</v>
      </c>
      <c r="O67">
        <f t="shared" si="30"/>
        <v>978</v>
      </c>
      <c r="P67">
        <f t="shared" si="31"/>
        <v>630.49</v>
      </c>
      <c r="Q67">
        <f t="shared" si="32"/>
        <v>20.21</v>
      </c>
      <c r="R67">
        <f t="shared" si="33"/>
        <v>3.91</v>
      </c>
      <c r="S67">
        <f t="shared" si="34"/>
        <v>327.3</v>
      </c>
      <c r="T67">
        <f t="shared" si="35"/>
        <v>0</v>
      </c>
      <c r="U67">
        <f t="shared" si="36"/>
        <v>1.0338499999999999</v>
      </c>
      <c r="V67">
        <f t="shared" si="37"/>
        <v>8.7500000000000008E-3</v>
      </c>
      <c r="W67">
        <f t="shared" si="38"/>
        <v>0</v>
      </c>
      <c r="X67">
        <f t="shared" si="39"/>
        <v>380.89</v>
      </c>
      <c r="Y67">
        <f t="shared" si="40"/>
        <v>235.16</v>
      </c>
      <c r="AA67">
        <v>33806715</v>
      </c>
      <c r="AB67">
        <f t="shared" si="41"/>
        <v>1225.9870000000001</v>
      </c>
      <c r="AC67">
        <f t="shared" si="42"/>
        <v>1108.06</v>
      </c>
      <c r="AD67">
        <f>ROUND(((((ET67*1.25))-((EU67*1.25)))+AE67),6)</f>
        <v>18.475000000000001</v>
      </c>
      <c r="AE67">
        <f>ROUND(((EU67*1.25)),6)</f>
        <v>1.1875</v>
      </c>
      <c r="AF67">
        <f>ROUND(((EV67*1.15)),6)</f>
        <v>99.451999999999998</v>
      </c>
      <c r="AG67">
        <f t="shared" si="43"/>
        <v>0</v>
      </c>
      <c r="AH67">
        <f>((EW67*1.15))</f>
        <v>10.3385</v>
      </c>
      <c r="AI67">
        <f>((EX67*1.25))</f>
        <v>8.7500000000000008E-2</v>
      </c>
      <c r="AJ67">
        <f t="shared" si="44"/>
        <v>0</v>
      </c>
      <c r="AK67">
        <v>1209.32</v>
      </c>
      <c r="AL67">
        <v>1108.06</v>
      </c>
      <c r="AM67">
        <v>14.78</v>
      </c>
      <c r="AN67">
        <v>0.95</v>
      </c>
      <c r="AO67">
        <v>86.48</v>
      </c>
      <c r="AP67">
        <v>0</v>
      </c>
      <c r="AQ67">
        <v>8.99</v>
      </c>
      <c r="AR67">
        <v>7.0000000000000007E-2</v>
      </c>
      <c r="AS67">
        <v>0</v>
      </c>
      <c r="AT67">
        <v>115</v>
      </c>
      <c r="AU67">
        <v>71</v>
      </c>
      <c r="AV67">
        <v>1</v>
      </c>
      <c r="AW67">
        <v>1</v>
      </c>
      <c r="AZ67">
        <v>1</v>
      </c>
      <c r="BA67">
        <v>32.909999999999997</v>
      </c>
      <c r="BB67">
        <v>10.94</v>
      </c>
      <c r="BC67">
        <v>5.69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1</v>
      </c>
      <c r="BJ67" t="s">
        <v>107</v>
      </c>
      <c r="BM67">
        <v>17001</v>
      </c>
      <c r="BN67">
        <v>0</v>
      </c>
      <c r="BO67" t="s">
        <v>104</v>
      </c>
      <c r="BP67">
        <v>1</v>
      </c>
      <c r="BQ67">
        <v>2</v>
      </c>
      <c r="BR67">
        <v>0</v>
      </c>
      <c r="BS67">
        <v>32.909999999999997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128</v>
      </c>
      <c r="CA67">
        <v>83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45"/>
        <v>978</v>
      </c>
      <c r="CQ67">
        <f t="shared" si="46"/>
        <v>6304.8613999999998</v>
      </c>
      <c r="CR67">
        <f t="shared" si="47"/>
        <v>202.1165</v>
      </c>
      <c r="CS67">
        <f t="shared" si="48"/>
        <v>39.080624999999998</v>
      </c>
      <c r="CT67">
        <f t="shared" si="49"/>
        <v>3272.9653199999998</v>
      </c>
      <c r="CU67">
        <f t="shared" si="50"/>
        <v>0</v>
      </c>
      <c r="CV67">
        <f t="shared" si="51"/>
        <v>10.3385</v>
      </c>
      <c r="CW67">
        <f t="shared" si="52"/>
        <v>8.7500000000000008E-2</v>
      </c>
      <c r="CX67">
        <f t="shared" si="53"/>
        <v>0</v>
      </c>
      <c r="CY67">
        <f t="shared" si="54"/>
        <v>380.89150000000001</v>
      </c>
      <c r="CZ67">
        <f t="shared" si="55"/>
        <v>235.15910000000002</v>
      </c>
      <c r="DC67" t="s">
        <v>3</v>
      </c>
      <c r="DD67" t="s">
        <v>3</v>
      </c>
      <c r="DE67" t="s">
        <v>74</v>
      </c>
      <c r="DF67" t="s">
        <v>74</v>
      </c>
      <c r="DG67" t="s">
        <v>75</v>
      </c>
      <c r="DH67" t="s">
        <v>3</v>
      </c>
      <c r="DI67" t="s">
        <v>75</v>
      </c>
      <c r="DJ67" t="s">
        <v>74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106</v>
      </c>
      <c r="DW67" t="s">
        <v>106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35526107</v>
      </c>
      <c r="EF67">
        <v>2</v>
      </c>
      <c r="EG67" t="s">
        <v>76</v>
      </c>
      <c r="EH67">
        <v>0</v>
      </c>
      <c r="EI67" t="s">
        <v>3</v>
      </c>
      <c r="EJ67">
        <v>1</v>
      </c>
      <c r="EK67">
        <v>17001</v>
      </c>
      <c r="EL67" t="s">
        <v>108</v>
      </c>
      <c r="EM67" t="s">
        <v>109</v>
      </c>
      <c r="EO67" t="s">
        <v>3</v>
      </c>
      <c r="EQ67">
        <v>0</v>
      </c>
      <c r="ER67">
        <v>1209.32</v>
      </c>
      <c r="ES67">
        <v>1108.06</v>
      </c>
      <c r="ET67">
        <v>14.78</v>
      </c>
      <c r="EU67">
        <v>0.95</v>
      </c>
      <c r="EV67">
        <v>86.48</v>
      </c>
      <c r="EW67">
        <v>8.99</v>
      </c>
      <c r="EX67">
        <v>7.0000000000000007E-2</v>
      </c>
      <c r="EY67">
        <v>0</v>
      </c>
      <c r="FQ67">
        <v>0</v>
      </c>
      <c r="FR67">
        <f t="shared" si="56"/>
        <v>0</v>
      </c>
      <c r="FS67">
        <v>0</v>
      </c>
      <c r="FT67" t="s">
        <v>79</v>
      </c>
      <c r="FU67" t="s">
        <v>80</v>
      </c>
      <c r="FX67">
        <v>115.2</v>
      </c>
      <c r="FY67">
        <v>70.55</v>
      </c>
      <c r="GA67" t="s">
        <v>3</v>
      </c>
      <c r="GD67">
        <v>1</v>
      </c>
      <c r="GF67">
        <v>965452452</v>
      </c>
      <c r="GG67">
        <v>2</v>
      </c>
      <c r="GH67">
        <v>1</v>
      </c>
      <c r="GI67">
        <v>2</v>
      </c>
      <c r="GJ67">
        <v>0</v>
      </c>
      <c r="GK67">
        <v>0</v>
      </c>
      <c r="GL67">
        <f t="shared" si="57"/>
        <v>0</v>
      </c>
      <c r="GM67">
        <f t="shared" si="58"/>
        <v>1594.05</v>
      </c>
      <c r="GN67">
        <f t="shared" si="59"/>
        <v>1594.05</v>
      </c>
      <c r="GO67">
        <f t="shared" si="60"/>
        <v>0</v>
      </c>
      <c r="GP67">
        <f t="shared" si="61"/>
        <v>0</v>
      </c>
      <c r="GR67">
        <v>0</v>
      </c>
      <c r="GS67">
        <v>3</v>
      </c>
      <c r="GT67">
        <v>0</v>
      </c>
      <c r="GU67" t="s">
        <v>3</v>
      </c>
      <c r="GV67">
        <f t="shared" si="62"/>
        <v>0</v>
      </c>
      <c r="GW67">
        <v>1</v>
      </c>
      <c r="GX67">
        <f t="shared" si="63"/>
        <v>0</v>
      </c>
      <c r="HA67">
        <v>0</v>
      </c>
      <c r="HB67">
        <v>0</v>
      </c>
      <c r="HC67">
        <f t="shared" si="64"/>
        <v>0</v>
      </c>
      <c r="HE67" t="s">
        <v>3</v>
      </c>
      <c r="HF67" t="s">
        <v>3</v>
      </c>
      <c r="IK67">
        <v>0</v>
      </c>
    </row>
    <row r="68" spans="1:245">
      <c r="A68">
        <v>17</v>
      </c>
      <c r="B68">
        <v>1</v>
      </c>
      <c r="C68">
        <f>ROW(SmtRes!A40)</f>
        <v>40</v>
      </c>
      <c r="D68">
        <f>ROW(EtalonRes!A39)</f>
        <v>39</v>
      </c>
      <c r="E68" t="s">
        <v>110</v>
      </c>
      <c r="F68" t="s">
        <v>111</v>
      </c>
      <c r="G68" t="s">
        <v>112</v>
      </c>
      <c r="H68" t="s">
        <v>113</v>
      </c>
      <c r="I68">
        <f>ROUND(1/10,9)</f>
        <v>0.1</v>
      </c>
      <c r="J68">
        <v>0</v>
      </c>
      <c r="O68">
        <f t="shared" si="30"/>
        <v>821.56</v>
      </c>
      <c r="P68">
        <f t="shared" si="31"/>
        <v>566.61</v>
      </c>
      <c r="Q68">
        <f t="shared" si="32"/>
        <v>0.09</v>
      </c>
      <c r="R68">
        <f t="shared" si="33"/>
        <v>0</v>
      </c>
      <c r="S68">
        <f t="shared" si="34"/>
        <v>254.86</v>
      </c>
      <c r="T68">
        <f t="shared" si="35"/>
        <v>0</v>
      </c>
      <c r="U68">
        <f t="shared" si="36"/>
        <v>0.80499999999999994</v>
      </c>
      <c r="V68">
        <f t="shared" si="37"/>
        <v>0</v>
      </c>
      <c r="W68">
        <f t="shared" si="38"/>
        <v>0</v>
      </c>
      <c r="X68">
        <f t="shared" si="39"/>
        <v>293.08999999999997</v>
      </c>
      <c r="Y68">
        <f t="shared" si="40"/>
        <v>180.95</v>
      </c>
      <c r="AA68">
        <v>33806715</v>
      </c>
      <c r="AB68">
        <f t="shared" si="41"/>
        <v>1523.1210000000001</v>
      </c>
      <c r="AC68">
        <f t="shared" si="42"/>
        <v>1445.43</v>
      </c>
      <c r="AD68">
        <f>ROUND(((((ET68*1.25))-((EU68*1.25)))+AE68),6)</f>
        <v>0.25</v>
      </c>
      <c r="AE68">
        <f>ROUND(((EU68*1.25)),6)</f>
        <v>0</v>
      </c>
      <c r="AF68">
        <f>ROUND(((EV68*1.15)),6)</f>
        <v>77.441000000000003</v>
      </c>
      <c r="AG68">
        <f t="shared" si="43"/>
        <v>0</v>
      </c>
      <c r="AH68">
        <f>((EW68*1.15))</f>
        <v>8.0499999999999989</v>
      </c>
      <c r="AI68">
        <f>((EX68*1.25))</f>
        <v>0</v>
      </c>
      <c r="AJ68">
        <f t="shared" si="44"/>
        <v>0</v>
      </c>
      <c r="AK68">
        <v>1512.97</v>
      </c>
      <c r="AL68">
        <v>1445.43</v>
      </c>
      <c r="AM68">
        <v>0.2</v>
      </c>
      <c r="AN68">
        <v>0</v>
      </c>
      <c r="AO68">
        <v>67.34</v>
      </c>
      <c r="AP68">
        <v>0</v>
      </c>
      <c r="AQ68">
        <v>7</v>
      </c>
      <c r="AR68">
        <v>0</v>
      </c>
      <c r="AS68">
        <v>0</v>
      </c>
      <c r="AT68">
        <v>115</v>
      </c>
      <c r="AU68">
        <v>71</v>
      </c>
      <c r="AV68">
        <v>1</v>
      </c>
      <c r="AW68">
        <v>1</v>
      </c>
      <c r="AZ68">
        <v>1</v>
      </c>
      <c r="BA68">
        <v>32.909999999999997</v>
      </c>
      <c r="BB68">
        <v>3.65</v>
      </c>
      <c r="BC68">
        <v>3.92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1</v>
      </c>
      <c r="BJ68" t="s">
        <v>114</v>
      </c>
      <c r="BM68">
        <v>17001</v>
      </c>
      <c r="BN68">
        <v>0</v>
      </c>
      <c r="BO68" t="s">
        <v>111</v>
      </c>
      <c r="BP68">
        <v>1</v>
      </c>
      <c r="BQ68">
        <v>2</v>
      </c>
      <c r="BR68">
        <v>0</v>
      </c>
      <c r="BS68">
        <v>32.909999999999997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128</v>
      </c>
      <c r="CA68">
        <v>83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45"/>
        <v>821.56000000000006</v>
      </c>
      <c r="CQ68">
        <f t="shared" si="46"/>
        <v>5666.0856000000003</v>
      </c>
      <c r="CR68">
        <f t="shared" si="47"/>
        <v>0.91249999999999998</v>
      </c>
      <c r="CS68">
        <f t="shared" si="48"/>
        <v>0</v>
      </c>
      <c r="CT68">
        <f t="shared" si="49"/>
        <v>2548.58331</v>
      </c>
      <c r="CU68">
        <f t="shared" si="50"/>
        <v>0</v>
      </c>
      <c r="CV68">
        <f t="shared" si="51"/>
        <v>8.0499999999999989</v>
      </c>
      <c r="CW68">
        <f t="shared" si="52"/>
        <v>0</v>
      </c>
      <c r="CX68">
        <f t="shared" si="53"/>
        <v>0</v>
      </c>
      <c r="CY68">
        <f t="shared" si="54"/>
        <v>293.089</v>
      </c>
      <c r="CZ68">
        <f t="shared" si="55"/>
        <v>180.95060000000001</v>
      </c>
      <c r="DC68" t="s">
        <v>3</v>
      </c>
      <c r="DD68" t="s">
        <v>3</v>
      </c>
      <c r="DE68" t="s">
        <v>74</v>
      </c>
      <c r="DF68" t="s">
        <v>74</v>
      </c>
      <c r="DG68" t="s">
        <v>75</v>
      </c>
      <c r="DH68" t="s">
        <v>3</v>
      </c>
      <c r="DI68" t="s">
        <v>75</v>
      </c>
      <c r="DJ68" t="s">
        <v>74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1010</v>
      </c>
      <c r="DV68" t="s">
        <v>113</v>
      </c>
      <c r="DW68" t="s">
        <v>113</v>
      </c>
      <c r="DX68">
        <v>10</v>
      </c>
      <c r="DZ68" t="s">
        <v>3</v>
      </c>
      <c r="EA68" t="s">
        <v>3</v>
      </c>
      <c r="EB68" t="s">
        <v>3</v>
      </c>
      <c r="EC68" t="s">
        <v>3</v>
      </c>
      <c r="EE68">
        <v>35526107</v>
      </c>
      <c r="EF68">
        <v>2</v>
      </c>
      <c r="EG68" t="s">
        <v>76</v>
      </c>
      <c r="EH68">
        <v>0</v>
      </c>
      <c r="EI68" t="s">
        <v>3</v>
      </c>
      <c r="EJ68">
        <v>1</v>
      </c>
      <c r="EK68">
        <v>17001</v>
      </c>
      <c r="EL68" t="s">
        <v>108</v>
      </c>
      <c r="EM68" t="s">
        <v>109</v>
      </c>
      <c r="EO68" t="s">
        <v>3</v>
      </c>
      <c r="EQ68">
        <v>0</v>
      </c>
      <c r="ER68">
        <v>1512.97</v>
      </c>
      <c r="ES68">
        <v>1445.43</v>
      </c>
      <c r="ET68">
        <v>0.2</v>
      </c>
      <c r="EU68">
        <v>0</v>
      </c>
      <c r="EV68">
        <v>67.34</v>
      </c>
      <c r="EW68">
        <v>7</v>
      </c>
      <c r="EX68">
        <v>0</v>
      </c>
      <c r="EY68">
        <v>0</v>
      </c>
      <c r="FQ68">
        <v>0</v>
      </c>
      <c r="FR68">
        <f t="shared" si="56"/>
        <v>0</v>
      </c>
      <c r="FS68">
        <v>0</v>
      </c>
      <c r="FT68" t="s">
        <v>79</v>
      </c>
      <c r="FU68" t="s">
        <v>80</v>
      </c>
      <c r="FX68">
        <v>115.2</v>
      </c>
      <c r="FY68">
        <v>70.55</v>
      </c>
      <c r="GA68" t="s">
        <v>3</v>
      </c>
      <c r="GD68">
        <v>1</v>
      </c>
      <c r="GF68">
        <v>-300941850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 t="shared" si="57"/>
        <v>0</v>
      </c>
      <c r="GM68">
        <f t="shared" si="58"/>
        <v>1295.5999999999999</v>
      </c>
      <c r="GN68">
        <f t="shared" si="59"/>
        <v>1295.5999999999999</v>
      </c>
      <c r="GO68">
        <f t="shared" si="60"/>
        <v>0</v>
      </c>
      <c r="GP68">
        <f t="shared" si="61"/>
        <v>0</v>
      </c>
      <c r="GR68">
        <v>0</v>
      </c>
      <c r="GS68">
        <v>3</v>
      </c>
      <c r="GT68">
        <v>0</v>
      </c>
      <c r="GU68" t="s">
        <v>3</v>
      </c>
      <c r="GV68">
        <f t="shared" si="62"/>
        <v>0</v>
      </c>
      <c r="GW68">
        <v>1</v>
      </c>
      <c r="GX68">
        <f t="shared" si="63"/>
        <v>0</v>
      </c>
      <c r="HA68">
        <v>0</v>
      </c>
      <c r="HB68">
        <v>0</v>
      </c>
      <c r="HC68">
        <f t="shared" si="64"/>
        <v>0</v>
      </c>
      <c r="HE68" t="s">
        <v>3</v>
      </c>
      <c r="HF68" t="s">
        <v>3</v>
      </c>
      <c r="IK68">
        <v>0</v>
      </c>
    </row>
    <row r="69" spans="1:245">
      <c r="A69">
        <v>17</v>
      </c>
      <c r="B69">
        <v>1</v>
      </c>
      <c r="C69">
        <f>ROW(SmtRes!A49)</f>
        <v>49</v>
      </c>
      <c r="D69">
        <f>ROW(EtalonRes!A47)</f>
        <v>47</v>
      </c>
      <c r="E69" t="s">
        <v>115</v>
      </c>
      <c r="F69" t="s">
        <v>116</v>
      </c>
      <c r="G69" t="s">
        <v>117</v>
      </c>
      <c r="H69" t="s">
        <v>118</v>
      </c>
      <c r="I69">
        <f>ROUND(8/100,9)</f>
        <v>0.08</v>
      </c>
      <c r="J69">
        <v>0</v>
      </c>
      <c r="O69">
        <f t="shared" si="30"/>
        <v>448.9</v>
      </c>
      <c r="P69">
        <f t="shared" si="31"/>
        <v>18.97</v>
      </c>
      <c r="Q69">
        <f t="shared" si="32"/>
        <v>22.06</v>
      </c>
      <c r="R69">
        <f t="shared" si="33"/>
        <v>0.37</v>
      </c>
      <c r="S69">
        <f t="shared" si="34"/>
        <v>407.87</v>
      </c>
      <c r="T69">
        <f t="shared" si="35"/>
        <v>0</v>
      </c>
      <c r="U69">
        <f t="shared" si="36"/>
        <v>1.3031999999999999</v>
      </c>
      <c r="V69">
        <f t="shared" si="37"/>
        <v>8.0000000000000004E-4</v>
      </c>
      <c r="W69">
        <f t="shared" si="38"/>
        <v>0</v>
      </c>
      <c r="X69">
        <f t="shared" si="39"/>
        <v>387.83</v>
      </c>
      <c r="Y69">
        <f t="shared" si="40"/>
        <v>265.36</v>
      </c>
      <c r="AA69">
        <v>33806715</v>
      </c>
      <c r="AB69">
        <f t="shared" si="41"/>
        <v>237.45</v>
      </c>
      <c r="AC69">
        <f t="shared" si="42"/>
        <v>51.33</v>
      </c>
      <c r="AD69">
        <f>ROUND((((ET69)-(EU69))+AE69),6)</f>
        <v>31.2</v>
      </c>
      <c r="AE69">
        <f>ROUND((EU69),6)</f>
        <v>0.14000000000000001</v>
      </c>
      <c r="AF69">
        <f>ROUND((EV69),6)</f>
        <v>154.91999999999999</v>
      </c>
      <c r="AG69">
        <f t="shared" si="43"/>
        <v>0</v>
      </c>
      <c r="AH69">
        <f>(EW69)</f>
        <v>16.29</v>
      </c>
      <c r="AI69">
        <f>(EX69)</f>
        <v>0.01</v>
      </c>
      <c r="AJ69">
        <f t="shared" si="44"/>
        <v>0</v>
      </c>
      <c r="AK69">
        <v>237.45</v>
      </c>
      <c r="AL69">
        <v>51.33</v>
      </c>
      <c r="AM69">
        <v>31.2</v>
      </c>
      <c r="AN69">
        <v>0.14000000000000001</v>
      </c>
      <c r="AO69">
        <v>154.91999999999999</v>
      </c>
      <c r="AP69">
        <v>0</v>
      </c>
      <c r="AQ69">
        <v>16.29</v>
      </c>
      <c r="AR69">
        <v>0.01</v>
      </c>
      <c r="AS69">
        <v>0</v>
      </c>
      <c r="AT69">
        <v>95</v>
      </c>
      <c r="AU69">
        <v>65</v>
      </c>
      <c r="AV69">
        <v>1</v>
      </c>
      <c r="AW69">
        <v>1</v>
      </c>
      <c r="AZ69">
        <v>1</v>
      </c>
      <c r="BA69">
        <v>32.909999999999997</v>
      </c>
      <c r="BB69">
        <v>8.84</v>
      </c>
      <c r="BC69">
        <v>4.62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2</v>
      </c>
      <c r="BJ69" t="s">
        <v>119</v>
      </c>
      <c r="BM69">
        <v>108001</v>
      </c>
      <c r="BN69">
        <v>0</v>
      </c>
      <c r="BO69" t="s">
        <v>116</v>
      </c>
      <c r="BP69">
        <v>1</v>
      </c>
      <c r="BQ69">
        <v>3</v>
      </c>
      <c r="BR69">
        <v>0</v>
      </c>
      <c r="BS69">
        <v>32.909999999999997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95</v>
      </c>
      <c r="CA69">
        <v>65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45"/>
        <v>448.9</v>
      </c>
      <c r="CQ69">
        <f t="shared" si="46"/>
        <v>237.1446</v>
      </c>
      <c r="CR69">
        <f t="shared" si="47"/>
        <v>275.80799999999999</v>
      </c>
      <c r="CS69">
        <f t="shared" si="48"/>
        <v>4.6074000000000002</v>
      </c>
      <c r="CT69">
        <f t="shared" si="49"/>
        <v>5098.417199999999</v>
      </c>
      <c r="CU69">
        <f t="shared" si="50"/>
        <v>0</v>
      </c>
      <c r="CV69">
        <f t="shared" si="51"/>
        <v>16.29</v>
      </c>
      <c r="CW69">
        <f t="shared" si="52"/>
        <v>0.01</v>
      </c>
      <c r="CX69">
        <f t="shared" si="53"/>
        <v>0</v>
      </c>
      <c r="CY69">
        <f t="shared" si="54"/>
        <v>387.82800000000003</v>
      </c>
      <c r="CZ69">
        <f t="shared" si="55"/>
        <v>265.35599999999999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1003</v>
      </c>
      <c r="DV69" t="s">
        <v>118</v>
      </c>
      <c r="DW69" t="s">
        <v>118</v>
      </c>
      <c r="DX69">
        <v>100</v>
      </c>
      <c r="DZ69" t="s">
        <v>3</v>
      </c>
      <c r="EA69" t="s">
        <v>3</v>
      </c>
      <c r="EB69" t="s">
        <v>3</v>
      </c>
      <c r="EC69" t="s">
        <v>3</v>
      </c>
      <c r="EE69">
        <v>35525962</v>
      </c>
      <c r="EF69">
        <v>3</v>
      </c>
      <c r="EG69" t="s">
        <v>120</v>
      </c>
      <c r="EH69">
        <v>0</v>
      </c>
      <c r="EI69" t="s">
        <v>3</v>
      </c>
      <c r="EJ69">
        <v>2</v>
      </c>
      <c r="EK69">
        <v>108001</v>
      </c>
      <c r="EL69" t="s">
        <v>121</v>
      </c>
      <c r="EM69" t="s">
        <v>122</v>
      </c>
      <c r="EO69" t="s">
        <v>3</v>
      </c>
      <c r="EQ69">
        <v>0</v>
      </c>
      <c r="ER69">
        <v>237.45</v>
      </c>
      <c r="ES69">
        <v>51.33</v>
      </c>
      <c r="ET69">
        <v>31.2</v>
      </c>
      <c r="EU69">
        <v>0.14000000000000001</v>
      </c>
      <c r="EV69">
        <v>154.91999999999999</v>
      </c>
      <c r="EW69">
        <v>16.29</v>
      </c>
      <c r="EX69">
        <v>0.01</v>
      </c>
      <c r="EY69">
        <v>0</v>
      </c>
      <c r="FQ69">
        <v>0</v>
      </c>
      <c r="FR69">
        <f t="shared" si="56"/>
        <v>0</v>
      </c>
      <c r="FS69">
        <v>0</v>
      </c>
      <c r="FX69">
        <v>95</v>
      </c>
      <c r="FY69">
        <v>65</v>
      </c>
      <c r="GA69" t="s">
        <v>3</v>
      </c>
      <c r="GD69">
        <v>1</v>
      </c>
      <c r="GF69">
        <v>-1230240878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si="57"/>
        <v>0</v>
      </c>
      <c r="GM69">
        <f t="shared" si="58"/>
        <v>1102.0899999999999</v>
      </c>
      <c r="GN69">
        <f t="shared" si="59"/>
        <v>0</v>
      </c>
      <c r="GO69">
        <f t="shared" si="60"/>
        <v>1102.0899999999999</v>
      </c>
      <c r="GP69">
        <f t="shared" si="61"/>
        <v>0</v>
      </c>
      <c r="GR69">
        <v>0</v>
      </c>
      <c r="GS69">
        <v>3</v>
      </c>
      <c r="GT69">
        <v>0</v>
      </c>
      <c r="GU69" t="s">
        <v>3</v>
      </c>
      <c r="GV69">
        <f t="shared" si="62"/>
        <v>0</v>
      </c>
      <c r="GW69">
        <v>1</v>
      </c>
      <c r="GX69">
        <f t="shared" si="63"/>
        <v>0</v>
      </c>
      <c r="HA69">
        <v>0</v>
      </c>
      <c r="HB69">
        <v>0</v>
      </c>
      <c r="HC69">
        <f t="shared" si="64"/>
        <v>0</v>
      </c>
      <c r="HE69" t="s">
        <v>3</v>
      </c>
      <c r="HF69" t="s">
        <v>3</v>
      </c>
      <c r="IK69">
        <v>0</v>
      </c>
    </row>
    <row r="70" spans="1:245">
      <c r="A70">
        <v>18</v>
      </c>
      <c r="B70">
        <v>1</v>
      </c>
      <c r="C70">
        <v>48</v>
      </c>
      <c r="E70" t="s">
        <v>123</v>
      </c>
      <c r="F70" t="s">
        <v>124</v>
      </c>
      <c r="G70" t="s">
        <v>125</v>
      </c>
      <c r="H70" t="s">
        <v>126</v>
      </c>
      <c r="I70">
        <f>I69*J70</f>
        <v>8</v>
      </c>
      <c r="J70">
        <v>100</v>
      </c>
      <c r="O70">
        <f t="shared" si="30"/>
        <v>46.66</v>
      </c>
      <c r="P70">
        <f t="shared" si="31"/>
        <v>46.66</v>
      </c>
      <c r="Q70">
        <f t="shared" si="32"/>
        <v>0</v>
      </c>
      <c r="R70">
        <f t="shared" si="33"/>
        <v>0</v>
      </c>
      <c r="S70">
        <f t="shared" si="34"/>
        <v>0</v>
      </c>
      <c r="T70">
        <f t="shared" si="35"/>
        <v>0</v>
      </c>
      <c r="U70">
        <f t="shared" si="36"/>
        <v>0</v>
      </c>
      <c r="V70">
        <f t="shared" si="37"/>
        <v>0</v>
      </c>
      <c r="W70">
        <f t="shared" si="38"/>
        <v>0.16</v>
      </c>
      <c r="X70">
        <f t="shared" si="39"/>
        <v>0</v>
      </c>
      <c r="Y70">
        <f t="shared" si="40"/>
        <v>0</v>
      </c>
      <c r="AA70">
        <v>33806715</v>
      </c>
      <c r="AB70">
        <f t="shared" si="41"/>
        <v>1.2</v>
      </c>
      <c r="AC70">
        <f t="shared" si="42"/>
        <v>1.2</v>
      </c>
      <c r="AD70">
        <f>ROUND((((ET70)-(EU70))+AE70),6)</f>
        <v>0</v>
      </c>
      <c r="AE70">
        <f>ROUND((EU70),6)</f>
        <v>0</v>
      </c>
      <c r="AF70">
        <f>ROUND((EV70),6)</f>
        <v>0</v>
      </c>
      <c r="AG70">
        <f t="shared" si="43"/>
        <v>0</v>
      </c>
      <c r="AH70">
        <f>(EW70)</f>
        <v>0</v>
      </c>
      <c r="AI70">
        <f>(EX70)</f>
        <v>0</v>
      </c>
      <c r="AJ70">
        <f t="shared" si="44"/>
        <v>0.02</v>
      </c>
      <c r="AK70">
        <v>1.2</v>
      </c>
      <c r="AL70">
        <v>1.2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0.02</v>
      </c>
      <c r="AT70">
        <v>95</v>
      </c>
      <c r="AU70">
        <v>65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4.8600000000000003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2</v>
      </c>
      <c r="BJ70" t="s">
        <v>127</v>
      </c>
      <c r="BM70">
        <v>108001</v>
      </c>
      <c r="BN70">
        <v>0</v>
      </c>
      <c r="BO70" t="s">
        <v>124</v>
      </c>
      <c r="BP70">
        <v>1</v>
      </c>
      <c r="BQ70">
        <v>3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95</v>
      </c>
      <c r="CA70">
        <v>65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45"/>
        <v>46.66</v>
      </c>
      <c r="CQ70">
        <f t="shared" si="46"/>
        <v>5.8319999999999999</v>
      </c>
      <c r="CR70">
        <f t="shared" si="47"/>
        <v>0</v>
      </c>
      <c r="CS70">
        <f t="shared" si="48"/>
        <v>0</v>
      </c>
      <c r="CT70">
        <f t="shared" si="49"/>
        <v>0</v>
      </c>
      <c r="CU70">
        <f t="shared" si="50"/>
        <v>0</v>
      </c>
      <c r="CV70">
        <f t="shared" si="51"/>
        <v>0</v>
      </c>
      <c r="CW70">
        <f t="shared" si="52"/>
        <v>0</v>
      </c>
      <c r="CX70">
        <f t="shared" si="53"/>
        <v>0.02</v>
      </c>
      <c r="CY70">
        <f t="shared" si="54"/>
        <v>0</v>
      </c>
      <c r="CZ70">
        <f t="shared" si="55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1003</v>
      </c>
      <c r="DV70" t="s">
        <v>126</v>
      </c>
      <c r="DW70" t="s">
        <v>126</v>
      </c>
      <c r="DX70">
        <v>1</v>
      </c>
      <c r="DZ70" t="s">
        <v>3</v>
      </c>
      <c r="EA70" t="s">
        <v>3</v>
      </c>
      <c r="EB70" t="s">
        <v>3</v>
      </c>
      <c r="EC70" t="s">
        <v>3</v>
      </c>
      <c r="EE70">
        <v>35525962</v>
      </c>
      <c r="EF70">
        <v>3</v>
      </c>
      <c r="EG70" t="s">
        <v>120</v>
      </c>
      <c r="EH70">
        <v>0</v>
      </c>
      <c r="EI70" t="s">
        <v>3</v>
      </c>
      <c r="EJ70">
        <v>2</v>
      </c>
      <c r="EK70">
        <v>108001</v>
      </c>
      <c r="EL70" t="s">
        <v>121</v>
      </c>
      <c r="EM70" t="s">
        <v>122</v>
      </c>
      <c r="EO70" t="s">
        <v>3</v>
      </c>
      <c r="EQ70">
        <v>0</v>
      </c>
      <c r="ER70">
        <v>1.2</v>
      </c>
      <c r="ES70">
        <v>1.2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 t="shared" si="56"/>
        <v>0</v>
      </c>
      <c r="FS70">
        <v>0</v>
      </c>
      <c r="FX70">
        <v>95</v>
      </c>
      <c r="FY70">
        <v>65</v>
      </c>
      <c r="GA70" t="s">
        <v>3</v>
      </c>
      <c r="GD70">
        <v>1</v>
      </c>
      <c r="GF70">
        <v>-1065891271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57"/>
        <v>0</v>
      </c>
      <c r="GM70">
        <f t="shared" si="58"/>
        <v>46.66</v>
      </c>
      <c r="GN70">
        <f t="shared" si="59"/>
        <v>0</v>
      </c>
      <c r="GO70">
        <f t="shared" si="60"/>
        <v>46.66</v>
      </c>
      <c r="GP70">
        <f t="shared" si="61"/>
        <v>0</v>
      </c>
      <c r="GR70">
        <v>0</v>
      </c>
      <c r="GS70">
        <v>3</v>
      </c>
      <c r="GT70">
        <v>0</v>
      </c>
      <c r="GU70" t="s">
        <v>3</v>
      </c>
      <c r="GV70">
        <f t="shared" si="62"/>
        <v>0</v>
      </c>
      <c r="GW70">
        <v>1</v>
      </c>
      <c r="GX70">
        <f t="shared" si="63"/>
        <v>0</v>
      </c>
      <c r="HA70">
        <v>0</v>
      </c>
      <c r="HB70">
        <v>0</v>
      </c>
      <c r="HC70">
        <f t="shared" si="64"/>
        <v>0</v>
      </c>
      <c r="HE70" t="s">
        <v>3</v>
      </c>
      <c r="HF70" t="s">
        <v>3</v>
      </c>
      <c r="IK70">
        <v>0</v>
      </c>
    </row>
    <row r="72" spans="1:245">
      <c r="A72" s="1">
        <v>5</v>
      </c>
      <c r="B72" s="1">
        <v>1</v>
      </c>
      <c r="C72" s="1"/>
      <c r="D72" s="1">
        <f>ROW(A81)</f>
        <v>81</v>
      </c>
      <c r="E72" s="1"/>
      <c r="F72" s="1" t="s">
        <v>128</v>
      </c>
      <c r="G72" s="1" t="s">
        <v>129</v>
      </c>
      <c r="H72" s="1" t="s">
        <v>3</v>
      </c>
      <c r="I72" s="1">
        <v>0</v>
      </c>
      <c r="J72" s="1"/>
      <c r="K72" s="1">
        <v>0</v>
      </c>
      <c r="L72" s="1"/>
      <c r="M72" s="1" t="s">
        <v>3</v>
      </c>
      <c r="N72" s="1"/>
      <c r="O72" s="1"/>
      <c r="P72" s="1"/>
      <c r="Q72" s="1"/>
      <c r="R72" s="1"/>
      <c r="S72" s="1">
        <v>0</v>
      </c>
      <c r="T72" s="1"/>
      <c r="U72" s="1" t="s">
        <v>3</v>
      </c>
      <c r="V72" s="1">
        <v>0</v>
      </c>
      <c r="W72" s="1"/>
      <c r="X72" s="1"/>
      <c r="Y72" s="1"/>
      <c r="Z72" s="1"/>
      <c r="AA72" s="1"/>
      <c r="AB72" s="1" t="s">
        <v>3</v>
      </c>
      <c r="AC72" s="1" t="s">
        <v>3</v>
      </c>
      <c r="AD72" s="1" t="s">
        <v>3</v>
      </c>
      <c r="AE72" s="1" t="s">
        <v>3</v>
      </c>
      <c r="AF72" s="1" t="s">
        <v>3</v>
      </c>
      <c r="AG72" s="1" t="s">
        <v>3</v>
      </c>
      <c r="AH72" s="1"/>
      <c r="AI72" s="1"/>
      <c r="AJ72" s="1"/>
      <c r="AK72" s="1"/>
      <c r="AL72" s="1"/>
      <c r="AM72" s="1"/>
      <c r="AN72" s="1"/>
      <c r="AO72" s="1"/>
      <c r="AP72" s="1" t="s">
        <v>3</v>
      </c>
      <c r="AQ72" s="1" t="s">
        <v>3</v>
      </c>
      <c r="AR72" s="1" t="s">
        <v>3</v>
      </c>
      <c r="AS72" s="1"/>
      <c r="AT72" s="1"/>
      <c r="AU72" s="1"/>
      <c r="AV72" s="1"/>
      <c r="AW72" s="1"/>
      <c r="AX72" s="1"/>
      <c r="AY72" s="1"/>
      <c r="AZ72" s="1" t="s">
        <v>3</v>
      </c>
      <c r="BA72" s="1"/>
      <c r="BB72" s="1" t="s">
        <v>3</v>
      </c>
      <c r="BC72" s="1" t="s">
        <v>3</v>
      </c>
      <c r="BD72" s="1" t="s">
        <v>3</v>
      </c>
      <c r="BE72" s="1" t="s">
        <v>3</v>
      </c>
      <c r="BF72" s="1" t="s">
        <v>3</v>
      </c>
      <c r="BG72" s="1" t="s">
        <v>3</v>
      </c>
      <c r="BH72" s="1" t="s">
        <v>3</v>
      </c>
      <c r="BI72" s="1" t="s">
        <v>3</v>
      </c>
      <c r="BJ72" s="1" t="s">
        <v>3</v>
      </c>
      <c r="BK72" s="1" t="s">
        <v>3</v>
      </c>
      <c r="BL72" s="1" t="s">
        <v>3</v>
      </c>
      <c r="BM72" s="1" t="s">
        <v>3</v>
      </c>
      <c r="BN72" s="1" t="s">
        <v>3</v>
      </c>
      <c r="BO72" s="1" t="s">
        <v>3</v>
      </c>
      <c r="BP72" s="1" t="s">
        <v>3</v>
      </c>
      <c r="BQ72" s="1"/>
      <c r="BR72" s="1"/>
      <c r="BS72" s="1"/>
      <c r="BT72" s="1"/>
      <c r="BU72" s="1"/>
      <c r="BV72" s="1"/>
      <c r="BW72" s="1"/>
      <c r="BX72" s="1">
        <v>0</v>
      </c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>
        <v>0</v>
      </c>
    </row>
    <row r="74" spans="1:245">
      <c r="A74" s="2">
        <v>52</v>
      </c>
      <c r="B74" s="2">
        <f t="shared" ref="B74:G74" si="67">B81</f>
        <v>1</v>
      </c>
      <c r="C74" s="2">
        <f t="shared" si="67"/>
        <v>5</v>
      </c>
      <c r="D74" s="2">
        <f t="shared" si="67"/>
        <v>72</v>
      </c>
      <c r="E74" s="2">
        <f t="shared" si="67"/>
        <v>0</v>
      </c>
      <c r="F74" s="2" t="str">
        <f t="shared" si="67"/>
        <v>Новый подраздел</v>
      </c>
      <c r="G74" s="2" t="str">
        <f t="shared" si="67"/>
        <v>Пол</v>
      </c>
      <c r="H74" s="2"/>
      <c r="I74" s="2"/>
      <c r="J74" s="2"/>
      <c r="K74" s="2"/>
      <c r="L74" s="2"/>
      <c r="M74" s="2"/>
      <c r="N74" s="2"/>
      <c r="O74" s="2">
        <f t="shared" ref="O74:AT74" si="68">O81</f>
        <v>7765.66</v>
      </c>
      <c r="P74" s="2">
        <f t="shared" si="68"/>
        <v>4004.89</v>
      </c>
      <c r="Q74" s="2">
        <f t="shared" si="68"/>
        <v>741.66</v>
      </c>
      <c r="R74" s="2">
        <f t="shared" si="68"/>
        <v>387.54</v>
      </c>
      <c r="S74" s="2">
        <f t="shared" si="68"/>
        <v>3019.11</v>
      </c>
      <c r="T74" s="2">
        <f t="shared" si="68"/>
        <v>0</v>
      </c>
      <c r="U74" s="2">
        <f t="shared" si="68"/>
        <v>9.9257650000000002</v>
      </c>
      <c r="V74" s="2">
        <f t="shared" si="68"/>
        <v>1.1287500000000001</v>
      </c>
      <c r="W74" s="2">
        <f t="shared" si="68"/>
        <v>15.5</v>
      </c>
      <c r="X74" s="2">
        <f t="shared" si="68"/>
        <v>3781.38</v>
      </c>
      <c r="Y74" s="2">
        <f t="shared" si="68"/>
        <v>2180.2600000000002</v>
      </c>
      <c r="Z74" s="2">
        <f t="shared" si="68"/>
        <v>0</v>
      </c>
      <c r="AA74" s="2">
        <f t="shared" si="68"/>
        <v>0</v>
      </c>
      <c r="AB74" s="2">
        <f t="shared" si="68"/>
        <v>7765.66</v>
      </c>
      <c r="AC74" s="2">
        <f t="shared" si="68"/>
        <v>4004.89</v>
      </c>
      <c r="AD74" s="2">
        <f t="shared" si="68"/>
        <v>741.66</v>
      </c>
      <c r="AE74" s="2">
        <f t="shared" si="68"/>
        <v>387.54</v>
      </c>
      <c r="AF74" s="2">
        <f t="shared" si="68"/>
        <v>3019.11</v>
      </c>
      <c r="AG74" s="2">
        <f t="shared" si="68"/>
        <v>0</v>
      </c>
      <c r="AH74" s="2">
        <f t="shared" si="68"/>
        <v>9.9257650000000002</v>
      </c>
      <c r="AI74" s="2">
        <f t="shared" si="68"/>
        <v>1.1287500000000001</v>
      </c>
      <c r="AJ74" s="2">
        <f t="shared" si="68"/>
        <v>15.5</v>
      </c>
      <c r="AK74" s="2">
        <f t="shared" si="68"/>
        <v>3781.38</v>
      </c>
      <c r="AL74" s="2">
        <f t="shared" si="68"/>
        <v>2180.2600000000002</v>
      </c>
      <c r="AM74" s="2">
        <f t="shared" si="68"/>
        <v>0</v>
      </c>
      <c r="AN74" s="2">
        <f t="shared" si="68"/>
        <v>0</v>
      </c>
      <c r="AO74" s="2">
        <f t="shared" si="68"/>
        <v>0</v>
      </c>
      <c r="AP74" s="2">
        <f t="shared" si="68"/>
        <v>0</v>
      </c>
      <c r="AQ74" s="2">
        <f t="shared" si="68"/>
        <v>0</v>
      </c>
      <c r="AR74" s="2">
        <f t="shared" si="68"/>
        <v>13727.3</v>
      </c>
      <c r="AS74" s="2">
        <f t="shared" si="68"/>
        <v>13727.3</v>
      </c>
      <c r="AT74" s="2">
        <f t="shared" si="68"/>
        <v>0</v>
      </c>
      <c r="AU74" s="2">
        <f t="shared" ref="AU74:BZ74" si="69">AU81</f>
        <v>0</v>
      </c>
      <c r="AV74" s="2">
        <f t="shared" si="69"/>
        <v>4004.89</v>
      </c>
      <c r="AW74" s="2">
        <f t="shared" si="69"/>
        <v>4004.89</v>
      </c>
      <c r="AX74" s="2">
        <f t="shared" si="69"/>
        <v>0</v>
      </c>
      <c r="AY74" s="2">
        <f t="shared" si="69"/>
        <v>4004.89</v>
      </c>
      <c r="AZ74" s="2">
        <f t="shared" si="69"/>
        <v>0</v>
      </c>
      <c r="BA74" s="2">
        <f t="shared" si="69"/>
        <v>0</v>
      </c>
      <c r="BB74" s="2">
        <f t="shared" si="69"/>
        <v>0</v>
      </c>
      <c r="BC74" s="2">
        <f t="shared" si="69"/>
        <v>0</v>
      </c>
      <c r="BD74" s="2">
        <f t="shared" si="69"/>
        <v>0</v>
      </c>
      <c r="BE74" s="2">
        <f t="shared" si="69"/>
        <v>0</v>
      </c>
      <c r="BF74" s="2">
        <f t="shared" si="69"/>
        <v>0</v>
      </c>
      <c r="BG74" s="2">
        <f t="shared" si="69"/>
        <v>0</v>
      </c>
      <c r="BH74" s="2">
        <f t="shared" si="69"/>
        <v>0</v>
      </c>
      <c r="BI74" s="2">
        <f t="shared" si="69"/>
        <v>0</v>
      </c>
      <c r="BJ74" s="2">
        <f t="shared" si="69"/>
        <v>0</v>
      </c>
      <c r="BK74" s="2">
        <f t="shared" si="69"/>
        <v>0</v>
      </c>
      <c r="BL74" s="2">
        <f t="shared" si="69"/>
        <v>0</v>
      </c>
      <c r="BM74" s="2">
        <f t="shared" si="69"/>
        <v>0</v>
      </c>
      <c r="BN74" s="2">
        <f t="shared" si="69"/>
        <v>0</v>
      </c>
      <c r="BO74" s="2">
        <f t="shared" si="69"/>
        <v>0</v>
      </c>
      <c r="BP74" s="2">
        <f t="shared" si="69"/>
        <v>0</v>
      </c>
      <c r="BQ74" s="2">
        <f t="shared" si="69"/>
        <v>0</v>
      </c>
      <c r="BR74" s="2">
        <f t="shared" si="69"/>
        <v>0</v>
      </c>
      <c r="BS74" s="2">
        <f t="shared" si="69"/>
        <v>0</v>
      </c>
      <c r="BT74" s="2">
        <f t="shared" si="69"/>
        <v>0</v>
      </c>
      <c r="BU74" s="2">
        <f t="shared" si="69"/>
        <v>0</v>
      </c>
      <c r="BV74" s="2">
        <f t="shared" si="69"/>
        <v>0</v>
      </c>
      <c r="BW74" s="2">
        <f t="shared" si="69"/>
        <v>0</v>
      </c>
      <c r="BX74" s="2">
        <f t="shared" si="69"/>
        <v>0</v>
      </c>
      <c r="BY74" s="2">
        <f t="shared" si="69"/>
        <v>0</v>
      </c>
      <c r="BZ74" s="2">
        <f t="shared" si="69"/>
        <v>0</v>
      </c>
      <c r="CA74" s="2">
        <f t="shared" ref="CA74:DF74" si="70">CA81</f>
        <v>13727.3</v>
      </c>
      <c r="CB74" s="2">
        <f t="shared" si="70"/>
        <v>13727.3</v>
      </c>
      <c r="CC74" s="2">
        <f t="shared" si="70"/>
        <v>0</v>
      </c>
      <c r="CD74" s="2">
        <f t="shared" si="70"/>
        <v>0</v>
      </c>
      <c r="CE74" s="2">
        <f t="shared" si="70"/>
        <v>4004.89</v>
      </c>
      <c r="CF74" s="2">
        <f t="shared" si="70"/>
        <v>4004.89</v>
      </c>
      <c r="CG74" s="2">
        <f t="shared" si="70"/>
        <v>0</v>
      </c>
      <c r="CH74" s="2">
        <f t="shared" si="70"/>
        <v>4004.89</v>
      </c>
      <c r="CI74" s="2">
        <f t="shared" si="70"/>
        <v>0</v>
      </c>
      <c r="CJ74" s="2">
        <f t="shared" si="70"/>
        <v>0</v>
      </c>
      <c r="CK74" s="2">
        <f t="shared" si="70"/>
        <v>0</v>
      </c>
      <c r="CL74" s="2">
        <f t="shared" si="70"/>
        <v>0</v>
      </c>
      <c r="CM74" s="2">
        <f t="shared" si="70"/>
        <v>0</v>
      </c>
      <c r="CN74" s="2">
        <f t="shared" si="70"/>
        <v>0</v>
      </c>
      <c r="CO74" s="2">
        <f t="shared" si="70"/>
        <v>0</v>
      </c>
      <c r="CP74" s="2">
        <f t="shared" si="70"/>
        <v>0</v>
      </c>
      <c r="CQ74" s="2">
        <f t="shared" si="70"/>
        <v>0</v>
      </c>
      <c r="CR74" s="2">
        <f t="shared" si="70"/>
        <v>0</v>
      </c>
      <c r="CS74" s="2">
        <f t="shared" si="70"/>
        <v>0</v>
      </c>
      <c r="CT74" s="2">
        <f t="shared" si="70"/>
        <v>0</v>
      </c>
      <c r="CU74" s="2">
        <f t="shared" si="70"/>
        <v>0</v>
      </c>
      <c r="CV74" s="2">
        <f t="shared" si="70"/>
        <v>0</v>
      </c>
      <c r="CW74" s="2">
        <f t="shared" si="70"/>
        <v>0</v>
      </c>
      <c r="CX74" s="2">
        <f t="shared" si="70"/>
        <v>0</v>
      </c>
      <c r="CY74" s="2">
        <f t="shared" si="70"/>
        <v>0</v>
      </c>
      <c r="CZ74" s="2">
        <f t="shared" si="70"/>
        <v>0</v>
      </c>
      <c r="DA74" s="2">
        <f t="shared" si="70"/>
        <v>0</v>
      </c>
      <c r="DB74" s="2">
        <f t="shared" si="70"/>
        <v>0</v>
      </c>
      <c r="DC74" s="2">
        <f t="shared" si="70"/>
        <v>0</v>
      </c>
      <c r="DD74" s="2">
        <f t="shared" si="70"/>
        <v>0</v>
      </c>
      <c r="DE74" s="2">
        <f t="shared" si="70"/>
        <v>0</v>
      </c>
      <c r="DF74" s="2">
        <f t="shared" si="70"/>
        <v>0</v>
      </c>
      <c r="DG74" s="3">
        <f t="shared" ref="DG74:EL74" si="71">DG81</f>
        <v>0</v>
      </c>
      <c r="DH74" s="3">
        <f t="shared" si="71"/>
        <v>0</v>
      </c>
      <c r="DI74" s="3">
        <f t="shared" si="71"/>
        <v>0</v>
      </c>
      <c r="DJ74" s="3">
        <f t="shared" si="71"/>
        <v>0</v>
      </c>
      <c r="DK74" s="3">
        <f t="shared" si="71"/>
        <v>0</v>
      </c>
      <c r="DL74" s="3">
        <f t="shared" si="71"/>
        <v>0</v>
      </c>
      <c r="DM74" s="3">
        <f t="shared" si="71"/>
        <v>0</v>
      </c>
      <c r="DN74" s="3">
        <f t="shared" si="71"/>
        <v>0</v>
      </c>
      <c r="DO74" s="3">
        <f t="shared" si="71"/>
        <v>0</v>
      </c>
      <c r="DP74" s="3">
        <f t="shared" si="71"/>
        <v>0</v>
      </c>
      <c r="DQ74" s="3">
        <f t="shared" si="71"/>
        <v>0</v>
      </c>
      <c r="DR74" s="3">
        <f t="shared" si="71"/>
        <v>0</v>
      </c>
      <c r="DS74" s="3">
        <f t="shared" si="71"/>
        <v>0</v>
      </c>
      <c r="DT74" s="3">
        <f t="shared" si="71"/>
        <v>0</v>
      </c>
      <c r="DU74" s="3">
        <f t="shared" si="71"/>
        <v>0</v>
      </c>
      <c r="DV74" s="3">
        <f t="shared" si="71"/>
        <v>0</v>
      </c>
      <c r="DW74" s="3">
        <f t="shared" si="71"/>
        <v>0</v>
      </c>
      <c r="DX74" s="3">
        <f t="shared" si="71"/>
        <v>0</v>
      </c>
      <c r="DY74" s="3">
        <f t="shared" si="71"/>
        <v>0</v>
      </c>
      <c r="DZ74" s="3">
        <f t="shared" si="71"/>
        <v>0</v>
      </c>
      <c r="EA74" s="3">
        <f t="shared" si="71"/>
        <v>0</v>
      </c>
      <c r="EB74" s="3">
        <f t="shared" si="71"/>
        <v>0</v>
      </c>
      <c r="EC74" s="3">
        <f t="shared" si="71"/>
        <v>0</v>
      </c>
      <c r="ED74" s="3">
        <f t="shared" si="71"/>
        <v>0</v>
      </c>
      <c r="EE74" s="3">
        <f t="shared" si="71"/>
        <v>0</v>
      </c>
      <c r="EF74" s="3">
        <f t="shared" si="71"/>
        <v>0</v>
      </c>
      <c r="EG74" s="3">
        <f t="shared" si="71"/>
        <v>0</v>
      </c>
      <c r="EH74" s="3">
        <f t="shared" si="71"/>
        <v>0</v>
      </c>
      <c r="EI74" s="3">
        <f t="shared" si="71"/>
        <v>0</v>
      </c>
      <c r="EJ74" s="3">
        <f t="shared" si="71"/>
        <v>0</v>
      </c>
      <c r="EK74" s="3">
        <f t="shared" si="71"/>
        <v>0</v>
      </c>
      <c r="EL74" s="3">
        <f t="shared" si="71"/>
        <v>0</v>
      </c>
      <c r="EM74" s="3">
        <f t="shared" ref="EM74:FR74" si="72">EM81</f>
        <v>0</v>
      </c>
      <c r="EN74" s="3">
        <f t="shared" si="72"/>
        <v>0</v>
      </c>
      <c r="EO74" s="3">
        <f t="shared" si="72"/>
        <v>0</v>
      </c>
      <c r="EP74" s="3">
        <f t="shared" si="72"/>
        <v>0</v>
      </c>
      <c r="EQ74" s="3">
        <f t="shared" si="72"/>
        <v>0</v>
      </c>
      <c r="ER74" s="3">
        <f t="shared" si="72"/>
        <v>0</v>
      </c>
      <c r="ES74" s="3">
        <f t="shared" si="72"/>
        <v>0</v>
      </c>
      <c r="ET74" s="3">
        <f t="shared" si="72"/>
        <v>0</v>
      </c>
      <c r="EU74" s="3">
        <f t="shared" si="72"/>
        <v>0</v>
      </c>
      <c r="EV74" s="3">
        <f t="shared" si="72"/>
        <v>0</v>
      </c>
      <c r="EW74" s="3">
        <f t="shared" si="72"/>
        <v>0</v>
      </c>
      <c r="EX74" s="3">
        <f t="shared" si="72"/>
        <v>0</v>
      </c>
      <c r="EY74" s="3">
        <f t="shared" si="72"/>
        <v>0</v>
      </c>
      <c r="EZ74" s="3">
        <f t="shared" si="72"/>
        <v>0</v>
      </c>
      <c r="FA74" s="3">
        <f t="shared" si="72"/>
        <v>0</v>
      </c>
      <c r="FB74" s="3">
        <f t="shared" si="72"/>
        <v>0</v>
      </c>
      <c r="FC74" s="3">
        <f t="shared" si="72"/>
        <v>0</v>
      </c>
      <c r="FD74" s="3">
        <f t="shared" si="72"/>
        <v>0</v>
      </c>
      <c r="FE74" s="3">
        <f t="shared" si="72"/>
        <v>0</v>
      </c>
      <c r="FF74" s="3">
        <f t="shared" si="72"/>
        <v>0</v>
      </c>
      <c r="FG74" s="3">
        <f t="shared" si="72"/>
        <v>0</v>
      </c>
      <c r="FH74" s="3">
        <f t="shared" si="72"/>
        <v>0</v>
      </c>
      <c r="FI74" s="3">
        <f t="shared" si="72"/>
        <v>0</v>
      </c>
      <c r="FJ74" s="3">
        <f t="shared" si="72"/>
        <v>0</v>
      </c>
      <c r="FK74" s="3">
        <f t="shared" si="72"/>
        <v>0</v>
      </c>
      <c r="FL74" s="3">
        <f t="shared" si="72"/>
        <v>0</v>
      </c>
      <c r="FM74" s="3">
        <f t="shared" si="72"/>
        <v>0</v>
      </c>
      <c r="FN74" s="3">
        <f t="shared" si="72"/>
        <v>0</v>
      </c>
      <c r="FO74" s="3">
        <f t="shared" si="72"/>
        <v>0</v>
      </c>
      <c r="FP74" s="3">
        <f t="shared" si="72"/>
        <v>0</v>
      </c>
      <c r="FQ74" s="3">
        <f t="shared" si="72"/>
        <v>0</v>
      </c>
      <c r="FR74" s="3">
        <f t="shared" si="72"/>
        <v>0</v>
      </c>
      <c r="FS74" s="3">
        <f t="shared" ref="FS74:GX74" si="73">FS81</f>
        <v>0</v>
      </c>
      <c r="FT74" s="3">
        <f t="shared" si="73"/>
        <v>0</v>
      </c>
      <c r="FU74" s="3">
        <f t="shared" si="73"/>
        <v>0</v>
      </c>
      <c r="FV74" s="3">
        <f t="shared" si="73"/>
        <v>0</v>
      </c>
      <c r="FW74" s="3">
        <f t="shared" si="73"/>
        <v>0</v>
      </c>
      <c r="FX74" s="3">
        <f t="shared" si="73"/>
        <v>0</v>
      </c>
      <c r="FY74" s="3">
        <f t="shared" si="73"/>
        <v>0</v>
      </c>
      <c r="FZ74" s="3">
        <f t="shared" si="73"/>
        <v>0</v>
      </c>
      <c r="GA74" s="3">
        <f t="shared" si="73"/>
        <v>0</v>
      </c>
      <c r="GB74" s="3">
        <f t="shared" si="73"/>
        <v>0</v>
      </c>
      <c r="GC74" s="3">
        <f t="shared" si="73"/>
        <v>0</v>
      </c>
      <c r="GD74" s="3">
        <f t="shared" si="73"/>
        <v>0</v>
      </c>
      <c r="GE74" s="3">
        <f t="shared" si="73"/>
        <v>0</v>
      </c>
      <c r="GF74" s="3">
        <f t="shared" si="73"/>
        <v>0</v>
      </c>
      <c r="GG74" s="3">
        <f t="shared" si="73"/>
        <v>0</v>
      </c>
      <c r="GH74" s="3">
        <f t="shared" si="73"/>
        <v>0</v>
      </c>
      <c r="GI74" s="3">
        <f t="shared" si="73"/>
        <v>0</v>
      </c>
      <c r="GJ74" s="3">
        <f t="shared" si="73"/>
        <v>0</v>
      </c>
      <c r="GK74" s="3">
        <f t="shared" si="73"/>
        <v>0</v>
      </c>
      <c r="GL74" s="3">
        <f t="shared" si="73"/>
        <v>0</v>
      </c>
      <c r="GM74" s="3">
        <f t="shared" si="73"/>
        <v>0</v>
      </c>
      <c r="GN74" s="3">
        <f t="shared" si="73"/>
        <v>0</v>
      </c>
      <c r="GO74" s="3">
        <f t="shared" si="73"/>
        <v>0</v>
      </c>
      <c r="GP74" s="3">
        <f t="shared" si="73"/>
        <v>0</v>
      </c>
      <c r="GQ74" s="3">
        <f t="shared" si="73"/>
        <v>0</v>
      </c>
      <c r="GR74" s="3">
        <f t="shared" si="73"/>
        <v>0</v>
      </c>
      <c r="GS74" s="3">
        <f t="shared" si="73"/>
        <v>0</v>
      </c>
      <c r="GT74" s="3">
        <f t="shared" si="73"/>
        <v>0</v>
      </c>
      <c r="GU74" s="3">
        <f t="shared" si="73"/>
        <v>0</v>
      </c>
      <c r="GV74" s="3">
        <f t="shared" si="73"/>
        <v>0</v>
      </c>
      <c r="GW74" s="3">
        <f t="shared" si="73"/>
        <v>0</v>
      </c>
      <c r="GX74" s="3">
        <f t="shared" si="73"/>
        <v>0</v>
      </c>
    </row>
    <row r="76" spans="1:245">
      <c r="A76">
        <v>17</v>
      </c>
      <c r="B76">
        <v>1</v>
      </c>
      <c r="C76">
        <f>ROW(SmtRes!A61)</f>
        <v>61</v>
      </c>
      <c r="D76">
        <f>ROW(EtalonRes!A59)</f>
        <v>59</v>
      </c>
      <c r="E76" t="s">
        <v>69</v>
      </c>
      <c r="F76" t="s">
        <v>130</v>
      </c>
      <c r="G76" t="s">
        <v>131</v>
      </c>
      <c r="H76" t="s">
        <v>132</v>
      </c>
      <c r="I76">
        <f>ROUND(5/100,9)</f>
        <v>0.05</v>
      </c>
      <c r="J76">
        <v>0</v>
      </c>
      <c r="O76">
        <f>ROUND(CP76,2)</f>
        <v>3498.86</v>
      </c>
      <c r="P76">
        <f>ROUND(CQ76*I76,2)</f>
        <v>1438.66</v>
      </c>
      <c r="Q76">
        <f>ROUND(CR76*I76,2)</f>
        <v>607.33000000000004</v>
      </c>
      <c r="R76">
        <f>ROUND(CS76*I76,2)</f>
        <v>292.92</v>
      </c>
      <c r="S76">
        <f>ROUND(CT76*I76,2)</f>
        <v>1452.87</v>
      </c>
      <c r="T76">
        <f>ROUND(CU76*I76,2)</f>
        <v>0</v>
      </c>
      <c r="U76">
        <f>CV76*I76</f>
        <v>4.5890750000000002</v>
      </c>
      <c r="V76">
        <f>CW76*I76</f>
        <v>0.8650000000000001</v>
      </c>
      <c r="W76">
        <f>ROUND(CX76*I76,2)</f>
        <v>0</v>
      </c>
      <c r="X76">
        <f t="shared" ref="X76:Y79" si="74">ROUND(CY76,2)</f>
        <v>1937.83</v>
      </c>
      <c r="Y76">
        <f t="shared" si="74"/>
        <v>1117.31</v>
      </c>
      <c r="AA76">
        <v>33806715</v>
      </c>
      <c r="AB76">
        <f>ROUND((AC76+AD76+AF76),6)</f>
        <v>4758.2129999999997</v>
      </c>
      <c r="AC76">
        <f>ROUND((ES76),6)</f>
        <v>2818.14</v>
      </c>
      <c r="AD76">
        <f>ROUND(((((ET76*1.25))-((EU76*1.25)))+AE76),6)</f>
        <v>1057.1375</v>
      </c>
      <c r="AE76">
        <f>ROUND(((EU76*1.25)),6)</f>
        <v>178.01249999999999</v>
      </c>
      <c r="AF76">
        <f>ROUND(((EV76*1.15)),6)</f>
        <v>882.93550000000005</v>
      </c>
      <c r="AG76">
        <f>ROUND((AP76),6)</f>
        <v>0</v>
      </c>
      <c r="AH76">
        <f>((EW76*1.15))</f>
        <v>91.781499999999994</v>
      </c>
      <c r="AI76">
        <f>((EX76*1.25))</f>
        <v>17.3</v>
      </c>
      <c r="AJ76">
        <f>(AS76)</f>
        <v>0</v>
      </c>
      <c r="AK76">
        <v>4431.62</v>
      </c>
      <c r="AL76">
        <v>2818.14</v>
      </c>
      <c r="AM76">
        <v>845.71</v>
      </c>
      <c r="AN76">
        <v>142.41</v>
      </c>
      <c r="AO76">
        <v>767.77</v>
      </c>
      <c r="AP76">
        <v>0</v>
      </c>
      <c r="AQ76">
        <v>79.81</v>
      </c>
      <c r="AR76">
        <v>13.84</v>
      </c>
      <c r="AS76">
        <v>0</v>
      </c>
      <c r="AT76">
        <v>111</v>
      </c>
      <c r="AU76">
        <v>64</v>
      </c>
      <c r="AV76">
        <v>1</v>
      </c>
      <c r="AW76">
        <v>1</v>
      </c>
      <c r="AZ76">
        <v>1</v>
      </c>
      <c r="BA76">
        <v>32.909999999999997</v>
      </c>
      <c r="BB76">
        <v>11.49</v>
      </c>
      <c r="BC76">
        <v>10.210000000000001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1</v>
      </c>
      <c r="BJ76" t="s">
        <v>133</v>
      </c>
      <c r="BM76">
        <v>11001</v>
      </c>
      <c r="BN76">
        <v>0</v>
      </c>
      <c r="BO76" t="s">
        <v>130</v>
      </c>
      <c r="BP76">
        <v>1</v>
      </c>
      <c r="BQ76">
        <v>2</v>
      </c>
      <c r="BR76">
        <v>0</v>
      </c>
      <c r="BS76">
        <v>32.909999999999997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123</v>
      </c>
      <c r="CA76">
        <v>75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>(P76+Q76+S76)</f>
        <v>3498.86</v>
      </c>
      <c r="CQ76">
        <f>AC76*BC76</f>
        <v>28773.2094</v>
      </c>
      <c r="CR76">
        <f>AD76*BB76</f>
        <v>12146.509875000002</v>
      </c>
      <c r="CS76">
        <f>AE76*BS76</f>
        <v>5858.3913749999992</v>
      </c>
      <c r="CT76">
        <f>AF76*BA76</f>
        <v>29057.407304999997</v>
      </c>
      <c r="CU76">
        <f t="shared" ref="CU76:CX79" si="75">AG76</f>
        <v>0</v>
      </c>
      <c r="CV76">
        <f t="shared" si="75"/>
        <v>91.781499999999994</v>
      </c>
      <c r="CW76">
        <f t="shared" si="75"/>
        <v>17.3</v>
      </c>
      <c r="CX76">
        <f t="shared" si="75"/>
        <v>0</v>
      </c>
      <c r="CY76">
        <f>(((S76+R76)*AT76)/100)</f>
        <v>1937.8269</v>
      </c>
      <c r="CZ76">
        <f>(((S76+R76)*AU76)/100)</f>
        <v>1117.3055999999999</v>
      </c>
      <c r="DC76" t="s">
        <v>3</v>
      </c>
      <c r="DD76" t="s">
        <v>3</v>
      </c>
      <c r="DE76" t="s">
        <v>74</v>
      </c>
      <c r="DF76" t="s">
        <v>74</v>
      </c>
      <c r="DG76" t="s">
        <v>75</v>
      </c>
      <c r="DH76" t="s">
        <v>3</v>
      </c>
      <c r="DI76" t="s">
        <v>75</v>
      </c>
      <c r="DJ76" t="s">
        <v>74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1013</v>
      </c>
      <c r="DV76" t="s">
        <v>132</v>
      </c>
      <c r="DW76" t="s">
        <v>132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35526080</v>
      </c>
      <c r="EF76">
        <v>2</v>
      </c>
      <c r="EG76" t="s">
        <v>76</v>
      </c>
      <c r="EH76">
        <v>0</v>
      </c>
      <c r="EI76" t="s">
        <v>3</v>
      </c>
      <c r="EJ76">
        <v>1</v>
      </c>
      <c r="EK76">
        <v>11001</v>
      </c>
      <c r="EL76" t="s">
        <v>134</v>
      </c>
      <c r="EM76" t="s">
        <v>135</v>
      </c>
      <c r="EO76" t="s">
        <v>3</v>
      </c>
      <c r="EQ76">
        <v>0</v>
      </c>
      <c r="ER76">
        <v>4431.62</v>
      </c>
      <c r="ES76">
        <v>2818.14</v>
      </c>
      <c r="ET76">
        <v>845.71</v>
      </c>
      <c r="EU76">
        <v>142.41</v>
      </c>
      <c r="EV76">
        <v>767.77</v>
      </c>
      <c r="EW76">
        <v>79.81</v>
      </c>
      <c r="EX76">
        <v>13.84</v>
      </c>
      <c r="EY76">
        <v>0</v>
      </c>
      <c r="FQ76">
        <v>0</v>
      </c>
      <c r="FR76">
        <f>ROUND(IF(AND(BH76=3,BI76=3),P76,0),2)</f>
        <v>0</v>
      </c>
      <c r="FS76">
        <v>0</v>
      </c>
      <c r="FT76" t="s">
        <v>79</v>
      </c>
      <c r="FU76" t="s">
        <v>80</v>
      </c>
      <c r="FX76">
        <v>110.7</v>
      </c>
      <c r="FY76">
        <v>63.75</v>
      </c>
      <c r="GA76" t="s">
        <v>3</v>
      </c>
      <c r="GD76">
        <v>1</v>
      </c>
      <c r="GF76">
        <v>2119765829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>ROUND(IF(AND(BH76=3,BI76=3,FS76&lt;&gt;0),P76,0),2)</f>
        <v>0</v>
      </c>
      <c r="GM76">
        <f>ROUND(O76+X76+Y76,2)+GX76</f>
        <v>6554</v>
      </c>
      <c r="GN76">
        <f>IF(OR(BI76=0,BI76=1),ROUND(O76+X76+Y76,2),0)</f>
        <v>6554</v>
      </c>
      <c r="GO76">
        <f>IF(BI76=2,ROUND(O76+X76+Y76,2),0)</f>
        <v>0</v>
      </c>
      <c r="GP76">
        <f>IF(BI76=4,ROUND(O76+X76+Y76,2)+GX76,0)</f>
        <v>0</v>
      </c>
      <c r="GR76">
        <v>0</v>
      </c>
      <c r="GS76">
        <v>0</v>
      </c>
      <c r="GT76">
        <v>0</v>
      </c>
      <c r="GU76" t="s">
        <v>3</v>
      </c>
      <c r="GV76">
        <f>ROUND((GT76),6)</f>
        <v>0</v>
      </c>
      <c r="GW76">
        <v>1</v>
      </c>
      <c r="GX76">
        <f>ROUND(HC76*I76,2)</f>
        <v>0</v>
      </c>
      <c r="HA76">
        <v>0</v>
      </c>
      <c r="HB76">
        <v>0</v>
      </c>
      <c r="HC76">
        <f>GV76*GW76</f>
        <v>0</v>
      </c>
      <c r="HE76" t="s">
        <v>3</v>
      </c>
      <c r="HF76" t="s">
        <v>3</v>
      </c>
      <c r="IK76">
        <v>0</v>
      </c>
    </row>
    <row r="77" spans="1:245">
      <c r="A77">
        <v>17</v>
      </c>
      <c r="B77">
        <v>1</v>
      </c>
      <c r="C77">
        <f>ROW(SmtRes!A74)</f>
        <v>74</v>
      </c>
      <c r="D77">
        <f>ROW(EtalonRes!A71)</f>
        <v>71</v>
      </c>
      <c r="E77" t="s">
        <v>86</v>
      </c>
      <c r="F77" t="s">
        <v>136</v>
      </c>
      <c r="G77" t="s">
        <v>137</v>
      </c>
      <c r="H77" t="s">
        <v>138</v>
      </c>
      <c r="I77">
        <f>ROUND(5/100,9)</f>
        <v>0.05</v>
      </c>
      <c r="J77">
        <v>0</v>
      </c>
      <c r="O77">
        <f>ROUND(CP77,2)</f>
        <v>1398.61</v>
      </c>
      <c r="P77">
        <f>ROUND(CQ77*I77,2)</f>
        <v>0</v>
      </c>
      <c r="Q77">
        <f>ROUND(CR77*I77,2)</f>
        <v>131.22999999999999</v>
      </c>
      <c r="R77">
        <f>ROUND(CS77*I77,2)</f>
        <v>94.62</v>
      </c>
      <c r="S77">
        <f>ROUND(CT77*I77,2)</f>
        <v>1267.3800000000001</v>
      </c>
      <c r="T77">
        <f>ROUND(CU77*I77,2)</f>
        <v>0</v>
      </c>
      <c r="U77">
        <f>CV77*I77</f>
        <v>4.4062249999999992</v>
      </c>
      <c r="V77">
        <f>CW77*I77</f>
        <v>0.26374999999999998</v>
      </c>
      <c r="W77">
        <f>ROUND(CX77*I77,2)</f>
        <v>0</v>
      </c>
      <c r="X77">
        <f t="shared" si="74"/>
        <v>1511.82</v>
      </c>
      <c r="Y77">
        <f t="shared" si="74"/>
        <v>871.68</v>
      </c>
      <c r="AA77">
        <v>33806715</v>
      </c>
      <c r="AB77">
        <f>ROUND((AC77+AD77+AF77),6)</f>
        <v>955.17499999999995</v>
      </c>
      <c r="AC77">
        <f>ROUND(0,6)</f>
        <v>0</v>
      </c>
      <c r="AD77">
        <f>ROUND(((((ET77*1.25))-((EU77*1.25)))+AE77),6)</f>
        <v>184.96250000000001</v>
      </c>
      <c r="AE77">
        <f>ROUND(((EU77*1.25)),6)</f>
        <v>57.5</v>
      </c>
      <c r="AF77">
        <f>ROUND(((EV77*1.15)),6)</f>
        <v>770.21249999999998</v>
      </c>
      <c r="AG77">
        <f>ROUND((AP77),6)</f>
        <v>0</v>
      </c>
      <c r="AH77">
        <f>((EW77*1.15))</f>
        <v>88.124499999999983</v>
      </c>
      <c r="AI77">
        <f>((EX77*1.25))</f>
        <v>5.2749999999999995</v>
      </c>
      <c r="AJ77">
        <f>(AS77)</f>
        <v>0</v>
      </c>
      <c r="AK77">
        <v>9873.01</v>
      </c>
      <c r="AL77">
        <v>9055.2900000000009</v>
      </c>
      <c r="AM77">
        <v>147.97</v>
      </c>
      <c r="AN77">
        <v>46</v>
      </c>
      <c r="AO77">
        <v>669.75</v>
      </c>
      <c r="AP77">
        <v>0</v>
      </c>
      <c r="AQ77">
        <v>76.63</v>
      </c>
      <c r="AR77">
        <v>4.22</v>
      </c>
      <c r="AS77">
        <v>0</v>
      </c>
      <c r="AT77">
        <v>111</v>
      </c>
      <c r="AU77">
        <v>64</v>
      </c>
      <c r="AV77">
        <v>1</v>
      </c>
      <c r="AW77">
        <v>1</v>
      </c>
      <c r="AZ77">
        <v>1</v>
      </c>
      <c r="BA77">
        <v>32.909999999999997</v>
      </c>
      <c r="BB77">
        <v>14.19</v>
      </c>
      <c r="BC77">
        <v>4.6100000000000003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139</v>
      </c>
      <c r="BM77">
        <v>11001</v>
      </c>
      <c r="BN77">
        <v>0</v>
      </c>
      <c r="BO77" t="s">
        <v>136</v>
      </c>
      <c r="BP77">
        <v>1</v>
      </c>
      <c r="BQ77">
        <v>2</v>
      </c>
      <c r="BR77">
        <v>0</v>
      </c>
      <c r="BS77">
        <v>32.909999999999997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123</v>
      </c>
      <c r="CA77">
        <v>75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>(P77+Q77+S77)</f>
        <v>1398.6100000000001</v>
      </c>
      <c r="CQ77">
        <f>AC77*BC77</f>
        <v>0</v>
      </c>
      <c r="CR77">
        <f>AD77*BB77</f>
        <v>2624.6178749999999</v>
      </c>
      <c r="CS77">
        <f>AE77*BS77</f>
        <v>1892.3249999999998</v>
      </c>
      <c r="CT77">
        <f>AF77*BA77</f>
        <v>25347.693374999995</v>
      </c>
      <c r="CU77">
        <f t="shared" si="75"/>
        <v>0</v>
      </c>
      <c r="CV77">
        <f t="shared" si="75"/>
        <v>88.124499999999983</v>
      </c>
      <c r="CW77">
        <f t="shared" si="75"/>
        <v>5.2749999999999995</v>
      </c>
      <c r="CX77">
        <f t="shared" si="75"/>
        <v>0</v>
      </c>
      <c r="CY77">
        <f>(((S77+R77)*AT77)/100)</f>
        <v>1511.82</v>
      </c>
      <c r="CZ77">
        <f>(((S77+R77)*AU77)/100)</f>
        <v>871.68</v>
      </c>
      <c r="DC77" t="s">
        <v>3</v>
      </c>
      <c r="DD77" t="s">
        <v>140</v>
      </c>
      <c r="DE77" t="s">
        <v>74</v>
      </c>
      <c r="DF77" t="s">
        <v>74</v>
      </c>
      <c r="DG77" t="s">
        <v>75</v>
      </c>
      <c r="DH77" t="s">
        <v>3</v>
      </c>
      <c r="DI77" t="s">
        <v>75</v>
      </c>
      <c r="DJ77" t="s">
        <v>74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1005</v>
      </c>
      <c r="DV77" t="s">
        <v>138</v>
      </c>
      <c r="DW77" t="s">
        <v>138</v>
      </c>
      <c r="DX77">
        <v>100</v>
      </c>
      <c r="DZ77" t="s">
        <v>3</v>
      </c>
      <c r="EA77" t="s">
        <v>3</v>
      </c>
      <c r="EB77" t="s">
        <v>3</v>
      </c>
      <c r="EC77" t="s">
        <v>3</v>
      </c>
      <c r="EE77">
        <v>35526080</v>
      </c>
      <c r="EF77">
        <v>2</v>
      </c>
      <c r="EG77" t="s">
        <v>76</v>
      </c>
      <c r="EH77">
        <v>0</v>
      </c>
      <c r="EI77" t="s">
        <v>3</v>
      </c>
      <c r="EJ77">
        <v>1</v>
      </c>
      <c r="EK77">
        <v>11001</v>
      </c>
      <c r="EL77" t="s">
        <v>134</v>
      </c>
      <c r="EM77" t="s">
        <v>135</v>
      </c>
      <c r="EO77" t="s">
        <v>3</v>
      </c>
      <c r="EQ77">
        <v>0</v>
      </c>
      <c r="ER77">
        <v>9873.01</v>
      </c>
      <c r="ES77">
        <v>9055.2900000000009</v>
      </c>
      <c r="ET77">
        <v>147.97</v>
      </c>
      <c r="EU77">
        <v>46</v>
      </c>
      <c r="EV77">
        <v>669.75</v>
      </c>
      <c r="EW77">
        <v>76.63</v>
      </c>
      <c r="EX77">
        <v>4.22</v>
      </c>
      <c r="EY77">
        <v>0</v>
      </c>
      <c r="FQ77">
        <v>0</v>
      </c>
      <c r="FR77">
        <f>ROUND(IF(AND(BH77=3,BI77=3),P77,0),2)</f>
        <v>0</v>
      </c>
      <c r="FS77">
        <v>0</v>
      </c>
      <c r="FT77" t="s">
        <v>79</v>
      </c>
      <c r="FU77" t="s">
        <v>80</v>
      </c>
      <c r="FX77">
        <v>110.7</v>
      </c>
      <c r="FY77">
        <v>63.75</v>
      </c>
      <c r="GA77" t="s">
        <v>3</v>
      </c>
      <c r="GD77">
        <v>1</v>
      </c>
      <c r="GF77">
        <v>1032030498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>ROUND(IF(AND(BH77=3,BI77=3,FS77&lt;&gt;0),P77,0),2)</f>
        <v>0</v>
      </c>
      <c r="GM77">
        <f>ROUND(O77+X77+Y77,2)+GX77</f>
        <v>3782.11</v>
      </c>
      <c r="GN77">
        <f>IF(OR(BI77=0,BI77=1),ROUND(O77+X77+Y77,2),0)</f>
        <v>3782.11</v>
      </c>
      <c r="GO77">
        <f>IF(BI77=2,ROUND(O77+X77+Y77,2),0)</f>
        <v>0</v>
      </c>
      <c r="GP77">
        <f>IF(BI77=4,ROUND(O77+X77+Y77,2)+GX77,0)</f>
        <v>0</v>
      </c>
      <c r="GR77">
        <v>0</v>
      </c>
      <c r="GS77">
        <v>0</v>
      </c>
      <c r="GT77">
        <v>0</v>
      </c>
      <c r="GU77" t="s">
        <v>3</v>
      </c>
      <c r="GV77">
        <f>ROUND((GT77),6)</f>
        <v>0</v>
      </c>
      <c r="GW77">
        <v>1</v>
      </c>
      <c r="GX77">
        <f>ROUND(HC77*I77,2)</f>
        <v>0</v>
      </c>
      <c r="HA77">
        <v>0</v>
      </c>
      <c r="HB77">
        <v>0</v>
      </c>
      <c r="HC77">
        <f>GV77*GW77</f>
        <v>0</v>
      </c>
      <c r="HE77" t="s">
        <v>3</v>
      </c>
      <c r="HF77" t="s">
        <v>3</v>
      </c>
      <c r="IK77">
        <v>0</v>
      </c>
    </row>
    <row r="78" spans="1:245">
      <c r="A78">
        <v>18</v>
      </c>
      <c r="B78">
        <v>1</v>
      </c>
      <c r="C78">
        <v>69</v>
      </c>
      <c r="E78" t="s">
        <v>94</v>
      </c>
      <c r="F78" t="s">
        <v>141</v>
      </c>
      <c r="G78" t="s">
        <v>142</v>
      </c>
      <c r="H78" t="s">
        <v>143</v>
      </c>
      <c r="I78">
        <f>I77*J78</f>
        <v>5</v>
      </c>
      <c r="J78">
        <v>100</v>
      </c>
      <c r="O78">
        <f>ROUND(CP78,2)</f>
        <v>2566.23</v>
      </c>
      <c r="P78">
        <f>ROUND(CQ78*I78,2)</f>
        <v>2566.23</v>
      </c>
      <c r="Q78">
        <f>ROUND(CR78*I78,2)</f>
        <v>0</v>
      </c>
      <c r="R78">
        <f>ROUND(CS78*I78,2)</f>
        <v>0</v>
      </c>
      <c r="S78">
        <f>ROUND(CT78*I78,2)</f>
        <v>0</v>
      </c>
      <c r="T78">
        <f>ROUND(CU78*I78,2)</f>
        <v>0</v>
      </c>
      <c r="U78">
        <f>CV78*I78</f>
        <v>0</v>
      </c>
      <c r="V78">
        <f>CW78*I78</f>
        <v>0</v>
      </c>
      <c r="W78">
        <f>ROUND(CX78*I78,2)</f>
        <v>15.5</v>
      </c>
      <c r="X78">
        <f t="shared" si="74"/>
        <v>0</v>
      </c>
      <c r="Y78">
        <f t="shared" si="74"/>
        <v>0</v>
      </c>
      <c r="AA78">
        <v>33806715</v>
      </c>
      <c r="AB78">
        <f>ROUND((AC78+AD78+AF78),6)</f>
        <v>67.8</v>
      </c>
      <c r="AC78">
        <f>ROUND((ES78),6)</f>
        <v>67.8</v>
      </c>
      <c r="AD78">
        <f>ROUND((((ET78)-(EU78))+AE78),6)</f>
        <v>0</v>
      </c>
      <c r="AE78">
        <f>ROUND((EU78),6)</f>
        <v>0</v>
      </c>
      <c r="AF78">
        <f>ROUND((EV78),6)</f>
        <v>0</v>
      </c>
      <c r="AG78">
        <f>ROUND((AP78),6)</f>
        <v>0</v>
      </c>
      <c r="AH78">
        <f>(EW78)</f>
        <v>0</v>
      </c>
      <c r="AI78">
        <f>(EX78)</f>
        <v>0</v>
      </c>
      <c r="AJ78">
        <f>(AS78)</f>
        <v>3.1</v>
      </c>
      <c r="AK78">
        <v>67.8</v>
      </c>
      <c r="AL78">
        <v>67.8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3.1</v>
      </c>
      <c r="AT78">
        <v>111</v>
      </c>
      <c r="AU78">
        <v>64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7.57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1</v>
      </c>
      <c r="BJ78" t="s">
        <v>144</v>
      </c>
      <c r="BM78">
        <v>11001</v>
      </c>
      <c r="BN78">
        <v>0</v>
      </c>
      <c r="BO78" t="s">
        <v>141</v>
      </c>
      <c r="BP78">
        <v>1</v>
      </c>
      <c r="BQ78">
        <v>2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123</v>
      </c>
      <c r="CA78">
        <v>75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>(P78+Q78+S78)</f>
        <v>2566.23</v>
      </c>
      <c r="CQ78">
        <f>AC78*BC78</f>
        <v>513.24599999999998</v>
      </c>
      <c r="CR78">
        <f>AD78*BB78</f>
        <v>0</v>
      </c>
      <c r="CS78">
        <f>AE78*BS78</f>
        <v>0</v>
      </c>
      <c r="CT78">
        <f>AF78*BA78</f>
        <v>0</v>
      </c>
      <c r="CU78">
        <f t="shared" si="75"/>
        <v>0</v>
      </c>
      <c r="CV78">
        <f t="shared" si="75"/>
        <v>0</v>
      </c>
      <c r="CW78">
        <f t="shared" si="75"/>
        <v>0</v>
      </c>
      <c r="CX78">
        <f t="shared" si="75"/>
        <v>3.1</v>
      </c>
      <c r="CY78">
        <f>(((S78+R78)*AT78)/100)</f>
        <v>0</v>
      </c>
      <c r="CZ78">
        <f>(((S78+R78)*AU78)/100)</f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143</v>
      </c>
      <c r="DW78" t="s">
        <v>143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35526080</v>
      </c>
      <c r="EF78">
        <v>2</v>
      </c>
      <c r="EG78" t="s">
        <v>76</v>
      </c>
      <c r="EH78">
        <v>0</v>
      </c>
      <c r="EI78" t="s">
        <v>3</v>
      </c>
      <c r="EJ78">
        <v>1</v>
      </c>
      <c r="EK78">
        <v>11001</v>
      </c>
      <c r="EL78" t="s">
        <v>134</v>
      </c>
      <c r="EM78" t="s">
        <v>135</v>
      </c>
      <c r="EO78" t="s">
        <v>3</v>
      </c>
      <c r="EQ78">
        <v>0</v>
      </c>
      <c r="ER78">
        <v>67.8</v>
      </c>
      <c r="ES78">
        <v>67.8</v>
      </c>
      <c r="ET78">
        <v>0</v>
      </c>
      <c r="EU78">
        <v>0</v>
      </c>
      <c r="EV78">
        <v>0</v>
      </c>
      <c r="EW78">
        <v>0</v>
      </c>
      <c r="EX78">
        <v>0</v>
      </c>
      <c r="FQ78">
        <v>0</v>
      </c>
      <c r="FR78">
        <f>ROUND(IF(AND(BH78=3,BI78=3),P78,0),2)</f>
        <v>0</v>
      </c>
      <c r="FS78">
        <v>0</v>
      </c>
      <c r="FT78" t="s">
        <v>79</v>
      </c>
      <c r="FU78" t="s">
        <v>80</v>
      </c>
      <c r="FX78">
        <v>110.7</v>
      </c>
      <c r="FY78">
        <v>63.75</v>
      </c>
      <c r="GA78" t="s">
        <v>3</v>
      </c>
      <c r="GD78">
        <v>1</v>
      </c>
      <c r="GF78">
        <v>-236491345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>ROUND(IF(AND(BH78=3,BI78=3,FS78&lt;&gt;0),P78,0),2)</f>
        <v>0</v>
      </c>
      <c r="GM78">
        <f>ROUND(O78+X78+Y78,2)+GX78</f>
        <v>2566.23</v>
      </c>
      <c r="GN78">
        <f>IF(OR(BI78=0,BI78=1),ROUND(O78+X78+Y78,2),0)</f>
        <v>2566.23</v>
      </c>
      <c r="GO78">
        <f>IF(BI78=2,ROUND(O78+X78+Y78,2),0)</f>
        <v>0</v>
      </c>
      <c r="GP78">
        <f>IF(BI78=4,ROUND(O78+X78+Y78,2)+GX78,0)</f>
        <v>0</v>
      </c>
      <c r="GR78">
        <v>0</v>
      </c>
      <c r="GS78">
        <v>0</v>
      </c>
      <c r="GT78">
        <v>0</v>
      </c>
      <c r="GU78" t="s">
        <v>3</v>
      </c>
      <c r="GV78">
        <f>ROUND((GT78),6)</f>
        <v>0</v>
      </c>
      <c r="GW78">
        <v>1</v>
      </c>
      <c r="GX78">
        <f>ROUND(HC78*I78,2)</f>
        <v>0</v>
      </c>
      <c r="HA78">
        <v>0</v>
      </c>
      <c r="HB78">
        <v>0</v>
      </c>
      <c r="HC78">
        <f>GV78*GW78</f>
        <v>0</v>
      </c>
      <c r="HE78" t="s">
        <v>3</v>
      </c>
      <c r="HF78" t="s">
        <v>3</v>
      </c>
      <c r="IK78">
        <v>0</v>
      </c>
    </row>
    <row r="79" spans="1:245">
      <c r="A79">
        <v>17</v>
      </c>
      <c r="B79">
        <v>1</v>
      </c>
      <c r="C79">
        <f>ROW(SmtRes!A78)</f>
        <v>78</v>
      </c>
      <c r="D79">
        <f>ROW(EtalonRes!A75)</f>
        <v>75</v>
      </c>
      <c r="E79" t="s">
        <v>145</v>
      </c>
      <c r="F79" t="s">
        <v>146</v>
      </c>
      <c r="G79" t="s">
        <v>147</v>
      </c>
      <c r="H79" t="s">
        <v>148</v>
      </c>
      <c r="I79">
        <f>ROUND(9/100,9)</f>
        <v>0.09</v>
      </c>
      <c r="J79">
        <v>0</v>
      </c>
      <c r="O79">
        <f>ROUND(CP79,2)</f>
        <v>301.95999999999998</v>
      </c>
      <c r="P79">
        <f>ROUND(CQ79*I79,2)</f>
        <v>0</v>
      </c>
      <c r="Q79">
        <f>ROUND(CR79*I79,2)</f>
        <v>3.1</v>
      </c>
      <c r="R79">
        <f>ROUND(CS79*I79,2)</f>
        <v>0</v>
      </c>
      <c r="S79">
        <f>ROUND(CT79*I79,2)</f>
        <v>298.86</v>
      </c>
      <c r="T79">
        <f>ROUND(CU79*I79,2)</f>
        <v>0</v>
      </c>
      <c r="U79">
        <f>CV79*I79</f>
        <v>0.93046499999999999</v>
      </c>
      <c r="V79">
        <f>CW79*I79</f>
        <v>0</v>
      </c>
      <c r="W79">
        <f>ROUND(CX79*I79,2)</f>
        <v>0</v>
      </c>
      <c r="X79">
        <f t="shared" si="74"/>
        <v>331.73</v>
      </c>
      <c r="Y79">
        <f t="shared" si="74"/>
        <v>191.27</v>
      </c>
      <c r="AA79">
        <v>33806715</v>
      </c>
      <c r="AB79">
        <f>ROUND((AC79+AD79+AF79),6)</f>
        <v>104.176</v>
      </c>
      <c r="AC79">
        <f>ROUND(0,6)</f>
        <v>0</v>
      </c>
      <c r="AD79">
        <f>ROUND(((((ET79*1.25))-((EU79*1.25)))+AE79),6)</f>
        <v>3.2749999999999999</v>
      </c>
      <c r="AE79">
        <f>ROUND(((EU79*1.25)),6)</f>
        <v>0</v>
      </c>
      <c r="AF79">
        <f>ROUND(((EV79*1.15)),6)</f>
        <v>100.901</v>
      </c>
      <c r="AG79">
        <f>ROUND((AP79),6)</f>
        <v>0</v>
      </c>
      <c r="AH79">
        <f>((EW79*1.15))</f>
        <v>10.3385</v>
      </c>
      <c r="AI79">
        <f>((EX79*1.25))</f>
        <v>0</v>
      </c>
      <c r="AJ79">
        <f>(AS79)</f>
        <v>0</v>
      </c>
      <c r="AK79">
        <v>90.36</v>
      </c>
      <c r="AL79">
        <v>0</v>
      </c>
      <c r="AM79">
        <v>2.62</v>
      </c>
      <c r="AN79">
        <v>0</v>
      </c>
      <c r="AO79">
        <v>87.74</v>
      </c>
      <c r="AP79">
        <v>0</v>
      </c>
      <c r="AQ79">
        <v>8.99</v>
      </c>
      <c r="AR79">
        <v>0</v>
      </c>
      <c r="AS79">
        <v>0</v>
      </c>
      <c r="AT79">
        <v>111</v>
      </c>
      <c r="AU79">
        <v>64</v>
      </c>
      <c r="AV79">
        <v>1</v>
      </c>
      <c r="AW79">
        <v>1</v>
      </c>
      <c r="AZ79">
        <v>1</v>
      </c>
      <c r="BA79">
        <v>32.909999999999997</v>
      </c>
      <c r="BB79">
        <v>10.52</v>
      </c>
      <c r="BC79">
        <v>2.86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149</v>
      </c>
      <c r="BM79">
        <v>11001</v>
      </c>
      <c r="BN79">
        <v>0</v>
      </c>
      <c r="BO79" t="s">
        <v>146</v>
      </c>
      <c r="BP79">
        <v>1</v>
      </c>
      <c r="BQ79">
        <v>2</v>
      </c>
      <c r="BR79">
        <v>0</v>
      </c>
      <c r="BS79">
        <v>32.909999999999997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123</v>
      </c>
      <c r="CA79">
        <v>75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>(P79+Q79+S79)</f>
        <v>301.96000000000004</v>
      </c>
      <c r="CQ79">
        <f>AC79*BC79</f>
        <v>0</v>
      </c>
      <c r="CR79">
        <f>AD79*BB79</f>
        <v>34.452999999999996</v>
      </c>
      <c r="CS79">
        <f>AE79*BS79</f>
        <v>0</v>
      </c>
      <c r="CT79">
        <f>AF79*BA79</f>
        <v>3320.6519099999996</v>
      </c>
      <c r="CU79">
        <f t="shared" si="75"/>
        <v>0</v>
      </c>
      <c r="CV79">
        <f t="shared" si="75"/>
        <v>10.3385</v>
      </c>
      <c r="CW79">
        <f t="shared" si="75"/>
        <v>0</v>
      </c>
      <c r="CX79">
        <f t="shared" si="75"/>
        <v>0</v>
      </c>
      <c r="CY79">
        <f>(((S79+R79)*AT79)/100)</f>
        <v>331.7346</v>
      </c>
      <c r="CZ79">
        <f>(((S79+R79)*AU79)/100)</f>
        <v>191.2704</v>
      </c>
      <c r="DC79" t="s">
        <v>3</v>
      </c>
      <c r="DD79" t="s">
        <v>140</v>
      </c>
      <c r="DE79" t="s">
        <v>74</v>
      </c>
      <c r="DF79" t="s">
        <v>74</v>
      </c>
      <c r="DG79" t="s">
        <v>75</v>
      </c>
      <c r="DH79" t="s">
        <v>3</v>
      </c>
      <c r="DI79" t="s">
        <v>75</v>
      </c>
      <c r="DJ79" t="s">
        <v>74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148</v>
      </c>
      <c r="DW79" t="s">
        <v>148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35526080</v>
      </c>
      <c r="EF79">
        <v>2</v>
      </c>
      <c r="EG79" t="s">
        <v>76</v>
      </c>
      <c r="EH79">
        <v>0</v>
      </c>
      <c r="EI79" t="s">
        <v>3</v>
      </c>
      <c r="EJ79">
        <v>1</v>
      </c>
      <c r="EK79">
        <v>11001</v>
      </c>
      <c r="EL79" t="s">
        <v>134</v>
      </c>
      <c r="EM79" t="s">
        <v>135</v>
      </c>
      <c r="EO79" t="s">
        <v>3</v>
      </c>
      <c r="EQ79">
        <v>0</v>
      </c>
      <c r="ER79">
        <v>90.36</v>
      </c>
      <c r="ES79">
        <v>0</v>
      </c>
      <c r="ET79">
        <v>2.62</v>
      </c>
      <c r="EU79">
        <v>0</v>
      </c>
      <c r="EV79">
        <v>87.74</v>
      </c>
      <c r="EW79">
        <v>8.99</v>
      </c>
      <c r="EX79">
        <v>0</v>
      </c>
      <c r="EY79">
        <v>0</v>
      </c>
      <c r="FQ79">
        <v>0</v>
      </c>
      <c r="FR79">
        <f>ROUND(IF(AND(BH79=3,BI79=3),P79,0),2)</f>
        <v>0</v>
      </c>
      <c r="FS79">
        <v>0</v>
      </c>
      <c r="FT79" t="s">
        <v>79</v>
      </c>
      <c r="FU79" t="s">
        <v>80</v>
      </c>
      <c r="FX79">
        <v>110.7</v>
      </c>
      <c r="FY79">
        <v>63.75</v>
      </c>
      <c r="GA79" t="s">
        <v>3</v>
      </c>
      <c r="GD79">
        <v>1</v>
      </c>
      <c r="GF79">
        <v>273681548</v>
      </c>
      <c r="GG79">
        <v>2</v>
      </c>
      <c r="GH79">
        <v>2</v>
      </c>
      <c r="GI79">
        <v>2</v>
      </c>
      <c r="GJ79">
        <v>0</v>
      </c>
      <c r="GK79">
        <v>0</v>
      </c>
      <c r="GL79">
        <f>ROUND(IF(AND(BH79=3,BI79=3,FS79&lt;&gt;0),P79,0),2)</f>
        <v>0</v>
      </c>
      <c r="GM79">
        <f>ROUND(O79+X79+Y79,2)+GX79</f>
        <v>824.96</v>
      </c>
      <c r="GN79">
        <f>IF(OR(BI79=0,BI79=1),ROUND(O79+X79+Y79,2),0)</f>
        <v>824.96</v>
      </c>
      <c r="GO79">
        <f>IF(BI79=2,ROUND(O79+X79+Y79,2),0)</f>
        <v>0</v>
      </c>
      <c r="GP79">
        <f>IF(BI79=4,ROUND(O79+X79+Y79,2)+GX79,0)</f>
        <v>0</v>
      </c>
      <c r="GR79">
        <v>0</v>
      </c>
      <c r="GS79">
        <v>0</v>
      </c>
      <c r="GT79">
        <v>0</v>
      </c>
      <c r="GU79" t="s">
        <v>3</v>
      </c>
      <c r="GV79">
        <f>ROUND((GT79),6)</f>
        <v>0</v>
      </c>
      <c r="GW79">
        <v>1</v>
      </c>
      <c r="GX79">
        <f>ROUND(HC79*I79,2)</f>
        <v>0</v>
      </c>
      <c r="HA79">
        <v>0</v>
      </c>
      <c r="HB79">
        <v>0</v>
      </c>
      <c r="HC79">
        <f>GV79*GW79</f>
        <v>0</v>
      </c>
      <c r="HE79" t="s">
        <v>3</v>
      </c>
      <c r="HF79" t="s">
        <v>3</v>
      </c>
      <c r="IK79">
        <v>0</v>
      </c>
    </row>
    <row r="81" spans="1:206">
      <c r="A81" s="2">
        <v>51</v>
      </c>
      <c r="B81" s="2">
        <f>B72</f>
        <v>1</v>
      </c>
      <c r="C81" s="2">
        <f>A72</f>
        <v>5</v>
      </c>
      <c r="D81" s="2">
        <f>ROW(A72)</f>
        <v>72</v>
      </c>
      <c r="E81" s="2"/>
      <c r="F81" s="2" t="str">
        <f>IF(F72&lt;&gt;"",F72,"")</f>
        <v>Новый подраздел</v>
      </c>
      <c r="G81" s="2" t="str">
        <f>IF(G72&lt;&gt;"",G72,"")</f>
        <v>Пол</v>
      </c>
      <c r="H81" s="2">
        <v>0</v>
      </c>
      <c r="I81" s="2"/>
      <c r="J81" s="2"/>
      <c r="K81" s="2"/>
      <c r="L81" s="2"/>
      <c r="M81" s="2"/>
      <c r="N81" s="2"/>
      <c r="O81" s="2">
        <f t="shared" ref="O81:T81" si="76">ROUND(AB81,2)</f>
        <v>7765.66</v>
      </c>
      <c r="P81" s="2">
        <f t="shared" si="76"/>
        <v>4004.89</v>
      </c>
      <c r="Q81" s="2">
        <f t="shared" si="76"/>
        <v>741.66</v>
      </c>
      <c r="R81" s="2">
        <f t="shared" si="76"/>
        <v>387.54</v>
      </c>
      <c r="S81" s="2">
        <f t="shared" si="76"/>
        <v>3019.11</v>
      </c>
      <c r="T81" s="2">
        <f t="shared" si="76"/>
        <v>0</v>
      </c>
      <c r="U81" s="2">
        <f>AH81</f>
        <v>9.9257650000000002</v>
      </c>
      <c r="V81" s="2">
        <f>AI81</f>
        <v>1.1287500000000001</v>
      </c>
      <c r="W81" s="2">
        <f>ROUND(AJ81,2)</f>
        <v>15.5</v>
      </c>
      <c r="X81" s="2">
        <f>ROUND(AK81,2)</f>
        <v>3781.38</v>
      </c>
      <c r="Y81" s="2">
        <f>ROUND(AL81,2)</f>
        <v>2180.2600000000002</v>
      </c>
      <c r="Z81" s="2"/>
      <c r="AA81" s="2"/>
      <c r="AB81" s="2">
        <f>ROUND(SUMIF(AA76:AA79,"=33806715",O76:O79),2)</f>
        <v>7765.66</v>
      </c>
      <c r="AC81" s="2">
        <f>ROUND(SUMIF(AA76:AA79,"=33806715",P76:P79),2)</f>
        <v>4004.89</v>
      </c>
      <c r="AD81" s="2">
        <f>ROUND(SUMIF(AA76:AA79,"=33806715",Q76:Q79),2)</f>
        <v>741.66</v>
      </c>
      <c r="AE81" s="2">
        <f>ROUND(SUMIF(AA76:AA79,"=33806715",R76:R79),2)</f>
        <v>387.54</v>
      </c>
      <c r="AF81" s="2">
        <f>ROUND(SUMIF(AA76:AA79,"=33806715",S76:S79),2)</f>
        <v>3019.11</v>
      </c>
      <c r="AG81" s="2">
        <f>ROUND(SUMIF(AA76:AA79,"=33806715",T76:T79),2)</f>
        <v>0</v>
      </c>
      <c r="AH81" s="2">
        <f>SUMIF(AA76:AA79,"=33806715",U76:U79)</f>
        <v>9.9257650000000002</v>
      </c>
      <c r="AI81" s="2">
        <f>SUMIF(AA76:AA79,"=33806715",V76:V79)</f>
        <v>1.1287500000000001</v>
      </c>
      <c r="AJ81" s="2">
        <f>ROUND(SUMIF(AA76:AA79,"=33806715",W76:W79),2)</f>
        <v>15.5</v>
      </c>
      <c r="AK81" s="2">
        <f>ROUND(SUMIF(AA76:AA79,"=33806715",X76:X79),2)</f>
        <v>3781.38</v>
      </c>
      <c r="AL81" s="2">
        <f>ROUND(SUMIF(AA76:AA79,"=33806715",Y76:Y79),2)</f>
        <v>2180.2600000000002</v>
      </c>
      <c r="AM81" s="2"/>
      <c r="AN81" s="2"/>
      <c r="AO81" s="2">
        <f t="shared" ref="AO81:BD81" si="77">ROUND(BX81,2)</f>
        <v>0</v>
      </c>
      <c r="AP81" s="2">
        <f t="shared" si="77"/>
        <v>0</v>
      </c>
      <c r="AQ81" s="2">
        <f t="shared" si="77"/>
        <v>0</v>
      </c>
      <c r="AR81" s="2">
        <f t="shared" si="77"/>
        <v>13727.3</v>
      </c>
      <c r="AS81" s="2">
        <f t="shared" si="77"/>
        <v>13727.3</v>
      </c>
      <c r="AT81" s="2">
        <f t="shared" si="77"/>
        <v>0</v>
      </c>
      <c r="AU81" s="2">
        <f t="shared" si="77"/>
        <v>0</v>
      </c>
      <c r="AV81" s="2">
        <f t="shared" si="77"/>
        <v>4004.89</v>
      </c>
      <c r="AW81" s="2">
        <f t="shared" si="77"/>
        <v>4004.89</v>
      </c>
      <c r="AX81" s="2">
        <f t="shared" si="77"/>
        <v>0</v>
      </c>
      <c r="AY81" s="2">
        <f t="shared" si="77"/>
        <v>4004.89</v>
      </c>
      <c r="AZ81" s="2">
        <f t="shared" si="77"/>
        <v>0</v>
      </c>
      <c r="BA81" s="2">
        <f t="shared" si="77"/>
        <v>0</v>
      </c>
      <c r="BB81" s="2">
        <f t="shared" si="77"/>
        <v>0</v>
      </c>
      <c r="BC81" s="2">
        <f t="shared" si="77"/>
        <v>0</v>
      </c>
      <c r="BD81" s="2">
        <f t="shared" si="77"/>
        <v>0</v>
      </c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>
        <f>ROUND(SUMIF(AA76:AA79,"=33806715",FQ76:FQ79),2)</f>
        <v>0</v>
      </c>
      <c r="BY81" s="2">
        <f>ROUND(SUMIF(AA76:AA79,"=33806715",FR76:FR79),2)</f>
        <v>0</v>
      </c>
      <c r="BZ81" s="2">
        <f>ROUND(SUMIF(AA76:AA79,"=33806715",GL76:GL79),2)</f>
        <v>0</v>
      </c>
      <c r="CA81" s="2">
        <f>ROUND(SUMIF(AA76:AA79,"=33806715",GM76:GM79),2)</f>
        <v>13727.3</v>
      </c>
      <c r="CB81" s="2">
        <f>ROUND(SUMIF(AA76:AA79,"=33806715",GN76:GN79),2)</f>
        <v>13727.3</v>
      </c>
      <c r="CC81" s="2">
        <f>ROUND(SUMIF(AA76:AA79,"=33806715",GO76:GO79),2)</f>
        <v>0</v>
      </c>
      <c r="CD81" s="2">
        <f>ROUND(SUMIF(AA76:AA79,"=33806715",GP76:GP79),2)</f>
        <v>0</v>
      </c>
      <c r="CE81" s="2">
        <f>AC81-BX81</f>
        <v>4004.89</v>
      </c>
      <c r="CF81" s="2">
        <f>AC81-BY81</f>
        <v>4004.89</v>
      </c>
      <c r="CG81" s="2">
        <f>BX81-BZ81</f>
        <v>0</v>
      </c>
      <c r="CH81" s="2">
        <f>AC81-BX81-BY81+BZ81</f>
        <v>4004.89</v>
      </c>
      <c r="CI81" s="2">
        <f>BY81-BZ81</f>
        <v>0</v>
      </c>
      <c r="CJ81" s="2">
        <f>ROUND(SUMIF(AA76:AA79,"=33806715",GX76:GX79),2)</f>
        <v>0</v>
      </c>
      <c r="CK81" s="2">
        <f>ROUND(SUMIF(AA76:AA79,"=33806715",GY76:GY79),2)</f>
        <v>0</v>
      </c>
      <c r="CL81" s="2">
        <f>ROUND(SUMIF(AA76:AA79,"=33806715",GZ76:GZ79),2)</f>
        <v>0</v>
      </c>
      <c r="CM81" s="2">
        <f>ROUND(SUMIF(AA76:AA79,"=33806715",HD76:HD79),2)</f>
        <v>0</v>
      </c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>
        <v>0</v>
      </c>
    </row>
    <row r="83" spans="1:206">
      <c r="A83" s="4">
        <v>50</v>
      </c>
      <c r="B83" s="4">
        <v>0</v>
      </c>
      <c r="C83" s="4">
        <v>0</v>
      </c>
      <c r="D83" s="4">
        <v>1</v>
      </c>
      <c r="E83" s="4">
        <v>201</v>
      </c>
      <c r="F83" s="4">
        <f>ROUND(Source!O81,O83)</f>
        <v>7765.66</v>
      </c>
      <c r="G83" s="4" t="s">
        <v>15</v>
      </c>
      <c r="H83" s="4" t="s">
        <v>16</v>
      </c>
      <c r="I83" s="4"/>
      <c r="J83" s="4"/>
      <c r="K83" s="4">
        <v>201</v>
      </c>
      <c r="L83" s="4">
        <v>1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06">
      <c r="A84" s="4">
        <v>50</v>
      </c>
      <c r="B84" s="4">
        <v>0</v>
      </c>
      <c r="C84" s="4">
        <v>0</v>
      </c>
      <c r="D84" s="4">
        <v>1</v>
      </c>
      <c r="E84" s="4">
        <v>202</v>
      </c>
      <c r="F84" s="4">
        <f>ROUND(Source!P81,O84)</f>
        <v>4004.89</v>
      </c>
      <c r="G84" s="4" t="s">
        <v>17</v>
      </c>
      <c r="H84" s="4" t="s">
        <v>18</v>
      </c>
      <c r="I84" s="4"/>
      <c r="J84" s="4"/>
      <c r="K84" s="4">
        <v>202</v>
      </c>
      <c r="L84" s="4">
        <v>2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06">
      <c r="A85" s="4">
        <v>50</v>
      </c>
      <c r="B85" s="4">
        <v>0</v>
      </c>
      <c r="C85" s="4">
        <v>0</v>
      </c>
      <c r="D85" s="4">
        <v>1</v>
      </c>
      <c r="E85" s="4">
        <v>222</v>
      </c>
      <c r="F85" s="4">
        <f>ROUND(Source!AO81,O85)</f>
        <v>0</v>
      </c>
      <c r="G85" s="4" t="s">
        <v>19</v>
      </c>
      <c r="H85" s="4" t="s">
        <v>20</v>
      </c>
      <c r="I85" s="4"/>
      <c r="J85" s="4"/>
      <c r="K85" s="4">
        <v>222</v>
      </c>
      <c r="L85" s="4">
        <v>3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06">
      <c r="A86" s="4">
        <v>50</v>
      </c>
      <c r="B86" s="4">
        <v>0</v>
      </c>
      <c r="C86" s="4">
        <v>0</v>
      </c>
      <c r="D86" s="4">
        <v>1</v>
      </c>
      <c r="E86" s="4">
        <v>225</v>
      </c>
      <c r="F86" s="4">
        <f>ROUND(Source!AV81,O86)</f>
        <v>4004.89</v>
      </c>
      <c r="G86" s="4" t="s">
        <v>21</v>
      </c>
      <c r="H86" s="4" t="s">
        <v>22</v>
      </c>
      <c r="I86" s="4"/>
      <c r="J86" s="4"/>
      <c r="K86" s="4">
        <v>225</v>
      </c>
      <c r="L86" s="4">
        <v>4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06">
      <c r="A87" s="4">
        <v>50</v>
      </c>
      <c r="B87" s="4">
        <v>0</v>
      </c>
      <c r="C87" s="4">
        <v>0</v>
      </c>
      <c r="D87" s="4">
        <v>1</v>
      </c>
      <c r="E87" s="4">
        <v>226</v>
      </c>
      <c r="F87" s="4">
        <f>ROUND(Source!AW81,O87)</f>
        <v>4004.89</v>
      </c>
      <c r="G87" s="4" t="s">
        <v>23</v>
      </c>
      <c r="H87" s="4" t="s">
        <v>24</v>
      </c>
      <c r="I87" s="4"/>
      <c r="J87" s="4"/>
      <c r="K87" s="4">
        <v>226</v>
      </c>
      <c r="L87" s="4">
        <v>5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06">
      <c r="A88" s="4">
        <v>50</v>
      </c>
      <c r="B88" s="4">
        <v>0</v>
      </c>
      <c r="C88" s="4">
        <v>0</v>
      </c>
      <c r="D88" s="4">
        <v>1</v>
      </c>
      <c r="E88" s="4">
        <v>227</v>
      </c>
      <c r="F88" s="4">
        <f>ROUND(Source!AX81,O88)</f>
        <v>0</v>
      </c>
      <c r="G88" s="4" t="s">
        <v>25</v>
      </c>
      <c r="H88" s="4" t="s">
        <v>26</v>
      </c>
      <c r="I88" s="4"/>
      <c r="J88" s="4"/>
      <c r="K88" s="4">
        <v>227</v>
      </c>
      <c r="L88" s="4">
        <v>6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06">
      <c r="A89" s="4">
        <v>50</v>
      </c>
      <c r="B89" s="4">
        <v>0</v>
      </c>
      <c r="C89" s="4">
        <v>0</v>
      </c>
      <c r="D89" s="4">
        <v>1</v>
      </c>
      <c r="E89" s="4">
        <v>228</v>
      </c>
      <c r="F89" s="4">
        <f>ROUND(Source!AY81,O89)</f>
        <v>4004.89</v>
      </c>
      <c r="G89" s="4" t="s">
        <v>27</v>
      </c>
      <c r="H89" s="4" t="s">
        <v>28</v>
      </c>
      <c r="I89" s="4"/>
      <c r="J89" s="4"/>
      <c r="K89" s="4">
        <v>228</v>
      </c>
      <c r="L89" s="4">
        <v>7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06">
      <c r="A90" s="4">
        <v>50</v>
      </c>
      <c r="B90" s="4">
        <v>0</v>
      </c>
      <c r="C90" s="4">
        <v>0</v>
      </c>
      <c r="D90" s="4">
        <v>1</v>
      </c>
      <c r="E90" s="4">
        <v>216</v>
      </c>
      <c r="F90" s="4">
        <f>ROUND(Source!AP81,O90)</f>
        <v>0</v>
      </c>
      <c r="G90" s="4" t="s">
        <v>29</v>
      </c>
      <c r="H90" s="4" t="s">
        <v>30</v>
      </c>
      <c r="I90" s="4"/>
      <c r="J90" s="4"/>
      <c r="K90" s="4">
        <v>216</v>
      </c>
      <c r="L90" s="4">
        <v>8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06">
      <c r="A91" s="4">
        <v>50</v>
      </c>
      <c r="B91" s="4">
        <v>0</v>
      </c>
      <c r="C91" s="4">
        <v>0</v>
      </c>
      <c r="D91" s="4">
        <v>1</v>
      </c>
      <c r="E91" s="4">
        <v>223</v>
      </c>
      <c r="F91" s="4">
        <f>ROUND(Source!AQ81,O91)</f>
        <v>0</v>
      </c>
      <c r="G91" s="4" t="s">
        <v>31</v>
      </c>
      <c r="H91" s="4" t="s">
        <v>32</v>
      </c>
      <c r="I91" s="4"/>
      <c r="J91" s="4"/>
      <c r="K91" s="4">
        <v>223</v>
      </c>
      <c r="L91" s="4">
        <v>9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06">
      <c r="A92" s="4">
        <v>50</v>
      </c>
      <c r="B92" s="4">
        <v>0</v>
      </c>
      <c r="C92" s="4">
        <v>0</v>
      </c>
      <c r="D92" s="4">
        <v>1</v>
      </c>
      <c r="E92" s="4">
        <v>229</v>
      </c>
      <c r="F92" s="4">
        <f>ROUND(Source!AZ81,O92)</f>
        <v>0</v>
      </c>
      <c r="G92" s="4" t="s">
        <v>33</v>
      </c>
      <c r="H92" s="4" t="s">
        <v>34</v>
      </c>
      <c r="I92" s="4"/>
      <c r="J92" s="4"/>
      <c r="K92" s="4">
        <v>229</v>
      </c>
      <c r="L92" s="4">
        <v>10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06">
      <c r="A93" s="4">
        <v>50</v>
      </c>
      <c r="B93" s="4">
        <v>0</v>
      </c>
      <c r="C93" s="4">
        <v>0</v>
      </c>
      <c r="D93" s="4">
        <v>1</v>
      </c>
      <c r="E93" s="4">
        <v>203</v>
      </c>
      <c r="F93" s="4">
        <f>ROUND(Source!Q81,O93)</f>
        <v>741.66</v>
      </c>
      <c r="G93" s="4" t="s">
        <v>35</v>
      </c>
      <c r="H93" s="4" t="s">
        <v>36</v>
      </c>
      <c r="I93" s="4"/>
      <c r="J93" s="4"/>
      <c r="K93" s="4">
        <v>203</v>
      </c>
      <c r="L93" s="4">
        <v>11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06">
      <c r="A94" s="4">
        <v>50</v>
      </c>
      <c r="B94" s="4">
        <v>0</v>
      </c>
      <c r="C94" s="4">
        <v>0</v>
      </c>
      <c r="D94" s="4">
        <v>1</v>
      </c>
      <c r="E94" s="4">
        <v>231</v>
      </c>
      <c r="F94" s="4">
        <f>ROUND(Source!BB81,O94)</f>
        <v>0</v>
      </c>
      <c r="G94" s="4" t="s">
        <v>37</v>
      </c>
      <c r="H94" s="4" t="s">
        <v>38</v>
      </c>
      <c r="I94" s="4"/>
      <c r="J94" s="4"/>
      <c r="K94" s="4">
        <v>231</v>
      </c>
      <c r="L94" s="4">
        <v>12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06">
      <c r="A95" s="4">
        <v>50</v>
      </c>
      <c r="B95" s="4">
        <v>0</v>
      </c>
      <c r="C95" s="4">
        <v>0</v>
      </c>
      <c r="D95" s="4">
        <v>1</v>
      </c>
      <c r="E95" s="4">
        <v>204</v>
      </c>
      <c r="F95" s="4">
        <f>ROUND(Source!R81,O95)</f>
        <v>387.54</v>
      </c>
      <c r="G95" s="4" t="s">
        <v>39</v>
      </c>
      <c r="H95" s="4" t="s">
        <v>40</v>
      </c>
      <c r="I95" s="4"/>
      <c r="J95" s="4"/>
      <c r="K95" s="4">
        <v>204</v>
      </c>
      <c r="L95" s="4">
        <v>13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06">
      <c r="A96" s="4">
        <v>50</v>
      </c>
      <c r="B96" s="4">
        <v>0</v>
      </c>
      <c r="C96" s="4">
        <v>0</v>
      </c>
      <c r="D96" s="4">
        <v>1</v>
      </c>
      <c r="E96" s="4">
        <v>205</v>
      </c>
      <c r="F96" s="4">
        <f>ROUND(Source!S81,O96)</f>
        <v>3019.11</v>
      </c>
      <c r="G96" s="4" t="s">
        <v>41</v>
      </c>
      <c r="H96" s="4" t="s">
        <v>42</v>
      </c>
      <c r="I96" s="4"/>
      <c r="J96" s="4"/>
      <c r="K96" s="4">
        <v>205</v>
      </c>
      <c r="L96" s="4">
        <v>14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88">
      <c r="A97" s="4">
        <v>50</v>
      </c>
      <c r="B97" s="4">
        <v>0</v>
      </c>
      <c r="C97" s="4">
        <v>0</v>
      </c>
      <c r="D97" s="4">
        <v>1</v>
      </c>
      <c r="E97" s="4">
        <v>232</v>
      </c>
      <c r="F97" s="4">
        <f>ROUND(Source!BC81,O97)</f>
        <v>0</v>
      </c>
      <c r="G97" s="4" t="s">
        <v>43</v>
      </c>
      <c r="H97" s="4" t="s">
        <v>44</v>
      </c>
      <c r="I97" s="4"/>
      <c r="J97" s="4"/>
      <c r="K97" s="4">
        <v>232</v>
      </c>
      <c r="L97" s="4">
        <v>15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88">
      <c r="A98" s="4">
        <v>50</v>
      </c>
      <c r="B98" s="4">
        <v>0</v>
      </c>
      <c r="C98" s="4">
        <v>0</v>
      </c>
      <c r="D98" s="4">
        <v>1</v>
      </c>
      <c r="E98" s="4">
        <v>214</v>
      </c>
      <c r="F98" s="4">
        <f>ROUND(Source!AS81,O98)</f>
        <v>13727.3</v>
      </c>
      <c r="G98" s="4" t="s">
        <v>45</v>
      </c>
      <c r="H98" s="4" t="s">
        <v>46</v>
      </c>
      <c r="I98" s="4"/>
      <c r="J98" s="4"/>
      <c r="K98" s="4">
        <v>214</v>
      </c>
      <c r="L98" s="4">
        <v>16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88">
      <c r="A99" s="4">
        <v>50</v>
      </c>
      <c r="B99" s="4">
        <v>0</v>
      </c>
      <c r="C99" s="4">
        <v>0</v>
      </c>
      <c r="D99" s="4">
        <v>1</v>
      </c>
      <c r="E99" s="4">
        <v>215</v>
      </c>
      <c r="F99" s="4">
        <f>ROUND(Source!AT81,O99)</f>
        <v>0</v>
      </c>
      <c r="G99" s="4" t="s">
        <v>47</v>
      </c>
      <c r="H99" s="4" t="s">
        <v>48</v>
      </c>
      <c r="I99" s="4"/>
      <c r="J99" s="4"/>
      <c r="K99" s="4">
        <v>215</v>
      </c>
      <c r="L99" s="4">
        <v>17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88">
      <c r="A100" s="4">
        <v>50</v>
      </c>
      <c r="B100" s="4">
        <v>0</v>
      </c>
      <c r="C100" s="4">
        <v>0</v>
      </c>
      <c r="D100" s="4">
        <v>1</v>
      </c>
      <c r="E100" s="4">
        <v>217</v>
      </c>
      <c r="F100" s="4">
        <f>ROUND(Source!AU81,O100)</f>
        <v>0</v>
      </c>
      <c r="G100" s="4" t="s">
        <v>49</v>
      </c>
      <c r="H100" s="4" t="s">
        <v>50</v>
      </c>
      <c r="I100" s="4"/>
      <c r="J100" s="4"/>
      <c r="K100" s="4">
        <v>217</v>
      </c>
      <c r="L100" s="4">
        <v>18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88">
      <c r="A101" s="4">
        <v>50</v>
      </c>
      <c r="B101" s="4">
        <v>0</v>
      </c>
      <c r="C101" s="4">
        <v>0</v>
      </c>
      <c r="D101" s="4">
        <v>1</v>
      </c>
      <c r="E101" s="4">
        <v>230</v>
      </c>
      <c r="F101" s="4">
        <f>ROUND(Source!BA81,O101)</f>
        <v>0</v>
      </c>
      <c r="G101" s="4" t="s">
        <v>51</v>
      </c>
      <c r="H101" s="4" t="s">
        <v>52</v>
      </c>
      <c r="I101" s="4"/>
      <c r="J101" s="4"/>
      <c r="K101" s="4">
        <v>230</v>
      </c>
      <c r="L101" s="4">
        <v>19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88">
      <c r="A102" s="4">
        <v>50</v>
      </c>
      <c r="B102" s="4">
        <v>0</v>
      </c>
      <c r="C102" s="4">
        <v>0</v>
      </c>
      <c r="D102" s="4">
        <v>1</v>
      </c>
      <c r="E102" s="4">
        <v>206</v>
      </c>
      <c r="F102" s="4">
        <f>ROUND(Source!T81,O102)</f>
        <v>0</v>
      </c>
      <c r="G102" s="4" t="s">
        <v>53</v>
      </c>
      <c r="H102" s="4" t="s">
        <v>54</v>
      </c>
      <c r="I102" s="4"/>
      <c r="J102" s="4"/>
      <c r="K102" s="4">
        <v>206</v>
      </c>
      <c r="L102" s="4">
        <v>20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88">
      <c r="A103" s="4">
        <v>50</v>
      </c>
      <c r="B103" s="4">
        <v>0</v>
      </c>
      <c r="C103" s="4">
        <v>0</v>
      </c>
      <c r="D103" s="4">
        <v>1</v>
      </c>
      <c r="E103" s="4">
        <v>207</v>
      </c>
      <c r="F103" s="4">
        <f>Source!U81</f>
        <v>9.9257650000000002</v>
      </c>
      <c r="G103" s="4" t="s">
        <v>55</v>
      </c>
      <c r="H103" s="4" t="s">
        <v>56</v>
      </c>
      <c r="I103" s="4"/>
      <c r="J103" s="4"/>
      <c r="K103" s="4">
        <v>207</v>
      </c>
      <c r="L103" s="4">
        <v>21</v>
      </c>
      <c r="M103" s="4">
        <v>3</v>
      </c>
      <c r="N103" s="4" t="s">
        <v>3</v>
      </c>
      <c r="O103" s="4">
        <v>-1</v>
      </c>
      <c r="P103" s="4"/>
      <c r="Q103" s="4"/>
      <c r="R103" s="4"/>
      <c r="S103" s="4"/>
      <c r="T103" s="4"/>
      <c r="U103" s="4"/>
      <c r="V103" s="4"/>
      <c r="W103" s="4"/>
    </row>
    <row r="104" spans="1:88">
      <c r="A104" s="4">
        <v>50</v>
      </c>
      <c r="B104" s="4">
        <v>0</v>
      </c>
      <c r="C104" s="4">
        <v>0</v>
      </c>
      <c r="D104" s="4">
        <v>1</v>
      </c>
      <c r="E104" s="4">
        <v>208</v>
      </c>
      <c r="F104" s="4">
        <f>Source!V81</f>
        <v>1.1287500000000001</v>
      </c>
      <c r="G104" s="4" t="s">
        <v>57</v>
      </c>
      <c r="H104" s="4" t="s">
        <v>58</v>
      </c>
      <c r="I104" s="4"/>
      <c r="J104" s="4"/>
      <c r="K104" s="4">
        <v>208</v>
      </c>
      <c r="L104" s="4">
        <v>22</v>
      </c>
      <c r="M104" s="4">
        <v>3</v>
      </c>
      <c r="N104" s="4" t="s">
        <v>3</v>
      </c>
      <c r="O104" s="4">
        <v>-1</v>
      </c>
      <c r="P104" s="4"/>
      <c r="Q104" s="4"/>
      <c r="R104" s="4"/>
      <c r="S104" s="4"/>
      <c r="T104" s="4"/>
      <c r="U104" s="4"/>
      <c r="V104" s="4"/>
      <c r="W104" s="4"/>
    </row>
    <row r="105" spans="1:88">
      <c r="A105" s="4">
        <v>50</v>
      </c>
      <c r="B105" s="4">
        <v>0</v>
      </c>
      <c r="C105" s="4">
        <v>0</v>
      </c>
      <c r="D105" s="4">
        <v>1</v>
      </c>
      <c r="E105" s="4">
        <v>209</v>
      </c>
      <c r="F105" s="4">
        <f>ROUND(Source!W81,O105)</f>
        <v>15.5</v>
      </c>
      <c r="G105" s="4" t="s">
        <v>59</v>
      </c>
      <c r="H105" s="4" t="s">
        <v>60</v>
      </c>
      <c r="I105" s="4"/>
      <c r="J105" s="4"/>
      <c r="K105" s="4">
        <v>209</v>
      </c>
      <c r="L105" s="4">
        <v>23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88">
      <c r="A106" s="4">
        <v>50</v>
      </c>
      <c r="B106" s="4">
        <v>0</v>
      </c>
      <c r="C106" s="4">
        <v>0</v>
      </c>
      <c r="D106" s="4">
        <v>1</v>
      </c>
      <c r="E106" s="4">
        <v>233</v>
      </c>
      <c r="F106" s="4">
        <f>ROUND(Source!BD81,O106)</f>
        <v>0</v>
      </c>
      <c r="G106" s="4" t="s">
        <v>61</v>
      </c>
      <c r="H106" s="4" t="s">
        <v>62</v>
      </c>
      <c r="I106" s="4"/>
      <c r="J106" s="4"/>
      <c r="K106" s="4">
        <v>233</v>
      </c>
      <c r="L106" s="4">
        <v>24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88">
      <c r="A107" s="4">
        <v>50</v>
      </c>
      <c r="B107" s="4">
        <v>0</v>
      </c>
      <c r="C107" s="4">
        <v>0</v>
      </c>
      <c r="D107" s="4">
        <v>1</v>
      </c>
      <c r="E107" s="4">
        <v>210</v>
      </c>
      <c r="F107" s="4">
        <f>ROUND(Source!X81,O107)</f>
        <v>3781.38</v>
      </c>
      <c r="G107" s="4" t="s">
        <v>63</v>
      </c>
      <c r="H107" s="4" t="s">
        <v>64</v>
      </c>
      <c r="I107" s="4"/>
      <c r="J107" s="4"/>
      <c r="K107" s="4">
        <v>210</v>
      </c>
      <c r="L107" s="4">
        <v>25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88">
      <c r="A108" s="4">
        <v>50</v>
      </c>
      <c r="B108" s="4">
        <v>0</v>
      </c>
      <c r="C108" s="4">
        <v>0</v>
      </c>
      <c r="D108" s="4">
        <v>1</v>
      </c>
      <c r="E108" s="4">
        <v>211</v>
      </c>
      <c r="F108" s="4">
        <f>ROUND(Source!Y81,O108)</f>
        <v>2180.2600000000002</v>
      </c>
      <c r="G108" s="4" t="s">
        <v>65</v>
      </c>
      <c r="H108" s="4" t="s">
        <v>66</v>
      </c>
      <c r="I108" s="4"/>
      <c r="J108" s="4"/>
      <c r="K108" s="4">
        <v>211</v>
      </c>
      <c r="L108" s="4">
        <v>26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88">
      <c r="A109" s="4">
        <v>50</v>
      </c>
      <c r="B109" s="4">
        <v>0</v>
      </c>
      <c r="C109" s="4">
        <v>0</v>
      </c>
      <c r="D109" s="4">
        <v>1</v>
      </c>
      <c r="E109" s="4">
        <v>224</v>
      </c>
      <c r="F109" s="4">
        <f>ROUND(Source!AR81,O109)</f>
        <v>13727.3</v>
      </c>
      <c r="G109" s="4" t="s">
        <v>67</v>
      </c>
      <c r="H109" s="4" t="s">
        <v>68</v>
      </c>
      <c r="I109" s="4"/>
      <c r="J109" s="4"/>
      <c r="K109" s="4">
        <v>224</v>
      </c>
      <c r="L109" s="4">
        <v>27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1" spans="1:88">
      <c r="A111" s="1">
        <v>5</v>
      </c>
      <c r="B111" s="1">
        <v>1</v>
      </c>
      <c r="C111" s="1"/>
      <c r="D111" s="1">
        <f>ROW(A120)</f>
        <v>120</v>
      </c>
      <c r="E111" s="1"/>
      <c r="F111" s="1" t="s">
        <v>128</v>
      </c>
      <c r="G111" s="1" t="s">
        <v>150</v>
      </c>
      <c r="H111" s="1" t="s">
        <v>3</v>
      </c>
      <c r="I111" s="1">
        <v>0</v>
      </c>
      <c r="J111" s="1"/>
      <c r="K111" s="1">
        <v>0</v>
      </c>
      <c r="L111" s="1"/>
      <c r="M111" s="1" t="s">
        <v>3</v>
      </c>
      <c r="N111" s="1"/>
      <c r="O111" s="1"/>
      <c r="P111" s="1"/>
      <c r="Q111" s="1"/>
      <c r="R111" s="1"/>
      <c r="S111" s="1">
        <v>0</v>
      </c>
      <c r="T111" s="1"/>
      <c r="U111" s="1" t="s">
        <v>3</v>
      </c>
      <c r="V111" s="1">
        <v>0</v>
      </c>
      <c r="W111" s="1"/>
      <c r="X111" s="1"/>
      <c r="Y111" s="1"/>
      <c r="Z111" s="1"/>
      <c r="AA111" s="1"/>
      <c r="AB111" s="1" t="s">
        <v>3</v>
      </c>
      <c r="AC111" s="1" t="s">
        <v>3</v>
      </c>
      <c r="AD111" s="1" t="s">
        <v>3</v>
      </c>
      <c r="AE111" s="1" t="s">
        <v>3</v>
      </c>
      <c r="AF111" s="1" t="s">
        <v>3</v>
      </c>
      <c r="AG111" s="1" t="s">
        <v>3</v>
      </c>
      <c r="AH111" s="1"/>
      <c r="AI111" s="1"/>
      <c r="AJ111" s="1"/>
      <c r="AK111" s="1"/>
      <c r="AL111" s="1"/>
      <c r="AM111" s="1"/>
      <c r="AN111" s="1"/>
      <c r="AO111" s="1"/>
      <c r="AP111" s="1" t="s">
        <v>3</v>
      </c>
      <c r="AQ111" s="1" t="s">
        <v>3</v>
      </c>
      <c r="AR111" s="1" t="s">
        <v>3</v>
      </c>
      <c r="AS111" s="1"/>
      <c r="AT111" s="1"/>
      <c r="AU111" s="1"/>
      <c r="AV111" s="1"/>
      <c r="AW111" s="1"/>
      <c r="AX111" s="1"/>
      <c r="AY111" s="1"/>
      <c r="AZ111" s="1" t="s">
        <v>3</v>
      </c>
      <c r="BA111" s="1"/>
      <c r="BB111" s="1" t="s">
        <v>3</v>
      </c>
      <c r="BC111" s="1" t="s">
        <v>3</v>
      </c>
      <c r="BD111" s="1" t="s">
        <v>3</v>
      </c>
      <c r="BE111" s="1" t="s">
        <v>3</v>
      </c>
      <c r="BF111" s="1" t="s">
        <v>3</v>
      </c>
      <c r="BG111" s="1" t="s">
        <v>3</v>
      </c>
      <c r="BH111" s="1" t="s">
        <v>3</v>
      </c>
      <c r="BI111" s="1" t="s">
        <v>3</v>
      </c>
      <c r="BJ111" s="1" t="s">
        <v>3</v>
      </c>
      <c r="BK111" s="1" t="s">
        <v>3</v>
      </c>
      <c r="BL111" s="1" t="s">
        <v>3</v>
      </c>
      <c r="BM111" s="1" t="s">
        <v>3</v>
      </c>
      <c r="BN111" s="1" t="s">
        <v>3</v>
      </c>
      <c r="BO111" s="1" t="s">
        <v>3</v>
      </c>
      <c r="BP111" s="1" t="s">
        <v>3</v>
      </c>
      <c r="BQ111" s="1"/>
      <c r="BR111" s="1"/>
      <c r="BS111" s="1"/>
      <c r="BT111" s="1"/>
      <c r="BU111" s="1"/>
      <c r="BV111" s="1"/>
      <c r="BW111" s="1"/>
      <c r="BX111" s="1">
        <v>0</v>
      </c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>
        <v>0</v>
      </c>
    </row>
    <row r="113" spans="1:245">
      <c r="A113" s="2">
        <v>52</v>
      </c>
      <c r="B113" s="2">
        <f t="shared" ref="B113:G113" si="78">B120</f>
        <v>1</v>
      </c>
      <c r="C113" s="2">
        <f t="shared" si="78"/>
        <v>5</v>
      </c>
      <c r="D113" s="2">
        <f t="shared" si="78"/>
        <v>111</v>
      </c>
      <c r="E113" s="2">
        <f t="shared" si="78"/>
        <v>0</v>
      </c>
      <c r="F113" s="2" t="str">
        <f t="shared" si="78"/>
        <v>Новый подраздел</v>
      </c>
      <c r="G113" s="2" t="str">
        <f t="shared" si="78"/>
        <v>Потолок</v>
      </c>
      <c r="H113" s="2"/>
      <c r="I113" s="2"/>
      <c r="J113" s="2"/>
      <c r="K113" s="2"/>
      <c r="L113" s="2"/>
      <c r="M113" s="2"/>
      <c r="N113" s="2"/>
      <c r="O113" s="2">
        <f t="shared" ref="O113:AT113" si="79">O120</f>
        <v>5269.64</v>
      </c>
      <c r="P113" s="2">
        <f t="shared" si="79"/>
        <v>2838.5</v>
      </c>
      <c r="Q113" s="2">
        <f t="shared" si="79"/>
        <v>308.66000000000003</v>
      </c>
      <c r="R113" s="2">
        <f t="shared" si="79"/>
        <v>25.9</v>
      </c>
      <c r="S113" s="2">
        <f t="shared" si="79"/>
        <v>2122.48</v>
      </c>
      <c r="T113" s="2">
        <f t="shared" si="79"/>
        <v>0</v>
      </c>
      <c r="U113" s="2">
        <f t="shared" si="79"/>
        <v>6.8610499999999988</v>
      </c>
      <c r="V113" s="2">
        <f t="shared" si="79"/>
        <v>5.8299999999999998E-2</v>
      </c>
      <c r="W113" s="2">
        <f t="shared" si="79"/>
        <v>12.26</v>
      </c>
      <c r="X113" s="2">
        <f t="shared" si="79"/>
        <v>2040.96</v>
      </c>
      <c r="Y113" s="2">
        <f t="shared" si="79"/>
        <v>1064.5899999999999</v>
      </c>
      <c r="Z113" s="2">
        <f t="shared" si="79"/>
        <v>0</v>
      </c>
      <c r="AA113" s="2">
        <f t="shared" si="79"/>
        <v>0</v>
      </c>
      <c r="AB113" s="2">
        <f t="shared" si="79"/>
        <v>5269.64</v>
      </c>
      <c r="AC113" s="2">
        <f t="shared" si="79"/>
        <v>2838.5</v>
      </c>
      <c r="AD113" s="2">
        <f t="shared" si="79"/>
        <v>308.66000000000003</v>
      </c>
      <c r="AE113" s="2">
        <f t="shared" si="79"/>
        <v>25.9</v>
      </c>
      <c r="AF113" s="2">
        <f t="shared" si="79"/>
        <v>2122.48</v>
      </c>
      <c r="AG113" s="2">
        <f t="shared" si="79"/>
        <v>0</v>
      </c>
      <c r="AH113" s="2">
        <f t="shared" si="79"/>
        <v>6.8610499999999988</v>
      </c>
      <c r="AI113" s="2">
        <f t="shared" si="79"/>
        <v>5.8299999999999998E-2</v>
      </c>
      <c r="AJ113" s="2">
        <f t="shared" si="79"/>
        <v>12.26</v>
      </c>
      <c r="AK113" s="2">
        <f t="shared" si="79"/>
        <v>2040.96</v>
      </c>
      <c r="AL113" s="2">
        <f t="shared" si="79"/>
        <v>1064.5899999999999</v>
      </c>
      <c r="AM113" s="2">
        <f t="shared" si="79"/>
        <v>0</v>
      </c>
      <c r="AN113" s="2">
        <f t="shared" si="79"/>
        <v>0</v>
      </c>
      <c r="AO113" s="2">
        <f t="shared" si="79"/>
        <v>0</v>
      </c>
      <c r="AP113" s="2">
        <f t="shared" si="79"/>
        <v>0</v>
      </c>
      <c r="AQ113" s="2">
        <f t="shared" si="79"/>
        <v>0</v>
      </c>
      <c r="AR113" s="2">
        <f t="shared" si="79"/>
        <v>8375.19</v>
      </c>
      <c r="AS113" s="2">
        <f t="shared" si="79"/>
        <v>7353.31</v>
      </c>
      <c r="AT113" s="2">
        <f t="shared" si="79"/>
        <v>1021.88</v>
      </c>
      <c r="AU113" s="2">
        <f t="shared" ref="AU113:BZ113" si="80">AU120</f>
        <v>0</v>
      </c>
      <c r="AV113" s="2">
        <f t="shared" si="80"/>
        <v>2838.5</v>
      </c>
      <c r="AW113" s="2">
        <f t="shared" si="80"/>
        <v>2838.5</v>
      </c>
      <c r="AX113" s="2">
        <f t="shared" si="80"/>
        <v>0</v>
      </c>
      <c r="AY113" s="2">
        <f t="shared" si="80"/>
        <v>2838.5</v>
      </c>
      <c r="AZ113" s="2">
        <f t="shared" si="80"/>
        <v>0</v>
      </c>
      <c r="BA113" s="2">
        <f t="shared" si="80"/>
        <v>0</v>
      </c>
      <c r="BB113" s="2">
        <f t="shared" si="80"/>
        <v>0</v>
      </c>
      <c r="BC113" s="2">
        <f t="shared" si="80"/>
        <v>0</v>
      </c>
      <c r="BD113" s="2">
        <f t="shared" si="80"/>
        <v>0</v>
      </c>
      <c r="BE113" s="2">
        <f t="shared" si="80"/>
        <v>0</v>
      </c>
      <c r="BF113" s="2">
        <f t="shared" si="80"/>
        <v>0</v>
      </c>
      <c r="BG113" s="2">
        <f t="shared" si="80"/>
        <v>0</v>
      </c>
      <c r="BH113" s="2">
        <f t="shared" si="80"/>
        <v>0</v>
      </c>
      <c r="BI113" s="2">
        <f t="shared" si="80"/>
        <v>0</v>
      </c>
      <c r="BJ113" s="2">
        <f t="shared" si="80"/>
        <v>0</v>
      </c>
      <c r="BK113" s="2">
        <f t="shared" si="80"/>
        <v>0</v>
      </c>
      <c r="BL113" s="2">
        <f t="shared" si="80"/>
        <v>0</v>
      </c>
      <c r="BM113" s="2">
        <f t="shared" si="80"/>
        <v>0</v>
      </c>
      <c r="BN113" s="2">
        <f t="shared" si="80"/>
        <v>0</v>
      </c>
      <c r="BO113" s="2">
        <f t="shared" si="80"/>
        <v>0</v>
      </c>
      <c r="BP113" s="2">
        <f t="shared" si="80"/>
        <v>0</v>
      </c>
      <c r="BQ113" s="2">
        <f t="shared" si="80"/>
        <v>0</v>
      </c>
      <c r="BR113" s="2">
        <f t="shared" si="80"/>
        <v>0</v>
      </c>
      <c r="BS113" s="2">
        <f t="shared" si="80"/>
        <v>0</v>
      </c>
      <c r="BT113" s="2">
        <f t="shared" si="80"/>
        <v>0</v>
      </c>
      <c r="BU113" s="2">
        <f t="shared" si="80"/>
        <v>0</v>
      </c>
      <c r="BV113" s="2">
        <f t="shared" si="80"/>
        <v>0</v>
      </c>
      <c r="BW113" s="2">
        <f t="shared" si="80"/>
        <v>0</v>
      </c>
      <c r="BX113" s="2">
        <f t="shared" si="80"/>
        <v>0</v>
      </c>
      <c r="BY113" s="2">
        <f t="shared" si="80"/>
        <v>0</v>
      </c>
      <c r="BZ113" s="2">
        <f t="shared" si="80"/>
        <v>0</v>
      </c>
      <c r="CA113" s="2">
        <f t="shared" ref="CA113:DF113" si="81">CA120</f>
        <v>8375.19</v>
      </c>
      <c r="CB113" s="2">
        <f t="shared" si="81"/>
        <v>7353.31</v>
      </c>
      <c r="CC113" s="2">
        <f t="shared" si="81"/>
        <v>1021.88</v>
      </c>
      <c r="CD113" s="2">
        <f t="shared" si="81"/>
        <v>0</v>
      </c>
      <c r="CE113" s="2">
        <f t="shared" si="81"/>
        <v>2838.5</v>
      </c>
      <c r="CF113" s="2">
        <f t="shared" si="81"/>
        <v>2838.5</v>
      </c>
      <c r="CG113" s="2">
        <f t="shared" si="81"/>
        <v>0</v>
      </c>
      <c r="CH113" s="2">
        <f t="shared" si="81"/>
        <v>2838.5</v>
      </c>
      <c r="CI113" s="2">
        <f t="shared" si="81"/>
        <v>0</v>
      </c>
      <c r="CJ113" s="2">
        <f t="shared" si="81"/>
        <v>0</v>
      </c>
      <c r="CK113" s="2">
        <f t="shared" si="81"/>
        <v>0</v>
      </c>
      <c r="CL113" s="2">
        <f t="shared" si="81"/>
        <v>0</v>
      </c>
      <c r="CM113" s="2">
        <f t="shared" si="81"/>
        <v>0</v>
      </c>
      <c r="CN113" s="2">
        <f t="shared" si="81"/>
        <v>0</v>
      </c>
      <c r="CO113" s="2">
        <f t="shared" si="81"/>
        <v>0</v>
      </c>
      <c r="CP113" s="2">
        <f t="shared" si="81"/>
        <v>0</v>
      </c>
      <c r="CQ113" s="2">
        <f t="shared" si="81"/>
        <v>0</v>
      </c>
      <c r="CR113" s="2">
        <f t="shared" si="81"/>
        <v>0</v>
      </c>
      <c r="CS113" s="2">
        <f t="shared" si="81"/>
        <v>0</v>
      </c>
      <c r="CT113" s="2">
        <f t="shared" si="81"/>
        <v>0</v>
      </c>
      <c r="CU113" s="2">
        <f t="shared" si="81"/>
        <v>0</v>
      </c>
      <c r="CV113" s="2">
        <f t="shared" si="81"/>
        <v>0</v>
      </c>
      <c r="CW113" s="2">
        <f t="shared" si="81"/>
        <v>0</v>
      </c>
      <c r="CX113" s="2">
        <f t="shared" si="81"/>
        <v>0</v>
      </c>
      <c r="CY113" s="2">
        <f t="shared" si="81"/>
        <v>0</v>
      </c>
      <c r="CZ113" s="2">
        <f t="shared" si="81"/>
        <v>0</v>
      </c>
      <c r="DA113" s="2">
        <f t="shared" si="81"/>
        <v>0</v>
      </c>
      <c r="DB113" s="2">
        <f t="shared" si="81"/>
        <v>0</v>
      </c>
      <c r="DC113" s="2">
        <f t="shared" si="81"/>
        <v>0</v>
      </c>
      <c r="DD113" s="2">
        <f t="shared" si="81"/>
        <v>0</v>
      </c>
      <c r="DE113" s="2">
        <f t="shared" si="81"/>
        <v>0</v>
      </c>
      <c r="DF113" s="2">
        <f t="shared" si="81"/>
        <v>0</v>
      </c>
      <c r="DG113" s="3">
        <f t="shared" ref="DG113:EL113" si="82">DG120</f>
        <v>0</v>
      </c>
      <c r="DH113" s="3">
        <f t="shared" si="82"/>
        <v>0</v>
      </c>
      <c r="DI113" s="3">
        <f t="shared" si="82"/>
        <v>0</v>
      </c>
      <c r="DJ113" s="3">
        <f t="shared" si="82"/>
        <v>0</v>
      </c>
      <c r="DK113" s="3">
        <f t="shared" si="82"/>
        <v>0</v>
      </c>
      <c r="DL113" s="3">
        <f t="shared" si="82"/>
        <v>0</v>
      </c>
      <c r="DM113" s="3">
        <f t="shared" si="82"/>
        <v>0</v>
      </c>
      <c r="DN113" s="3">
        <f t="shared" si="82"/>
        <v>0</v>
      </c>
      <c r="DO113" s="3">
        <f t="shared" si="82"/>
        <v>0</v>
      </c>
      <c r="DP113" s="3">
        <f t="shared" si="82"/>
        <v>0</v>
      </c>
      <c r="DQ113" s="3">
        <f t="shared" si="82"/>
        <v>0</v>
      </c>
      <c r="DR113" s="3">
        <f t="shared" si="82"/>
        <v>0</v>
      </c>
      <c r="DS113" s="3">
        <f t="shared" si="82"/>
        <v>0</v>
      </c>
      <c r="DT113" s="3">
        <f t="shared" si="82"/>
        <v>0</v>
      </c>
      <c r="DU113" s="3">
        <f t="shared" si="82"/>
        <v>0</v>
      </c>
      <c r="DV113" s="3">
        <f t="shared" si="82"/>
        <v>0</v>
      </c>
      <c r="DW113" s="3">
        <f t="shared" si="82"/>
        <v>0</v>
      </c>
      <c r="DX113" s="3">
        <f t="shared" si="82"/>
        <v>0</v>
      </c>
      <c r="DY113" s="3">
        <f t="shared" si="82"/>
        <v>0</v>
      </c>
      <c r="DZ113" s="3">
        <f t="shared" si="82"/>
        <v>0</v>
      </c>
      <c r="EA113" s="3">
        <f t="shared" si="82"/>
        <v>0</v>
      </c>
      <c r="EB113" s="3">
        <f t="shared" si="82"/>
        <v>0</v>
      </c>
      <c r="EC113" s="3">
        <f t="shared" si="82"/>
        <v>0</v>
      </c>
      <c r="ED113" s="3">
        <f t="shared" si="82"/>
        <v>0</v>
      </c>
      <c r="EE113" s="3">
        <f t="shared" si="82"/>
        <v>0</v>
      </c>
      <c r="EF113" s="3">
        <f t="shared" si="82"/>
        <v>0</v>
      </c>
      <c r="EG113" s="3">
        <f t="shared" si="82"/>
        <v>0</v>
      </c>
      <c r="EH113" s="3">
        <f t="shared" si="82"/>
        <v>0</v>
      </c>
      <c r="EI113" s="3">
        <f t="shared" si="82"/>
        <v>0</v>
      </c>
      <c r="EJ113" s="3">
        <f t="shared" si="82"/>
        <v>0</v>
      </c>
      <c r="EK113" s="3">
        <f t="shared" si="82"/>
        <v>0</v>
      </c>
      <c r="EL113" s="3">
        <f t="shared" si="82"/>
        <v>0</v>
      </c>
      <c r="EM113" s="3">
        <f t="shared" ref="EM113:FR113" si="83">EM120</f>
        <v>0</v>
      </c>
      <c r="EN113" s="3">
        <f t="shared" si="83"/>
        <v>0</v>
      </c>
      <c r="EO113" s="3">
        <f t="shared" si="83"/>
        <v>0</v>
      </c>
      <c r="EP113" s="3">
        <f t="shared" si="83"/>
        <v>0</v>
      </c>
      <c r="EQ113" s="3">
        <f t="shared" si="83"/>
        <v>0</v>
      </c>
      <c r="ER113" s="3">
        <f t="shared" si="83"/>
        <v>0</v>
      </c>
      <c r="ES113" s="3">
        <f t="shared" si="83"/>
        <v>0</v>
      </c>
      <c r="ET113" s="3">
        <f t="shared" si="83"/>
        <v>0</v>
      </c>
      <c r="EU113" s="3">
        <f t="shared" si="83"/>
        <v>0</v>
      </c>
      <c r="EV113" s="3">
        <f t="shared" si="83"/>
        <v>0</v>
      </c>
      <c r="EW113" s="3">
        <f t="shared" si="83"/>
        <v>0</v>
      </c>
      <c r="EX113" s="3">
        <f t="shared" si="83"/>
        <v>0</v>
      </c>
      <c r="EY113" s="3">
        <f t="shared" si="83"/>
        <v>0</v>
      </c>
      <c r="EZ113" s="3">
        <f t="shared" si="83"/>
        <v>0</v>
      </c>
      <c r="FA113" s="3">
        <f t="shared" si="83"/>
        <v>0</v>
      </c>
      <c r="FB113" s="3">
        <f t="shared" si="83"/>
        <v>0</v>
      </c>
      <c r="FC113" s="3">
        <f t="shared" si="83"/>
        <v>0</v>
      </c>
      <c r="FD113" s="3">
        <f t="shared" si="83"/>
        <v>0</v>
      </c>
      <c r="FE113" s="3">
        <f t="shared" si="83"/>
        <v>0</v>
      </c>
      <c r="FF113" s="3">
        <f t="shared" si="83"/>
        <v>0</v>
      </c>
      <c r="FG113" s="3">
        <f t="shared" si="83"/>
        <v>0</v>
      </c>
      <c r="FH113" s="3">
        <f t="shared" si="83"/>
        <v>0</v>
      </c>
      <c r="FI113" s="3">
        <f t="shared" si="83"/>
        <v>0</v>
      </c>
      <c r="FJ113" s="3">
        <f t="shared" si="83"/>
        <v>0</v>
      </c>
      <c r="FK113" s="3">
        <f t="shared" si="83"/>
        <v>0</v>
      </c>
      <c r="FL113" s="3">
        <f t="shared" si="83"/>
        <v>0</v>
      </c>
      <c r="FM113" s="3">
        <f t="shared" si="83"/>
        <v>0</v>
      </c>
      <c r="FN113" s="3">
        <f t="shared" si="83"/>
        <v>0</v>
      </c>
      <c r="FO113" s="3">
        <f t="shared" si="83"/>
        <v>0</v>
      </c>
      <c r="FP113" s="3">
        <f t="shared" si="83"/>
        <v>0</v>
      </c>
      <c r="FQ113" s="3">
        <f t="shared" si="83"/>
        <v>0</v>
      </c>
      <c r="FR113" s="3">
        <f t="shared" si="83"/>
        <v>0</v>
      </c>
      <c r="FS113" s="3">
        <f t="shared" ref="FS113:GX113" si="84">FS120</f>
        <v>0</v>
      </c>
      <c r="FT113" s="3">
        <f t="shared" si="84"/>
        <v>0</v>
      </c>
      <c r="FU113" s="3">
        <f t="shared" si="84"/>
        <v>0</v>
      </c>
      <c r="FV113" s="3">
        <f t="shared" si="84"/>
        <v>0</v>
      </c>
      <c r="FW113" s="3">
        <f t="shared" si="84"/>
        <v>0</v>
      </c>
      <c r="FX113" s="3">
        <f t="shared" si="84"/>
        <v>0</v>
      </c>
      <c r="FY113" s="3">
        <f t="shared" si="84"/>
        <v>0</v>
      </c>
      <c r="FZ113" s="3">
        <f t="shared" si="84"/>
        <v>0</v>
      </c>
      <c r="GA113" s="3">
        <f t="shared" si="84"/>
        <v>0</v>
      </c>
      <c r="GB113" s="3">
        <f t="shared" si="84"/>
        <v>0</v>
      </c>
      <c r="GC113" s="3">
        <f t="shared" si="84"/>
        <v>0</v>
      </c>
      <c r="GD113" s="3">
        <f t="shared" si="84"/>
        <v>0</v>
      </c>
      <c r="GE113" s="3">
        <f t="shared" si="84"/>
        <v>0</v>
      </c>
      <c r="GF113" s="3">
        <f t="shared" si="84"/>
        <v>0</v>
      </c>
      <c r="GG113" s="3">
        <f t="shared" si="84"/>
        <v>0</v>
      </c>
      <c r="GH113" s="3">
        <f t="shared" si="84"/>
        <v>0</v>
      </c>
      <c r="GI113" s="3">
        <f t="shared" si="84"/>
        <v>0</v>
      </c>
      <c r="GJ113" s="3">
        <f t="shared" si="84"/>
        <v>0</v>
      </c>
      <c r="GK113" s="3">
        <f t="shared" si="84"/>
        <v>0</v>
      </c>
      <c r="GL113" s="3">
        <f t="shared" si="84"/>
        <v>0</v>
      </c>
      <c r="GM113" s="3">
        <f t="shared" si="84"/>
        <v>0</v>
      </c>
      <c r="GN113" s="3">
        <f t="shared" si="84"/>
        <v>0</v>
      </c>
      <c r="GO113" s="3">
        <f t="shared" si="84"/>
        <v>0</v>
      </c>
      <c r="GP113" s="3">
        <f t="shared" si="84"/>
        <v>0</v>
      </c>
      <c r="GQ113" s="3">
        <f t="shared" si="84"/>
        <v>0</v>
      </c>
      <c r="GR113" s="3">
        <f t="shared" si="84"/>
        <v>0</v>
      </c>
      <c r="GS113" s="3">
        <f t="shared" si="84"/>
        <v>0</v>
      </c>
      <c r="GT113" s="3">
        <f t="shared" si="84"/>
        <v>0</v>
      </c>
      <c r="GU113" s="3">
        <f t="shared" si="84"/>
        <v>0</v>
      </c>
      <c r="GV113" s="3">
        <f t="shared" si="84"/>
        <v>0</v>
      </c>
      <c r="GW113" s="3">
        <f t="shared" si="84"/>
        <v>0</v>
      </c>
      <c r="GX113" s="3">
        <f t="shared" si="84"/>
        <v>0</v>
      </c>
    </row>
    <row r="115" spans="1:245">
      <c r="A115">
        <v>17</v>
      </c>
      <c r="B115">
        <v>1</v>
      </c>
      <c r="C115">
        <f>ROW(SmtRes!A91)</f>
        <v>91</v>
      </c>
      <c r="D115">
        <f>ROW(EtalonRes!A87)</f>
        <v>87</v>
      </c>
      <c r="E115" t="s">
        <v>69</v>
      </c>
      <c r="F115" t="s">
        <v>151</v>
      </c>
      <c r="G115" t="s">
        <v>152</v>
      </c>
      <c r="H115" t="s">
        <v>153</v>
      </c>
      <c r="I115">
        <f>ROUND(6/100,9)</f>
        <v>0.06</v>
      </c>
      <c r="J115">
        <v>0</v>
      </c>
      <c r="O115">
        <f>ROUND(CP115,2)</f>
        <v>342.35</v>
      </c>
      <c r="P115">
        <f>ROUND(CQ115*I115,2)</f>
        <v>20.63</v>
      </c>
      <c r="Q115">
        <f>ROUND(CR115*I115,2)</f>
        <v>21.78</v>
      </c>
      <c r="R115">
        <f>ROUND(CS115*I115,2)</f>
        <v>4.8</v>
      </c>
      <c r="S115">
        <f>ROUND(CT115*I115,2)</f>
        <v>299.94</v>
      </c>
      <c r="T115">
        <f>ROUND(CU115*I115,2)</f>
        <v>0</v>
      </c>
      <c r="U115">
        <f>CV115*I115</f>
        <v>0.96960000000000002</v>
      </c>
      <c r="V115">
        <f>CW115*I115</f>
        <v>1.0799999999999999E-2</v>
      </c>
      <c r="W115">
        <f>ROUND(CX115*I115,2)</f>
        <v>0</v>
      </c>
      <c r="X115">
        <f t="shared" ref="X115:Y118" si="85">ROUND(CY115,2)</f>
        <v>289.5</v>
      </c>
      <c r="Y115">
        <f t="shared" si="85"/>
        <v>198.08</v>
      </c>
      <c r="AA115">
        <v>33806715</v>
      </c>
      <c r="AB115">
        <f>ROUND((AC115+AD115+AF115),6)</f>
        <v>256.35000000000002</v>
      </c>
      <c r="AC115">
        <f>ROUND((ES115),6)</f>
        <v>64.52</v>
      </c>
      <c r="AD115">
        <f>ROUND((((ET115)-(EU115))+AE115),6)</f>
        <v>39.93</v>
      </c>
      <c r="AE115">
        <f>ROUND((EU115),6)</f>
        <v>2.4300000000000002</v>
      </c>
      <c r="AF115">
        <f>ROUND((EV115),6)</f>
        <v>151.9</v>
      </c>
      <c r="AG115">
        <f>ROUND((AP115),6)</f>
        <v>0</v>
      </c>
      <c r="AH115">
        <f>(EW115)</f>
        <v>16.16</v>
      </c>
      <c r="AI115">
        <f>(EX115)</f>
        <v>0.18</v>
      </c>
      <c r="AJ115">
        <f>(AS115)</f>
        <v>0</v>
      </c>
      <c r="AK115">
        <v>256.35000000000002</v>
      </c>
      <c r="AL115">
        <v>64.52</v>
      </c>
      <c r="AM115">
        <v>39.93</v>
      </c>
      <c r="AN115">
        <v>2.4300000000000002</v>
      </c>
      <c r="AO115">
        <v>151.9</v>
      </c>
      <c r="AP115">
        <v>0</v>
      </c>
      <c r="AQ115">
        <v>16.16</v>
      </c>
      <c r="AR115">
        <v>0.18</v>
      </c>
      <c r="AS115">
        <v>0</v>
      </c>
      <c r="AT115">
        <v>95</v>
      </c>
      <c r="AU115">
        <v>65</v>
      </c>
      <c r="AV115">
        <v>1</v>
      </c>
      <c r="AW115">
        <v>1</v>
      </c>
      <c r="AZ115">
        <v>1</v>
      </c>
      <c r="BA115">
        <v>32.909999999999997</v>
      </c>
      <c r="BB115">
        <v>9.09</v>
      </c>
      <c r="BC115">
        <v>5.33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2</v>
      </c>
      <c r="BJ115" t="s">
        <v>154</v>
      </c>
      <c r="BM115">
        <v>108001</v>
      </c>
      <c r="BN115">
        <v>0</v>
      </c>
      <c r="BO115" t="s">
        <v>151</v>
      </c>
      <c r="BP115">
        <v>1</v>
      </c>
      <c r="BQ115">
        <v>3</v>
      </c>
      <c r="BR115">
        <v>0</v>
      </c>
      <c r="BS115">
        <v>32.909999999999997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95</v>
      </c>
      <c r="CA115">
        <v>65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>(P115+Q115+S115)</f>
        <v>342.35</v>
      </c>
      <c r="CQ115">
        <f>AC115*BC115</f>
        <v>343.89159999999998</v>
      </c>
      <c r="CR115">
        <f>AD115*BB115</f>
        <v>362.96370000000002</v>
      </c>
      <c r="CS115">
        <f>AE115*BS115</f>
        <v>79.971299999999999</v>
      </c>
      <c r="CT115">
        <f>AF115*BA115</f>
        <v>4999.0289999999995</v>
      </c>
      <c r="CU115">
        <f t="shared" ref="CU115:CX118" si="86">AG115</f>
        <v>0</v>
      </c>
      <c r="CV115">
        <f t="shared" si="86"/>
        <v>16.16</v>
      </c>
      <c r="CW115">
        <f t="shared" si="86"/>
        <v>0.18</v>
      </c>
      <c r="CX115">
        <f t="shared" si="86"/>
        <v>0</v>
      </c>
      <c r="CY115">
        <f>(((S115+R115)*AT115)/100)</f>
        <v>289.50299999999999</v>
      </c>
      <c r="CZ115">
        <f>(((S115+R115)*AU115)/100)</f>
        <v>198.08100000000002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153</v>
      </c>
      <c r="DW115" t="s">
        <v>153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35525962</v>
      </c>
      <c r="EF115">
        <v>3</v>
      </c>
      <c r="EG115" t="s">
        <v>120</v>
      </c>
      <c r="EH115">
        <v>0</v>
      </c>
      <c r="EI115" t="s">
        <v>3</v>
      </c>
      <c r="EJ115">
        <v>2</v>
      </c>
      <c r="EK115">
        <v>108001</v>
      </c>
      <c r="EL115" t="s">
        <v>121</v>
      </c>
      <c r="EM115" t="s">
        <v>122</v>
      </c>
      <c r="EO115" t="s">
        <v>3</v>
      </c>
      <c r="EQ115">
        <v>0</v>
      </c>
      <c r="ER115">
        <v>256.35000000000002</v>
      </c>
      <c r="ES115">
        <v>64.52</v>
      </c>
      <c r="ET115">
        <v>39.93</v>
      </c>
      <c r="EU115">
        <v>2.4300000000000002</v>
      </c>
      <c r="EV115">
        <v>151.9</v>
      </c>
      <c r="EW115">
        <v>16.16</v>
      </c>
      <c r="EX115">
        <v>0.18</v>
      </c>
      <c r="EY115">
        <v>0</v>
      </c>
      <c r="FQ115">
        <v>0</v>
      </c>
      <c r="FR115">
        <f>ROUND(IF(AND(BH115=3,BI115=3),P115,0),2)</f>
        <v>0</v>
      </c>
      <c r="FS115">
        <v>0</v>
      </c>
      <c r="FX115">
        <v>95</v>
      </c>
      <c r="FY115">
        <v>65</v>
      </c>
      <c r="GA115" t="s">
        <v>3</v>
      </c>
      <c r="GD115">
        <v>1</v>
      </c>
      <c r="GF115">
        <v>-1794243732</v>
      </c>
      <c r="GG115">
        <v>2</v>
      </c>
      <c r="GH115">
        <v>1</v>
      </c>
      <c r="GI115">
        <v>2</v>
      </c>
      <c r="GJ115">
        <v>0</v>
      </c>
      <c r="GK115">
        <v>0</v>
      </c>
      <c r="GL115">
        <f>ROUND(IF(AND(BH115=3,BI115=3,FS115&lt;&gt;0),P115,0),2)</f>
        <v>0</v>
      </c>
      <c r="GM115">
        <f>ROUND(O115+X115+Y115,2)+GX115</f>
        <v>829.93</v>
      </c>
      <c r="GN115">
        <f>IF(OR(BI115=0,BI115=1),ROUND(O115+X115+Y115,2),0)</f>
        <v>0</v>
      </c>
      <c r="GO115">
        <f>IF(BI115=2,ROUND(O115+X115+Y115,2),0)</f>
        <v>829.93</v>
      </c>
      <c r="GP115">
        <f>IF(BI115=4,ROUND(O115+X115+Y115,2)+GX115,0)</f>
        <v>0</v>
      </c>
      <c r="GR115">
        <v>0</v>
      </c>
      <c r="GS115">
        <v>3</v>
      </c>
      <c r="GT115">
        <v>0</v>
      </c>
      <c r="GU115" t="s">
        <v>3</v>
      </c>
      <c r="GV115">
        <f>ROUND((GT115),6)</f>
        <v>0</v>
      </c>
      <c r="GW115">
        <v>1</v>
      </c>
      <c r="GX115">
        <f>ROUND(HC115*I115,2)</f>
        <v>0</v>
      </c>
      <c r="HA115">
        <v>0</v>
      </c>
      <c r="HB115">
        <v>0</v>
      </c>
      <c r="HC115">
        <f>GV115*GW115</f>
        <v>0</v>
      </c>
      <c r="HE115" t="s">
        <v>3</v>
      </c>
      <c r="HF115" t="s">
        <v>3</v>
      </c>
      <c r="IK115">
        <v>0</v>
      </c>
    </row>
    <row r="116" spans="1:245">
      <c r="A116">
        <v>18</v>
      </c>
      <c r="B116">
        <v>1</v>
      </c>
      <c r="C116">
        <v>90</v>
      </c>
      <c r="E116" t="s">
        <v>81</v>
      </c>
      <c r="F116" t="s">
        <v>155</v>
      </c>
      <c r="G116" t="s">
        <v>156</v>
      </c>
      <c r="H116" t="s">
        <v>157</v>
      </c>
      <c r="I116">
        <f>I115*J116</f>
        <v>6.0000000000000001E-3</v>
      </c>
      <c r="J116">
        <v>0.1</v>
      </c>
      <c r="O116">
        <f>ROUND(CP116,2)</f>
        <v>191.95</v>
      </c>
      <c r="P116">
        <f>ROUND(CQ116*I116,2)</f>
        <v>191.95</v>
      </c>
      <c r="Q116">
        <f>ROUND(CR116*I116,2)</f>
        <v>0</v>
      </c>
      <c r="R116">
        <f>ROUND(CS116*I116,2)</f>
        <v>0</v>
      </c>
      <c r="S116">
        <f>ROUND(CT116*I116,2)</f>
        <v>0</v>
      </c>
      <c r="T116">
        <f>ROUND(CU116*I116,2)</f>
        <v>0</v>
      </c>
      <c r="U116">
        <f>CV116*I116</f>
        <v>0</v>
      </c>
      <c r="V116">
        <f>CW116*I116</f>
        <v>0</v>
      </c>
      <c r="W116">
        <f>ROUND(CX116*I116,2)</f>
        <v>0.36</v>
      </c>
      <c r="X116">
        <f t="shared" si="85"/>
        <v>0</v>
      </c>
      <c r="Y116">
        <f t="shared" si="85"/>
        <v>0</v>
      </c>
      <c r="AA116">
        <v>33806715</v>
      </c>
      <c r="AB116">
        <f>ROUND((AC116+AD116+AF116),6)</f>
        <v>3090.95</v>
      </c>
      <c r="AC116">
        <f>ROUND((ES116),6)</f>
        <v>3090.95</v>
      </c>
      <c r="AD116">
        <f>ROUND((((ET116)-(EU116))+AE116),6)</f>
        <v>0</v>
      </c>
      <c r="AE116">
        <f>ROUND((EU116),6)</f>
        <v>0</v>
      </c>
      <c r="AF116">
        <f>ROUND((EV116),6)</f>
        <v>0</v>
      </c>
      <c r="AG116">
        <f>ROUND((AP116),6)</f>
        <v>0</v>
      </c>
      <c r="AH116">
        <f>(EW116)</f>
        <v>0</v>
      </c>
      <c r="AI116">
        <f>(EX116)</f>
        <v>0</v>
      </c>
      <c r="AJ116">
        <f>(AS116)</f>
        <v>59.42</v>
      </c>
      <c r="AK116">
        <v>3090.95</v>
      </c>
      <c r="AL116">
        <v>3090.95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59.42</v>
      </c>
      <c r="AT116">
        <v>95</v>
      </c>
      <c r="AU116">
        <v>65</v>
      </c>
      <c r="AV116">
        <v>1</v>
      </c>
      <c r="AW116">
        <v>1</v>
      </c>
      <c r="AZ116">
        <v>1</v>
      </c>
      <c r="BA116">
        <v>1</v>
      </c>
      <c r="BB116">
        <v>1</v>
      </c>
      <c r="BC116">
        <v>10.35</v>
      </c>
      <c r="BD116" t="s">
        <v>3</v>
      </c>
      <c r="BE116" t="s">
        <v>3</v>
      </c>
      <c r="BF116" t="s">
        <v>3</v>
      </c>
      <c r="BG116" t="s">
        <v>3</v>
      </c>
      <c r="BH116">
        <v>3</v>
      </c>
      <c r="BI116">
        <v>2</v>
      </c>
      <c r="BJ116" t="s">
        <v>158</v>
      </c>
      <c r="BM116">
        <v>108001</v>
      </c>
      <c r="BN116">
        <v>0</v>
      </c>
      <c r="BO116" t="s">
        <v>155</v>
      </c>
      <c r="BP116">
        <v>1</v>
      </c>
      <c r="BQ116">
        <v>3</v>
      </c>
      <c r="BR116">
        <v>0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95</v>
      </c>
      <c r="CA116">
        <v>65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>
        <f>(P116+Q116+S116)</f>
        <v>191.95</v>
      </c>
      <c r="CQ116">
        <f>AC116*BC116</f>
        <v>31991.332499999997</v>
      </c>
      <c r="CR116">
        <f>AD116*BB116</f>
        <v>0</v>
      </c>
      <c r="CS116">
        <f>AE116*BS116</f>
        <v>0</v>
      </c>
      <c r="CT116">
        <f>AF116*BA116</f>
        <v>0</v>
      </c>
      <c r="CU116">
        <f t="shared" si="86"/>
        <v>0</v>
      </c>
      <c r="CV116">
        <f t="shared" si="86"/>
        <v>0</v>
      </c>
      <c r="CW116">
        <f t="shared" si="86"/>
        <v>0</v>
      </c>
      <c r="CX116">
        <f t="shared" si="86"/>
        <v>59.42</v>
      </c>
      <c r="CY116">
        <f>(((S116+R116)*AT116)/100)</f>
        <v>0</v>
      </c>
      <c r="CZ116">
        <f>(((S116+R116)*AU116)/100)</f>
        <v>0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1013</v>
      </c>
      <c r="DV116" t="s">
        <v>157</v>
      </c>
      <c r="DW116" t="s">
        <v>159</v>
      </c>
      <c r="DX116">
        <v>1</v>
      </c>
      <c r="DZ116" t="s">
        <v>3</v>
      </c>
      <c r="EA116" t="s">
        <v>3</v>
      </c>
      <c r="EB116" t="s">
        <v>3</v>
      </c>
      <c r="EC116" t="s">
        <v>3</v>
      </c>
      <c r="EE116">
        <v>35525962</v>
      </c>
      <c r="EF116">
        <v>3</v>
      </c>
      <c r="EG116" t="s">
        <v>120</v>
      </c>
      <c r="EH116">
        <v>0</v>
      </c>
      <c r="EI116" t="s">
        <v>3</v>
      </c>
      <c r="EJ116">
        <v>2</v>
      </c>
      <c r="EK116">
        <v>108001</v>
      </c>
      <c r="EL116" t="s">
        <v>121</v>
      </c>
      <c r="EM116" t="s">
        <v>122</v>
      </c>
      <c r="EO116" t="s">
        <v>3</v>
      </c>
      <c r="EQ116">
        <v>0</v>
      </c>
      <c r="ER116">
        <v>3090.95</v>
      </c>
      <c r="ES116">
        <v>3090.95</v>
      </c>
      <c r="ET116">
        <v>0</v>
      </c>
      <c r="EU116">
        <v>0</v>
      </c>
      <c r="EV116">
        <v>0</v>
      </c>
      <c r="EW116">
        <v>0</v>
      </c>
      <c r="EX116">
        <v>0</v>
      </c>
      <c r="FQ116">
        <v>0</v>
      </c>
      <c r="FR116">
        <f>ROUND(IF(AND(BH116=3,BI116=3),P116,0),2)</f>
        <v>0</v>
      </c>
      <c r="FS116">
        <v>0</v>
      </c>
      <c r="FX116">
        <v>95</v>
      </c>
      <c r="FY116">
        <v>65</v>
      </c>
      <c r="GA116" t="s">
        <v>3</v>
      </c>
      <c r="GD116">
        <v>1</v>
      </c>
      <c r="GF116">
        <v>-941243289</v>
      </c>
      <c r="GG116">
        <v>2</v>
      </c>
      <c r="GH116">
        <v>1</v>
      </c>
      <c r="GI116">
        <v>2</v>
      </c>
      <c r="GJ116">
        <v>0</v>
      </c>
      <c r="GK116">
        <v>0</v>
      </c>
      <c r="GL116">
        <f>ROUND(IF(AND(BH116=3,BI116=3,FS116&lt;&gt;0),P116,0),2)</f>
        <v>0</v>
      </c>
      <c r="GM116">
        <f>ROUND(O116+X116+Y116,2)+GX116</f>
        <v>191.95</v>
      </c>
      <c r="GN116">
        <f>IF(OR(BI116=0,BI116=1),ROUND(O116+X116+Y116,2),0)</f>
        <v>0</v>
      </c>
      <c r="GO116">
        <f>IF(BI116=2,ROUND(O116+X116+Y116,2),0)</f>
        <v>191.95</v>
      </c>
      <c r="GP116">
        <f>IF(BI116=4,ROUND(O116+X116+Y116,2)+GX116,0)</f>
        <v>0</v>
      </c>
      <c r="GR116">
        <v>0</v>
      </c>
      <c r="GS116">
        <v>3</v>
      </c>
      <c r="GT116">
        <v>0</v>
      </c>
      <c r="GU116" t="s">
        <v>3</v>
      </c>
      <c r="GV116">
        <f>ROUND((GT116),6)</f>
        <v>0</v>
      </c>
      <c r="GW116">
        <v>1</v>
      </c>
      <c r="GX116">
        <f>ROUND(HC116*I116,2)</f>
        <v>0</v>
      </c>
      <c r="HA116">
        <v>0</v>
      </c>
      <c r="HB116">
        <v>0</v>
      </c>
      <c r="HC116">
        <f>GV116*GW116</f>
        <v>0</v>
      </c>
      <c r="HE116" t="s">
        <v>3</v>
      </c>
      <c r="HF116" t="s">
        <v>3</v>
      </c>
      <c r="IK116">
        <v>0</v>
      </c>
    </row>
    <row r="117" spans="1:245">
      <c r="A117">
        <v>17</v>
      </c>
      <c r="B117">
        <v>1</v>
      </c>
      <c r="C117">
        <f>ROW(SmtRes!A98)</f>
        <v>98</v>
      </c>
      <c r="D117">
        <f>ROW(EtalonRes!A93)</f>
        <v>93</v>
      </c>
      <c r="E117" t="s">
        <v>145</v>
      </c>
      <c r="F117" t="s">
        <v>160</v>
      </c>
      <c r="G117" t="s">
        <v>161</v>
      </c>
      <c r="H117" t="s">
        <v>162</v>
      </c>
      <c r="I117">
        <f>ROUND(5/100,9)</f>
        <v>0.05</v>
      </c>
      <c r="J117">
        <v>0</v>
      </c>
      <c r="O117">
        <f>ROUND(CP117,2)</f>
        <v>3441.78</v>
      </c>
      <c r="P117">
        <f>ROUND(CQ117*I117,2)</f>
        <v>1332.36</v>
      </c>
      <c r="Q117">
        <f>ROUND(CR117*I117,2)</f>
        <v>286.88</v>
      </c>
      <c r="R117">
        <f>ROUND(CS117*I117,2)</f>
        <v>21.1</v>
      </c>
      <c r="S117">
        <f>ROUND(CT117*I117,2)</f>
        <v>1822.54</v>
      </c>
      <c r="T117">
        <f>ROUND(CU117*I117,2)</f>
        <v>0</v>
      </c>
      <c r="U117">
        <f>CV117*I117</f>
        <v>5.891449999999999</v>
      </c>
      <c r="V117">
        <f>CW117*I117</f>
        <v>4.7500000000000001E-2</v>
      </c>
      <c r="W117">
        <f>ROUND(CX117*I117,2)</f>
        <v>0</v>
      </c>
      <c r="X117">
        <f t="shared" si="85"/>
        <v>1751.46</v>
      </c>
      <c r="Y117">
        <f t="shared" si="85"/>
        <v>866.51</v>
      </c>
      <c r="AA117">
        <v>33806715</v>
      </c>
      <c r="AB117">
        <f>ROUND((AC117+AD117+AF117),6)</f>
        <v>7000.2254999999996</v>
      </c>
      <c r="AC117">
        <f>ROUND((ES117),6)</f>
        <v>5350.85</v>
      </c>
      <c r="AD117">
        <f>ROUND(((((ET117*1.25))-((EU117*1.25)))+AE117),6)</f>
        <v>541.78750000000002</v>
      </c>
      <c r="AE117">
        <f>ROUND(((EU117*1.25)),6)</f>
        <v>12.824999999999999</v>
      </c>
      <c r="AF117">
        <f>ROUND(((EV117*1.15)),6)</f>
        <v>1107.588</v>
      </c>
      <c r="AG117">
        <f>ROUND((AP117),6)</f>
        <v>0</v>
      </c>
      <c r="AH117">
        <f>((EW117*1.15))</f>
        <v>117.82899999999998</v>
      </c>
      <c r="AI117">
        <f>((EX117*1.25))</f>
        <v>0.95</v>
      </c>
      <c r="AJ117">
        <f>(AS117)</f>
        <v>0</v>
      </c>
      <c r="AK117">
        <v>6747.4</v>
      </c>
      <c r="AL117">
        <v>5350.85</v>
      </c>
      <c r="AM117">
        <v>433.43</v>
      </c>
      <c r="AN117">
        <v>10.26</v>
      </c>
      <c r="AO117">
        <v>963.12</v>
      </c>
      <c r="AP117">
        <v>0</v>
      </c>
      <c r="AQ117">
        <v>102.46</v>
      </c>
      <c r="AR117">
        <v>0.76</v>
      </c>
      <c r="AS117">
        <v>0</v>
      </c>
      <c r="AT117">
        <v>95</v>
      </c>
      <c r="AU117">
        <v>47</v>
      </c>
      <c r="AV117">
        <v>1</v>
      </c>
      <c r="AW117">
        <v>1</v>
      </c>
      <c r="AZ117">
        <v>1</v>
      </c>
      <c r="BA117">
        <v>32.909999999999997</v>
      </c>
      <c r="BB117">
        <v>10.59</v>
      </c>
      <c r="BC117">
        <v>4.9800000000000004</v>
      </c>
      <c r="BD117" t="s">
        <v>3</v>
      </c>
      <c r="BE117" t="s">
        <v>3</v>
      </c>
      <c r="BF117" t="s">
        <v>3</v>
      </c>
      <c r="BG117" t="s">
        <v>3</v>
      </c>
      <c r="BH117">
        <v>0</v>
      </c>
      <c r="BI117">
        <v>1</v>
      </c>
      <c r="BJ117" t="s">
        <v>163</v>
      </c>
      <c r="BM117">
        <v>15001</v>
      </c>
      <c r="BN117">
        <v>0</v>
      </c>
      <c r="BO117" t="s">
        <v>160</v>
      </c>
      <c r="BP117">
        <v>1</v>
      </c>
      <c r="BQ117">
        <v>2</v>
      </c>
      <c r="BR117">
        <v>0</v>
      </c>
      <c r="BS117">
        <v>32.909999999999997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105</v>
      </c>
      <c r="CA117">
        <v>55</v>
      </c>
      <c r="CE117">
        <v>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>(P117+Q117+S117)</f>
        <v>3441.7799999999997</v>
      </c>
      <c r="CQ117">
        <f>AC117*BC117</f>
        <v>26647.233000000004</v>
      </c>
      <c r="CR117">
        <f>AD117*BB117</f>
        <v>5737.5296250000001</v>
      </c>
      <c r="CS117">
        <f>AE117*BS117</f>
        <v>422.07074999999992</v>
      </c>
      <c r="CT117">
        <f>AF117*BA117</f>
        <v>36450.721079999996</v>
      </c>
      <c r="CU117">
        <f t="shared" si="86"/>
        <v>0</v>
      </c>
      <c r="CV117">
        <f t="shared" si="86"/>
        <v>117.82899999999998</v>
      </c>
      <c r="CW117">
        <f t="shared" si="86"/>
        <v>0.95</v>
      </c>
      <c r="CX117">
        <f t="shared" si="86"/>
        <v>0</v>
      </c>
      <c r="CY117">
        <f>(((S117+R117)*AT117)/100)</f>
        <v>1751.4579999999999</v>
      </c>
      <c r="CZ117">
        <f>(((S117+R117)*AU117)/100)</f>
        <v>866.5107999999999</v>
      </c>
      <c r="DC117" t="s">
        <v>3</v>
      </c>
      <c r="DD117" t="s">
        <v>3</v>
      </c>
      <c r="DE117" t="s">
        <v>74</v>
      </c>
      <c r="DF117" t="s">
        <v>74</v>
      </c>
      <c r="DG117" t="s">
        <v>75</v>
      </c>
      <c r="DH117" t="s">
        <v>3</v>
      </c>
      <c r="DI117" t="s">
        <v>75</v>
      </c>
      <c r="DJ117" t="s">
        <v>74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1013</v>
      </c>
      <c r="DV117" t="s">
        <v>162</v>
      </c>
      <c r="DW117" t="s">
        <v>162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35526105</v>
      </c>
      <c r="EF117">
        <v>2</v>
      </c>
      <c r="EG117" t="s">
        <v>76</v>
      </c>
      <c r="EH117">
        <v>0</v>
      </c>
      <c r="EI117" t="s">
        <v>3</v>
      </c>
      <c r="EJ117">
        <v>1</v>
      </c>
      <c r="EK117">
        <v>15001</v>
      </c>
      <c r="EL117" t="s">
        <v>164</v>
      </c>
      <c r="EM117" t="s">
        <v>165</v>
      </c>
      <c r="EO117" t="s">
        <v>3</v>
      </c>
      <c r="EQ117">
        <v>0</v>
      </c>
      <c r="ER117">
        <v>6747.4</v>
      </c>
      <c r="ES117">
        <v>5350.85</v>
      </c>
      <c r="ET117">
        <v>433.43</v>
      </c>
      <c r="EU117">
        <v>10.26</v>
      </c>
      <c r="EV117">
        <v>963.12</v>
      </c>
      <c r="EW117">
        <v>102.46</v>
      </c>
      <c r="EX117">
        <v>0.76</v>
      </c>
      <c r="EY117">
        <v>0</v>
      </c>
      <c r="FQ117">
        <v>0</v>
      </c>
      <c r="FR117">
        <f>ROUND(IF(AND(BH117=3,BI117=3),P117,0),2)</f>
        <v>0</v>
      </c>
      <c r="FS117">
        <v>0</v>
      </c>
      <c r="FT117" t="s">
        <v>79</v>
      </c>
      <c r="FU117" t="s">
        <v>80</v>
      </c>
      <c r="FX117">
        <v>94.5</v>
      </c>
      <c r="FY117">
        <v>46.75</v>
      </c>
      <c r="GA117" t="s">
        <v>3</v>
      </c>
      <c r="GD117">
        <v>1</v>
      </c>
      <c r="GF117">
        <v>-1218928354</v>
      </c>
      <c r="GG117">
        <v>2</v>
      </c>
      <c r="GH117">
        <v>1</v>
      </c>
      <c r="GI117">
        <v>2</v>
      </c>
      <c r="GJ117">
        <v>0</v>
      </c>
      <c r="GK117">
        <v>0</v>
      </c>
      <c r="GL117">
        <f>ROUND(IF(AND(BH117=3,BI117=3,FS117&lt;&gt;0),P117,0),2)</f>
        <v>0</v>
      </c>
      <c r="GM117">
        <f>ROUND(O117+X117+Y117,2)+GX117</f>
        <v>6059.75</v>
      </c>
      <c r="GN117">
        <f>IF(OR(BI117=0,BI117=1),ROUND(O117+X117+Y117,2),0)</f>
        <v>6059.75</v>
      </c>
      <c r="GO117">
        <f>IF(BI117=2,ROUND(O117+X117+Y117,2),0)</f>
        <v>0</v>
      </c>
      <c r="GP117">
        <f>IF(BI117=4,ROUND(O117+X117+Y117,2)+GX117,0)</f>
        <v>0</v>
      </c>
      <c r="GR117">
        <v>0</v>
      </c>
      <c r="GS117">
        <v>3</v>
      </c>
      <c r="GT117">
        <v>0</v>
      </c>
      <c r="GU117" t="s">
        <v>3</v>
      </c>
      <c r="GV117">
        <f>ROUND((GT117),6)</f>
        <v>0</v>
      </c>
      <c r="GW117">
        <v>1</v>
      </c>
      <c r="GX117">
        <f>ROUND(HC117*I117,2)</f>
        <v>0</v>
      </c>
      <c r="HA117">
        <v>0</v>
      </c>
      <c r="HB117">
        <v>0</v>
      </c>
      <c r="HC117">
        <f>GV117*GW117</f>
        <v>0</v>
      </c>
      <c r="HE117" t="s">
        <v>3</v>
      </c>
      <c r="HF117" t="s">
        <v>3</v>
      </c>
      <c r="IK117">
        <v>0</v>
      </c>
    </row>
    <row r="118" spans="1:245">
      <c r="A118">
        <v>18</v>
      </c>
      <c r="B118">
        <v>1</v>
      </c>
      <c r="C118">
        <v>98</v>
      </c>
      <c r="E118" t="s">
        <v>166</v>
      </c>
      <c r="F118" t="s">
        <v>167</v>
      </c>
      <c r="G118" t="s">
        <v>168</v>
      </c>
      <c r="H118" t="s">
        <v>143</v>
      </c>
      <c r="I118">
        <f>I117*J118</f>
        <v>5</v>
      </c>
      <c r="J118">
        <v>100</v>
      </c>
      <c r="O118">
        <f>ROUND(CP118,2)</f>
        <v>1293.56</v>
      </c>
      <c r="P118">
        <f>ROUND(CQ118*I118,2)</f>
        <v>1293.56</v>
      </c>
      <c r="Q118">
        <f>ROUND(CR118*I118,2)</f>
        <v>0</v>
      </c>
      <c r="R118">
        <f>ROUND(CS118*I118,2)</f>
        <v>0</v>
      </c>
      <c r="S118">
        <f>ROUND(CT118*I118,2)</f>
        <v>0</v>
      </c>
      <c r="T118">
        <f>ROUND(CU118*I118,2)</f>
        <v>0</v>
      </c>
      <c r="U118">
        <f>CV118*I118</f>
        <v>0</v>
      </c>
      <c r="V118">
        <f>CW118*I118</f>
        <v>0</v>
      </c>
      <c r="W118">
        <f>ROUND(CX118*I118,2)</f>
        <v>11.9</v>
      </c>
      <c r="X118">
        <f t="shared" si="85"/>
        <v>0</v>
      </c>
      <c r="Y118">
        <f t="shared" si="85"/>
        <v>0</v>
      </c>
      <c r="AA118">
        <v>33806715</v>
      </c>
      <c r="AB118">
        <f>ROUND((AC118+AD118+AF118),6)</f>
        <v>51.95</v>
      </c>
      <c r="AC118">
        <f>ROUND((ES118),6)</f>
        <v>51.95</v>
      </c>
      <c r="AD118">
        <f>ROUND((((ET118)-(EU118))+AE118),6)</f>
        <v>0</v>
      </c>
      <c r="AE118">
        <f>ROUND((EU118),6)</f>
        <v>0</v>
      </c>
      <c r="AF118">
        <f>ROUND((EV118),6)</f>
        <v>0</v>
      </c>
      <c r="AG118">
        <f>ROUND((AP118),6)</f>
        <v>0</v>
      </c>
      <c r="AH118">
        <f>(EW118)</f>
        <v>0</v>
      </c>
      <c r="AI118">
        <f>(EX118)</f>
        <v>0</v>
      </c>
      <c r="AJ118">
        <f>(AS118)</f>
        <v>2.38</v>
      </c>
      <c r="AK118">
        <v>51.95</v>
      </c>
      <c r="AL118">
        <v>51.95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2.38</v>
      </c>
      <c r="AT118">
        <v>95</v>
      </c>
      <c r="AU118">
        <v>47</v>
      </c>
      <c r="AV118">
        <v>1</v>
      </c>
      <c r="AW118">
        <v>1</v>
      </c>
      <c r="AZ118">
        <v>1</v>
      </c>
      <c r="BA118">
        <v>1</v>
      </c>
      <c r="BB118">
        <v>1</v>
      </c>
      <c r="BC118">
        <v>4.9800000000000004</v>
      </c>
      <c r="BD118" t="s">
        <v>3</v>
      </c>
      <c r="BE118" t="s">
        <v>3</v>
      </c>
      <c r="BF118" t="s">
        <v>3</v>
      </c>
      <c r="BG118" t="s">
        <v>3</v>
      </c>
      <c r="BH118">
        <v>3</v>
      </c>
      <c r="BI118">
        <v>1</v>
      </c>
      <c r="BJ118" t="s">
        <v>169</v>
      </c>
      <c r="BM118">
        <v>15001</v>
      </c>
      <c r="BN118">
        <v>0</v>
      </c>
      <c r="BO118" t="s">
        <v>167</v>
      </c>
      <c r="BP118">
        <v>1</v>
      </c>
      <c r="BQ118">
        <v>2</v>
      </c>
      <c r="BR118">
        <v>0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 t="s">
        <v>3</v>
      </c>
      <c r="BZ118">
        <v>105</v>
      </c>
      <c r="CA118">
        <v>55</v>
      </c>
      <c r="CE118">
        <v>0</v>
      </c>
      <c r="CF118">
        <v>0</v>
      </c>
      <c r="CG118">
        <v>0</v>
      </c>
      <c r="CM118">
        <v>0</v>
      </c>
      <c r="CN118" t="s">
        <v>3</v>
      </c>
      <c r="CO118">
        <v>0</v>
      </c>
      <c r="CP118">
        <f>(P118+Q118+S118)</f>
        <v>1293.56</v>
      </c>
      <c r="CQ118">
        <f>AC118*BC118</f>
        <v>258.71100000000001</v>
      </c>
      <c r="CR118">
        <f>AD118*BB118</f>
        <v>0</v>
      </c>
      <c r="CS118">
        <f>AE118*BS118</f>
        <v>0</v>
      </c>
      <c r="CT118">
        <f>AF118*BA118</f>
        <v>0</v>
      </c>
      <c r="CU118">
        <f t="shared" si="86"/>
        <v>0</v>
      </c>
      <c r="CV118">
        <f t="shared" si="86"/>
        <v>0</v>
      </c>
      <c r="CW118">
        <f t="shared" si="86"/>
        <v>0</v>
      </c>
      <c r="CX118">
        <f t="shared" si="86"/>
        <v>2.38</v>
      </c>
      <c r="CY118">
        <f>(((S118+R118)*AT118)/100)</f>
        <v>0</v>
      </c>
      <c r="CZ118">
        <f>(((S118+R118)*AU118)/100)</f>
        <v>0</v>
      </c>
      <c r="DC118" t="s">
        <v>3</v>
      </c>
      <c r="DD118" t="s">
        <v>3</v>
      </c>
      <c r="DE118" t="s">
        <v>3</v>
      </c>
      <c r="DF118" t="s">
        <v>3</v>
      </c>
      <c r="DG118" t="s">
        <v>3</v>
      </c>
      <c r="DH118" t="s">
        <v>3</v>
      </c>
      <c r="DI118" t="s">
        <v>3</v>
      </c>
      <c r="DJ118" t="s">
        <v>3</v>
      </c>
      <c r="DK118" t="s">
        <v>3</v>
      </c>
      <c r="DL118" t="s">
        <v>3</v>
      </c>
      <c r="DM118" t="s">
        <v>3</v>
      </c>
      <c r="DN118">
        <v>0</v>
      </c>
      <c r="DO118">
        <v>0</v>
      </c>
      <c r="DP118">
        <v>1</v>
      </c>
      <c r="DQ118">
        <v>1</v>
      </c>
      <c r="DU118">
        <v>1005</v>
      </c>
      <c r="DV118" t="s">
        <v>143</v>
      </c>
      <c r="DW118" t="s">
        <v>143</v>
      </c>
      <c r="DX118">
        <v>1</v>
      </c>
      <c r="DZ118" t="s">
        <v>3</v>
      </c>
      <c r="EA118" t="s">
        <v>3</v>
      </c>
      <c r="EB118" t="s">
        <v>3</v>
      </c>
      <c r="EC118" t="s">
        <v>3</v>
      </c>
      <c r="EE118">
        <v>35526105</v>
      </c>
      <c r="EF118">
        <v>2</v>
      </c>
      <c r="EG118" t="s">
        <v>76</v>
      </c>
      <c r="EH118">
        <v>0</v>
      </c>
      <c r="EI118" t="s">
        <v>3</v>
      </c>
      <c r="EJ118">
        <v>1</v>
      </c>
      <c r="EK118">
        <v>15001</v>
      </c>
      <c r="EL118" t="s">
        <v>164</v>
      </c>
      <c r="EM118" t="s">
        <v>165</v>
      </c>
      <c r="EO118" t="s">
        <v>3</v>
      </c>
      <c r="EQ118">
        <v>0</v>
      </c>
      <c r="ER118">
        <v>51.95</v>
      </c>
      <c r="ES118">
        <v>51.95</v>
      </c>
      <c r="ET118">
        <v>0</v>
      </c>
      <c r="EU118">
        <v>0</v>
      </c>
      <c r="EV118">
        <v>0</v>
      </c>
      <c r="EW118">
        <v>0</v>
      </c>
      <c r="EX118">
        <v>0</v>
      </c>
      <c r="FQ118">
        <v>0</v>
      </c>
      <c r="FR118">
        <f>ROUND(IF(AND(BH118=3,BI118=3),P118,0),2)</f>
        <v>0</v>
      </c>
      <c r="FS118">
        <v>0</v>
      </c>
      <c r="FT118" t="s">
        <v>79</v>
      </c>
      <c r="FU118" t="s">
        <v>80</v>
      </c>
      <c r="FX118">
        <v>94.5</v>
      </c>
      <c r="FY118">
        <v>46.75</v>
      </c>
      <c r="GA118" t="s">
        <v>3</v>
      </c>
      <c r="GD118">
        <v>1</v>
      </c>
      <c r="GF118">
        <v>1862876160</v>
      </c>
      <c r="GG118">
        <v>2</v>
      </c>
      <c r="GH118">
        <v>1</v>
      </c>
      <c r="GI118">
        <v>2</v>
      </c>
      <c r="GJ118">
        <v>0</v>
      </c>
      <c r="GK118">
        <v>0</v>
      </c>
      <c r="GL118">
        <f>ROUND(IF(AND(BH118=3,BI118=3,FS118&lt;&gt;0),P118,0),2)</f>
        <v>0</v>
      </c>
      <c r="GM118">
        <f>ROUND(O118+X118+Y118,2)+GX118</f>
        <v>1293.56</v>
      </c>
      <c r="GN118">
        <f>IF(OR(BI118=0,BI118=1),ROUND(O118+X118+Y118,2),0)</f>
        <v>1293.56</v>
      </c>
      <c r="GO118">
        <f>IF(BI118=2,ROUND(O118+X118+Y118,2),0)</f>
        <v>0</v>
      </c>
      <c r="GP118">
        <f>IF(BI118=4,ROUND(O118+X118+Y118,2)+GX118,0)</f>
        <v>0</v>
      </c>
      <c r="GR118">
        <v>0</v>
      </c>
      <c r="GS118">
        <v>0</v>
      </c>
      <c r="GT118">
        <v>0</v>
      </c>
      <c r="GU118" t="s">
        <v>3</v>
      </c>
      <c r="GV118">
        <f>ROUND((GT118),6)</f>
        <v>0</v>
      </c>
      <c r="GW118">
        <v>1</v>
      </c>
      <c r="GX118">
        <f>ROUND(HC118*I118,2)</f>
        <v>0</v>
      </c>
      <c r="HA118">
        <v>0</v>
      </c>
      <c r="HB118">
        <v>0</v>
      </c>
      <c r="HC118">
        <f>GV118*GW118</f>
        <v>0</v>
      </c>
      <c r="HE118" t="s">
        <v>3</v>
      </c>
      <c r="HF118" t="s">
        <v>3</v>
      </c>
      <c r="IK118">
        <v>0</v>
      </c>
    </row>
    <row r="120" spans="1:245">
      <c r="A120" s="2">
        <v>51</v>
      </c>
      <c r="B120" s="2">
        <f>B111</f>
        <v>1</v>
      </c>
      <c r="C120" s="2">
        <f>A111</f>
        <v>5</v>
      </c>
      <c r="D120" s="2">
        <f>ROW(A111)</f>
        <v>111</v>
      </c>
      <c r="E120" s="2"/>
      <c r="F120" s="2" t="str">
        <f>IF(F111&lt;&gt;"",F111,"")</f>
        <v>Новый подраздел</v>
      </c>
      <c r="G120" s="2" t="str">
        <f>IF(G111&lt;&gt;"",G111,"")</f>
        <v>Потолок</v>
      </c>
      <c r="H120" s="2">
        <v>0</v>
      </c>
      <c r="I120" s="2"/>
      <c r="J120" s="2"/>
      <c r="K120" s="2"/>
      <c r="L120" s="2"/>
      <c r="M120" s="2"/>
      <c r="N120" s="2"/>
      <c r="O120" s="2">
        <f t="shared" ref="O120:T120" si="87">ROUND(AB120,2)</f>
        <v>5269.64</v>
      </c>
      <c r="P120" s="2">
        <f t="shared" si="87"/>
        <v>2838.5</v>
      </c>
      <c r="Q120" s="2">
        <f t="shared" si="87"/>
        <v>308.66000000000003</v>
      </c>
      <c r="R120" s="2">
        <f t="shared" si="87"/>
        <v>25.9</v>
      </c>
      <c r="S120" s="2">
        <f t="shared" si="87"/>
        <v>2122.48</v>
      </c>
      <c r="T120" s="2">
        <f t="shared" si="87"/>
        <v>0</v>
      </c>
      <c r="U120" s="2">
        <f>AH120</f>
        <v>6.8610499999999988</v>
      </c>
      <c r="V120" s="2">
        <f>AI120</f>
        <v>5.8299999999999998E-2</v>
      </c>
      <c r="W120" s="2">
        <f>ROUND(AJ120,2)</f>
        <v>12.26</v>
      </c>
      <c r="X120" s="2">
        <f>ROUND(AK120,2)</f>
        <v>2040.96</v>
      </c>
      <c r="Y120" s="2">
        <f>ROUND(AL120,2)</f>
        <v>1064.5899999999999</v>
      </c>
      <c r="Z120" s="2"/>
      <c r="AA120" s="2"/>
      <c r="AB120" s="2">
        <f>ROUND(SUMIF(AA115:AA118,"=33806715",O115:O118),2)</f>
        <v>5269.64</v>
      </c>
      <c r="AC120" s="2">
        <f>ROUND(SUMIF(AA115:AA118,"=33806715",P115:P118),2)</f>
        <v>2838.5</v>
      </c>
      <c r="AD120" s="2">
        <f>ROUND(SUMIF(AA115:AA118,"=33806715",Q115:Q118),2)</f>
        <v>308.66000000000003</v>
      </c>
      <c r="AE120" s="2">
        <f>ROUND(SUMIF(AA115:AA118,"=33806715",R115:R118),2)</f>
        <v>25.9</v>
      </c>
      <c r="AF120" s="2">
        <f>ROUND(SUMIF(AA115:AA118,"=33806715",S115:S118),2)</f>
        <v>2122.48</v>
      </c>
      <c r="AG120" s="2">
        <f>ROUND(SUMIF(AA115:AA118,"=33806715",T115:T118),2)</f>
        <v>0</v>
      </c>
      <c r="AH120" s="2">
        <f>SUMIF(AA115:AA118,"=33806715",U115:U118)</f>
        <v>6.8610499999999988</v>
      </c>
      <c r="AI120" s="2">
        <f>SUMIF(AA115:AA118,"=33806715",V115:V118)</f>
        <v>5.8299999999999998E-2</v>
      </c>
      <c r="AJ120" s="2">
        <f>ROUND(SUMIF(AA115:AA118,"=33806715",W115:W118),2)</f>
        <v>12.26</v>
      </c>
      <c r="AK120" s="2">
        <f>ROUND(SUMIF(AA115:AA118,"=33806715",X115:X118),2)</f>
        <v>2040.96</v>
      </c>
      <c r="AL120" s="2">
        <f>ROUND(SUMIF(AA115:AA118,"=33806715",Y115:Y118),2)</f>
        <v>1064.5899999999999</v>
      </c>
      <c r="AM120" s="2"/>
      <c r="AN120" s="2"/>
      <c r="AO120" s="2">
        <f t="shared" ref="AO120:BD120" si="88">ROUND(BX120,2)</f>
        <v>0</v>
      </c>
      <c r="AP120" s="2">
        <f t="shared" si="88"/>
        <v>0</v>
      </c>
      <c r="AQ120" s="2">
        <f t="shared" si="88"/>
        <v>0</v>
      </c>
      <c r="AR120" s="2">
        <f t="shared" si="88"/>
        <v>8375.19</v>
      </c>
      <c r="AS120" s="2">
        <f t="shared" si="88"/>
        <v>7353.31</v>
      </c>
      <c r="AT120" s="2">
        <f t="shared" si="88"/>
        <v>1021.88</v>
      </c>
      <c r="AU120" s="2">
        <f t="shared" si="88"/>
        <v>0</v>
      </c>
      <c r="AV120" s="2">
        <f t="shared" si="88"/>
        <v>2838.5</v>
      </c>
      <c r="AW120" s="2">
        <f t="shared" si="88"/>
        <v>2838.5</v>
      </c>
      <c r="AX120" s="2">
        <f t="shared" si="88"/>
        <v>0</v>
      </c>
      <c r="AY120" s="2">
        <f t="shared" si="88"/>
        <v>2838.5</v>
      </c>
      <c r="AZ120" s="2">
        <f t="shared" si="88"/>
        <v>0</v>
      </c>
      <c r="BA120" s="2">
        <f t="shared" si="88"/>
        <v>0</v>
      </c>
      <c r="BB120" s="2">
        <f t="shared" si="88"/>
        <v>0</v>
      </c>
      <c r="BC120" s="2">
        <f t="shared" si="88"/>
        <v>0</v>
      </c>
      <c r="BD120" s="2">
        <f t="shared" si="88"/>
        <v>0</v>
      </c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>
        <f>ROUND(SUMIF(AA115:AA118,"=33806715",FQ115:FQ118),2)</f>
        <v>0</v>
      </c>
      <c r="BY120" s="2">
        <f>ROUND(SUMIF(AA115:AA118,"=33806715",FR115:FR118),2)</f>
        <v>0</v>
      </c>
      <c r="BZ120" s="2">
        <f>ROUND(SUMIF(AA115:AA118,"=33806715",GL115:GL118),2)</f>
        <v>0</v>
      </c>
      <c r="CA120" s="2">
        <f>ROUND(SUMIF(AA115:AA118,"=33806715",GM115:GM118),2)</f>
        <v>8375.19</v>
      </c>
      <c r="CB120" s="2">
        <f>ROUND(SUMIF(AA115:AA118,"=33806715",GN115:GN118),2)</f>
        <v>7353.31</v>
      </c>
      <c r="CC120" s="2">
        <f>ROUND(SUMIF(AA115:AA118,"=33806715",GO115:GO118),2)</f>
        <v>1021.88</v>
      </c>
      <c r="CD120" s="2">
        <f>ROUND(SUMIF(AA115:AA118,"=33806715",GP115:GP118),2)</f>
        <v>0</v>
      </c>
      <c r="CE120" s="2">
        <f>AC120-BX120</f>
        <v>2838.5</v>
      </c>
      <c r="CF120" s="2">
        <f>AC120-BY120</f>
        <v>2838.5</v>
      </c>
      <c r="CG120" s="2">
        <f>BX120-BZ120</f>
        <v>0</v>
      </c>
      <c r="CH120" s="2">
        <f>AC120-BX120-BY120+BZ120</f>
        <v>2838.5</v>
      </c>
      <c r="CI120" s="2">
        <f>BY120-BZ120</f>
        <v>0</v>
      </c>
      <c r="CJ120" s="2">
        <f>ROUND(SUMIF(AA115:AA118,"=33806715",GX115:GX118),2)</f>
        <v>0</v>
      </c>
      <c r="CK120" s="2">
        <f>ROUND(SUMIF(AA115:AA118,"=33806715",GY115:GY118),2)</f>
        <v>0</v>
      </c>
      <c r="CL120" s="2">
        <f>ROUND(SUMIF(AA115:AA118,"=33806715",GZ115:GZ118),2)</f>
        <v>0</v>
      </c>
      <c r="CM120" s="2">
        <f>ROUND(SUMIF(AA115:AA118,"=33806715",HD115:HD118),2)</f>
        <v>0</v>
      </c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>
        <v>0</v>
      </c>
    </row>
    <row r="122" spans="1:245">
      <c r="A122" s="4">
        <v>50</v>
      </c>
      <c r="B122" s="4">
        <v>0</v>
      </c>
      <c r="C122" s="4">
        <v>0</v>
      </c>
      <c r="D122" s="4">
        <v>1</v>
      </c>
      <c r="E122" s="4">
        <v>201</v>
      </c>
      <c r="F122" s="4">
        <f>ROUND(Source!O120,O122)</f>
        <v>5269.64</v>
      </c>
      <c r="G122" s="4" t="s">
        <v>15</v>
      </c>
      <c r="H122" s="4" t="s">
        <v>16</v>
      </c>
      <c r="I122" s="4"/>
      <c r="J122" s="4"/>
      <c r="K122" s="4">
        <v>201</v>
      </c>
      <c r="L122" s="4">
        <v>1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45">
      <c r="A123" s="4">
        <v>50</v>
      </c>
      <c r="B123" s="4">
        <v>0</v>
      </c>
      <c r="C123" s="4">
        <v>0</v>
      </c>
      <c r="D123" s="4">
        <v>1</v>
      </c>
      <c r="E123" s="4">
        <v>202</v>
      </c>
      <c r="F123" s="4">
        <f>ROUND(Source!P120,O123)</f>
        <v>2838.5</v>
      </c>
      <c r="G123" s="4" t="s">
        <v>17</v>
      </c>
      <c r="H123" s="4" t="s">
        <v>18</v>
      </c>
      <c r="I123" s="4"/>
      <c r="J123" s="4"/>
      <c r="K123" s="4">
        <v>202</v>
      </c>
      <c r="L123" s="4">
        <v>2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45">
      <c r="A124" s="4">
        <v>50</v>
      </c>
      <c r="B124" s="4">
        <v>0</v>
      </c>
      <c r="C124" s="4">
        <v>0</v>
      </c>
      <c r="D124" s="4">
        <v>1</v>
      </c>
      <c r="E124" s="4">
        <v>222</v>
      </c>
      <c r="F124" s="4">
        <f>ROUND(Source!AO120,O124)</f>
        <v>0</v>
      </c>
      <c r="G124" s="4" t="s">
        <v>19</v>
      </c>
      <c r="H124" s="4" t="s">
        <v>20</v>
      </c>
      <c r="I124" s="4"/>
      <c r="J124" s="4"/>
      <c r="K124" s="4">
        <v>222</v>
      </c>
      <c r="L124" s="4">
        <v>3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45">
      <c r="A125" s="4">
        <v>50</v>
      </c>
      <c r="B125" s="4">
        <v>0</v>
      </c>
      <c r="C125" s="4">
        <v>0</v>
      </c>
      <c r="D125" s="4">
        <v>1</v>
      </c>
      <c r="E125" s="4">
        <v>225</v>
      </c>
      <c r="F125" s="4">
        <f>ROUND(Source!AV120,O125)</f>
        <v>2838.5</v>
      </c>
      <c r="G125" s="4" t="s">
        <v>21</v>
      </c>
      <c r="H125" s="4" t="s">
        <v>22</v>
      </c>
      <c r="I125" s="4"/>
      <c r="J125" s="4"/>
      <c r="K125" s="4">
        <v>225</v>
      </c>
      <c r="L125" s="4">
        <v>4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45">
      <c r="A126" s="4">
        <v>50</v>
      </c>
      <c r="B126" s="4">
        <v>0</v>
      </c>
      <c r="C126" s="4">
        <v>0</v>
      </c>
      <c r="D126" s="4">
        <v>1</v>
      </c>
      <c r="E126" s="4">
        <v>226</v>
      </c>
      <c r="F126" s="4">
        <f>ROUND(Source!AW120,O126)</f>
        <v>2838.5</v>
      </c>
      <c r="G126" s="4" t="s">
        <v>23</v>
      </c>
      <c r="H126" s="4" t="s">
        <v>24</v>
      </c>
      <c r="I126" s="4"/>
      <c r="J126" s="4"/>
      <c r="K126" s="4">
        <v>226</v>
      </c>
      <c r="L126" s="4">
        <v>5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45">
      <c r="A127" s="4">
        <v>50</v>
      </c>
      <c r="B127" s="4">
        <v>0</v>
      </c>
      <c r="C127" s="4">
        <v>0</v>
      </c>
      <c r="D127" s="4">
        <v>1</v>
      </c>
      <c r="E127" s="4">
        <v>227</v>
      </c>
      <c r="F127" s="4">
        <f>ROUND(Source!AX120,O127)</f>
        <v>0</v>
      </c>
      <c r="G127" s="4" t="s">
        <v>25</v>
      </c>
      <c r="H127" s="4" t="s">
        <v>26</v>
      </c>
      <c r="I127" s="4"/>
      <c r="J127" s="4"/>
      <c r="K127" s="4">
        <v>227</v>
      </c>
      <c r="L127" s="4">
        <v>6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45">
      <c r="A128" s="4">
        <v>50</v>
      </c>
      <c r="B128" s="4">
        <v>0</v>
      </c>
      <c r="C128" s="4">
        <v>0</v>
      </c>
      <c r="D128" s="4">
        <v>1</v>
      </c>
      <c r="E128" s="4">
        <v>228</v>
      </c>
      <c r="F128" s="4">
        <f>ROUND(Source!AY120,O128)</f>
        <v>2838.5</v>
      </c>
      <c r="G128" s="4" t="s">
        <v>27</v>
      </c>
      <c r="H128" s="4" t="s">
        <v>28</v>
      </c>
      <c r="I128" s="4"/>
      <c r="J128" s="4"/>
      <c r="K128" s="4">
        <v>228</v>
      </c>
      <c r="L128" s="4">
        <v>7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216</v>
      </c>
      <c r="F129" s="4">
        <f>ROUND(Source!AP120,O129)</f>
        <v>0</v>
      </c>
      <c r="G129" s="4" t="s">
        <v>29</v>
      </c>
      <c r="H129" s="4" t="s">
        <v>30</v>
      </c>
      <c r="I129" s="4"/>
      <c r="J129" s="4"/>
      <c r="K129" s="4">
        <v>216</v>
      </c>
      <c r="L129" s="4">
        <v>8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223</v>
      </c>
      <c r="F130" s="4">
        <f>ROUND(Source!AQ120,O130)</f>
        <v>0</v>
      </c>
      <c r="G130" s="4" t="s">
        <v>31</v>
      </c>
      <c r="H130" s="4" t="s">
        <v>32</v>
      </c>
      <c r="I130" s="4"/>
      <c r="J130" s="4"/>
      <c r="K130" s="4">
        <v>223</v>
      </c>
      <c r="L130" s="4">
        <v>9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229</v>
      </c>
      <c r="F131" s="4">
        <f>ROUND(Source!AZ120,O131)</f>
        <v>0</v>
      </c>
      <c r="G131" s="4" t="s">
        <v>33</v>
      </c>
      <c r="H131" s="4" t="s">
        <v>34</v>
      </c>
      <c r="I131" s="4"/>
      <c r="J131" s="4"/>
      <c r="K131" s="4">
        <v>229</v>
      </c>
      <c r="L131" s="4">
        <v>10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0</v>
      </c>
      <c r="C132" s="4">
        <v>0</v>
      </c>
      <c r="D132" s="4">
        <v>1</v>
      </c>
      <c r="E132" s="4">
        <v>203</v>
      </c>
      <c r="F132" s="4">
        <f>ROUND(Source!Q120,O132)</f>
        <v>308.66000000000003</v>
      </c>
      <c r="G132" s="4" t="s">
        <v>35</v>
      </c>
      <c r="H132" s="4" t="s">
        <v>36</v>
      </c>
      <c r="I132" s="4"/>
      <c r="J132" s="4"/>
      <c r="K132" s="4">
        <v>203</v>
      </c>
      <c r="L132" s="4">
        <v>11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0</v>
      </c>
      <c r="C133" s="4">
        <v>0</v>
      </c>
      <c r="D133" s="4">
        <v>1</v>
      </c>
      <c r="E133" s="4">
        <v>231</v>
      </c>
      <c r="F133" s="4">
        <f>ROUND(Source!BB120,O133)</f>
        <v>0</v>
      </c>
      <c r="G133" s="4" t="s">
        <v>37</v>
      </c>
      <c r="H133" s="4" t="s">
        <v>38</v>
      </c>
      <c r="I133" s="4"/>
      <c r="J133" s="4"/>
      <c r="K133" s="4">
        <v>231</v>
      </c>
      <c r="L133" s="4">
        <v>12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>
      <c r="A134" s="4">
        <v>50</v>
      </c>
      <c r="B134" s="4">
        <v>0</v>
      </c>
      <c r="C134" s="4">
        <v>0</v>
      </c>
      <c r="D134" s="4">
        <v>1</v>
      </c>
      <c r="E134" s="4">
        <v>204</v>
      </c>
      <c r="F134" s="4">
        <f>ROUND(Source!R120,O134)</f>
        <v>25.9</v>
      </c>
      <c r="G134" s="4" t="s">
        <v>39</v>
      </c>
      <c r="H134" s="4" t="s">
        <v>40</v>
      </c>
      <c r="I134" s="4"/>
      <c r="J134" s="4"/>
      <c r="K134" s="4">
        <v>204</v>
      </c>
      <c r="L134" s="4">
        <v>13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>
      <c r="A135" s="4">
        <v>50</v>
      </c>
      <c r="B135" s="4">
        <v>0</v>
      </c>
      <c r="C135" s="4">
        <v>0</v>
      </c>
      <c r="D135" s="4">
        <v>1</v>
      </c>
      <c r="E135" s="4">
        <v>205</v>
      </c>
      <c r="F135" s="4">
        <f>ROUND(Source!S120,O135)</f>
        <v>2122.48</v>
      </c>
      <c r="G135" s="4" t="s">
        <v>41</v>
      </c>
      <c r="H135" s="4" t="s">
        <v>42</v>
      </c>
      <c r="I135" s="4"/>
      <c r="J135" s="4"/>
      <c r="K135" s="4">
        <v>205</v>
      </c>
      <c r="L135" s="4">
        <v>14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>
      <c r="A136" s="4">
        <v>50</v>
      </c>
      <c r="B136" s="4">
        <v>0</v>
      </c>
      <c r="C136" s="4">
        <v>0</v>
      </c>
      <c r="D136" s="4">
        <v>1</v>
      </c>
      <c r="E136" s="4">
        <v>232</v>
      </c>
      <c r="F136" s="4">
        <f>ROUND(Source!BC120,O136)</f>
        <v>0</v>
      </c>
      <c r="G136" s="4" t="s">
        <v>43</v>
      </c>
      <c r="H136" s="4" t="s">
        <v>44</v>
      </c>
      <c r="I136" s="4"/>
      <c r="J136" s="4"/>
      <c r="K136" s="4">
        <v>232</v>
      </c>
      <c r="L136" s="4">
        <v>15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>
      <c r="A137" s="4">
        <v>50</v>
      </c>
      <c r="B137" s="4">
        <v>0</v>
      </c>
      <c r="C137" s="4">
        <v>0</v>
      </c>
      <c r="D137" s="4">
        <v>1</v>
      </c>
      <c r="E137" s="4">
        <v>214</v>
      </c>
      <c r="F137" s="4">
        <f>ROUND(Source!AS120,O137)</f>
        <v>7353.31</v>
      </c>
      <c r="G137" s="4" t="s">
        <v>45</v>
      </c>
      <c r="H137" s="4" t="s">
        <v>46</v>
      </c>
      <c r="I137" s="4"/>
      <c r="J137" s="4"/>
      <c r="K137" s="4">
        <v>214</v>
      </c>
      <c r="L137" s="4">
        <v>16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>
      <c r="A138" s="4">
        <v>50</v>
      </c>
      <c r="B138" s="4">
        <v>0</v>
      </c>
      <c r="C138" s="4">
        <v>0</v>
      </c>
      <c r="D138" s="4">
        <v>1</v>
      </c>
      <c r="E138" s="4">
        <v>215</v>
      </c>
      <c r="F138" s="4">
        <f>ROUND(Source!AT120,O138)</f>
        <v>1021.88</v>
      </c>
      <c r="G138" s="4" t="s">
        <v>47</v>
      </c>
      <c r="H138" s="4" t="s">
        <v>48</v>
      </c>
      <c r="I138" s="4"/>
      <c r="J138" s="4"/>
      <c r="K138" s="4">
        <v>215</v>
      </c>
      <c r="L138" s="4">
        <v>17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>
      <c r="A139" s="4">
        <v>50</v>
      </c>
      <c r="B139" s="4">
        <v>0</v>
      </c>
      <c r="C139" s="4">
        <v>0</v>
      </c>
      <c r="D139" s="4">
        <v>1</v>
      </c>
      <c r="E139" s="4">
        <v>217</v>
      </c>
      <c r="F139" s="4">
        <f>ROUND(Source!AU120,O139)</f>
        <v>0</v>
      </c>
      <c r="G139" s="4" t="s">
        <v>49</v>
      </c>
      <c r="H139" s="4" t="s">
        <v>50</v>
      </c>
      <c r="I139" s="4"/>
      <c r="J139" s="4"/>
      <c r="K139" s="4">
        <v>217</v>
      </c>
      <c r="L139" s="4">
        <v>18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>
      <c r="A140" s="4">
        <v>50</v>
      </c>
      <c r="B140" s="4">
        <v>0</v>
      </c>
      <c r="C140" s="4">
        <v>0</v>
      </c>
      <c r="D140" s="4">
        <v>1</v>
      </c>
      <c r="E140" s="4">
        <v>230</v>
      </c>
      <c r="F140" s="4">
        <f>ROUND(Source!BA120,O140)</f>
        <v>0</v>
      </c>
      <c r="G140" s="4" t="s">
        <v>51</v>
      </c>
      <c r="H140" s="4" t="s">
        <v>52</v>
      </c>
      <c r="I140" s="4"/>
      <c r="J140" s="4"/>
      <c r="K140" s="4">
        <v>230</v>
      </c>
      <c r="L140" s="4">
        <v>19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3">
      <c r="A141" s="4">
        <v>50</v>
      </c>
      <c r="B141" s="4">
        <v>0</v>
      </c>
      <c r="C141" s="4">
        <v>0</v>
      </c>
      <c r="D141" s="4">
        <v>1</v>
      </c>
      <c r="E141" s="4">
        <v>206</v>
      </c>
      <c r="F141" s="4">
        <f>ROUND(Source!T120,O141)</f>
        <v>0</v>
      </c>
      <c r="G141" s="4" t="s">
        <v>53</v>
      </c>
      <c r="H141" s="4" t="s">
        <v>54</v>
      </c>
      <c r="I141" s="4"/>
      <c r="J141" s="4"/>
      <c r="K141" s="4">
        <v>206</v>
      </c>
      <c r="L141" s="4">
        <v>20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>
      <c r="A142" s="4">
        <v>50</v>
      </c>
      <c r="B142" s="4">
        <v>0</v>
      </c>
      <c r="C142" s="4">
        <v>0</v>
      </c>
      <c r="D142" s="4">
        <v>1</v>
      </c>
      <c r="E142" s="4">
        <v>207</v>
      </c>
      <c r="F142" s="4">
        <f>Source!U120</f>
        <v>6.8610499999999988</v>
      </c>
      <c r="G142" s="4" t="s">
        <v>55</v>
      </c>
      <c r="H142" s="4" t="s">
        <v>56</v>
      </c>
      <c r="I142" s="4"/>
      <c r="J142" s="4"/>
      <c r="K142" s="4">
        <v>207</v>
      </c>
      <c r="L142" s="4">
        <v>21</v>
      </c>
      <c r="M142" s="4">
        <v>3</v>
      </c>
      <c r="N142" s="4" t="s">
        <v>3</v>
      </c>
      <c r="O142" s="4">
        <v>-1</v>
      </c>
      <c r="P142" s="4"/>
      <c r="Q142" s="4"/>
      <c r="R142" s="4"/>
      <c r="S142" s="4"/>
      <c r="T142" s="4"/>
      <c r="U142" s="4"/>
      <c r="V142" s="4"/>
      <c r="W142" s="4"/>
    </row>
    <row r="143" spans="1:23">
      <c r="A143" s="4">
        <v>50</v>
      </c>
      <c r="B143" s="4">
        <v>0</v>
      </c>
      <c r="C143" s="4">
        <v>0</v>
      </c>
      <c r="D143" s="4">
        <v>1</v>
      </c>
      <c r="E143" s="4">
        <v>208</v>
      </c>
      <c r="F143" s="4">
        <f>Source!V120</f>
        <v>5.8299999999999998E-2</v>
      </c>
      <c r="G143" s="4" t="s">
        <v>57</v>
      </c>
      <c r="H143" s="4" t="s">
        <v>58</v>
      </c>
      <c r="I143" s="4"/>
      <c r="J143" s="4"/>
      <c r="K143" s="4">
        <v>208</v>
      </c>
      <c r="L143" s="4">
        <v>22</v>
      </c>
      <c r="M143" s="4">
        <v>3</v>
      </c>
      <c r="N143" s="4" t="s">
        <v>3</v>
      </c>
      <c r="O143" s="4">
        <v>-1</v>
      </c>
      <c r="P143" s="4"/>
      <c r="Q143" s="4"/>
      <c r="R143" s="4"/>
      <c r="S143" s="4"/>
      <c r="T143" s="4"/>
      <c r="U143" s="4"/>
      <c r="V143" s="4"/>
      <c r="W143" s="4"/>
    </row>
    <row r="144" spans="1:23">
      <c r="A144" s="4">
        <v>50</v>
      </c>
      <c r="B144" s="4">
        <v>0</v>
      </c>
      <c r="C144" s="4">
        <v>0</v>
      </c>
      <c r="D144" s="4">
        <v>1</v>
      </c>
      <c r="E144" s="4">
        <v>209</v>
      </c>
      <c r="F144" s="4">
        <f>ROUND(Source!W120,O144)</f>
        <v>12.26</v>
      </c>
      <c r="G144" s="4" t="s">
        <v>59</v>
      </c>
      <c r="H144" s="4" t="s">
        <v>60</v>
      </c>
      <c r="I144" s="4"/>
      <c r="J144" s="4"/>
      <c r="K144" s="4">
        <v>209</v>
      </c>
      <c r="L144" s="4">
        <v>23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45">
      <c r="A145" s="4">
        <v>50</v>
      </c>
      <c r="B145" s="4">
        <v>0</v>
      </c>
      <c r="C145" s="4">
        <v>0</v>
      </c>
      <c r="D145" s="4">
        <v>1</v>
      </c>
      <c r="E145" s="4">
        <v>233</v>
      </c>
      <c r="F145" s="4">
        <f>ROUND(Source!BD120,O145)</f>
        <v>0</v>
      </c>
      <c r="G145" s="4" t="s">
        <v>61</v>
      </c>
      <c r="H145" s="4" t="s">
        <v>62</v>
      </c>
      <c r="I145" s="4"/>
      <c r="J145" s="4"/>
      <c r="K145" s="4">
        <v>233</v>
      </c>
      <c r="L145" s="4">
        <v>24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45">
      <c r="A146" s="4">
        <v>50</v>
      </c>
      <c r="B146" s="4">
        <v>0</v>
      </c>
      <c r="C146" s="4">
        <v>0</v>
      </c>
      <c r="D146" s="4">
        <v>1</v>
      </c>
      <c r="E146" s="4">
        <v>210</v>
      </c>
      <c r="F146" s="4">
        <f>ROUND(Source!X120,O146)</f>
        <v>2040.96</v>
      </c>
      <c r="G146" s="4" t="s">
        <v>63</v>
      </c>
      <c r="H146" s="4" t="s">
        <v>64</v>
      </c>
      <c r="I146" s="4"/>
      <c r="J146" s="4"/>
      <c r="K146" s="4">
        <v>210</v>
      </c>
      <c r="L146" s="4">
        <v>25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45">
      <c r="A147" s="4">
        <v>50</v>
      </c>
      <c r="B147" s="4">
        <v>0</v>
      </c>
      <c r="C147" s="4">
        <v>0</v>
      </c>
      <c r="D147" s="4">
        <v>1</v>
      </c>
      <c r="E147" s="4">
        <v>211</v>
      </c>
      <c r="F147" s="4">
        <f>ROUND(Source!Y120,O147)</f>
        <v>1064.5899999999999</v>
      </c>
      <c r="G147" s="4" t="s">
        <v>65</v>
      </c>
      <c r="H147" s="4" t="s">
        <v>66</v>
      </c>
      <c r="I147" s="4"/>
      <c r="J147" s="4"/>
      <c r="K147" s="4">
        <v>211</v>
      </c>
      <c r="L147" s="4">
        <v>26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45">
      <c r="A148" s="4">
        <v>50</v>
      </c>
      <c r="B148" s="4">
        <v>0</v>
      </c>
      <c r="C148" s="4">
        <v>0</v>
      </c>
      <c r="D148" s="4">
        <v>1</v>
      </c>
      <c r="E148" s="4">
        <v>224</v>
      </c>
      <c r="F148" s="4">
        <f>ROUND(Source!AR120,O148)</f>
        <v>8375.19</v>
      </c>
      <c r="G148" s="4" t="s">
        <v>67</v>
      </c>
      <c r="H148" s="4" t="s">
        <v>68</v>
      </c>
      <c r="I148" s="4"/>
      <c r="J148" s="4"/>
      <c r="K148" s="4">
        <v>224</v>
      </c>
      <c r="L148" s="4">
        <v>27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50" spans="1:245">
      <c r="A150" s="1">
        <v>5</v>
      </c>
      <c r="B150" s="1">
        <v>1</v>
      </c>
      <c r="C150" s="1"/>
      <c r="D150" s="1">
        <f>ROW(A162)</f>
        <v>162</v>
      </c>
      <c r="E150" s="1"/>
      <c r="F150" s="1" t="s">
        <v>128</v>
      </c>
      <c r="G150" s="1" t="s">
        <v>170</v>
      </c>
      <c r="H150" s="1" t="s">
        <v>3</v>
      </c>
      <c r="I150" s="1">
        <v>0</v>
      </c>
      <c r="J150" s="1"/>
      <c r="K150" s="1">
        <v>0</v>
      </c>
      <c r="L150" s="1"/>
      <c r="M150" s="1" t="s">
        <v>3</v>
      </c>
      <c r="N150" s="1"/>
      <c r="O150" s="1"/>
      <c r="P150" s="1"/>
      <c r="Q150" s="1"/>
      <c r="R150" s="1"/>
      <c r="S150" s="1">
        <v>0</v>
      </c>
      <c r="T150" s="1"/>
      <c r="U150" s="1" t="s">
        <v>3</v>
      </c>
      <c r="V150" s="1">
        <v>0</v>
      </c>
      <c r="W150" s="1"/>
      <c r="X150" s="1"/>
      <c r="Y150" s="1"/>
      <c r="Z150" s="1"/>
      <c r="AA150" s="1"/>
      <c r="AB150" s="1" t="s">
        <v>3</v>
      </c>
      <c r="AC150" s="1" t="s">
        <v>3</v>
      </c>
      <c r="AD150" s="1" t="s">
        <v>3</v>
      </c>
      <c r="AE150" s="1" t="s">
        <v>3</v>
      </c>
      <c r="AF150" s="1" t="s">
        <v>3</v>
      </c>
      <c r="AG150" s="1" t="s">
        <v>3</v>
      </c>
      <c r="AH150" s="1"/>
      <c r="AI150" s="1"/>
      <c r="AJ150" s="1"/>
      <c r="AK150" s="1"/>
      <c r="AL150" s="1"/>
      <c r="AM150" s="1"/>
      <c r="AN150" s="1"/>
      <c r="AO150" s="1"/>
      <c r="AP150" s="1" t="s">
        <v>3</v>
      </c>
      <c r="AQ150" s="1" t="s">
        <v>3</v>
      </c>
      <c r="AR150" s="1" t="s">
        <v>3</v>
      </c>
      <c r="AS150" s="1"/>
      <c r="AT150" s="1"/>
      <c r="AU150" s="1"/>
      <c r="AV150" s="1"/>
      <c r="AW150" s="1"/>
      <c r="AX150" s="1"/>
      <c r="AY150" s="1"/>
      <c r="AZ150" s="1" t="s">
        <v>3</v>
      </c>
      <c r="BA150" s="1"/>
      <c r="BB150" s="1" t="s">
        <v>3</v>
      </c>
      <c r="BC150" s="1" t="s">
        <v>3</v>
      </c>
      <c r="BD150" s="1" t="s">
        <v>3</v>
      </c>
      <c r="BE150" s="1" t="s">
        <v>3</v>
      </c>
      <c r="BF150" s="1" t="s">
        <v>3</v>
      </c>
      <c r="BG150" s="1" t="s">
        <v>3</v>
      </c>
      <c r="BH150" s="1" t="s">
        <v>3</v>
      </c>
      <c r="BI150" s="1" t="s">
        <v>3</v>
      </c>
      <c r="BJ150" s="1" t="s">
        <v>3</v>
      </c>
      <c r="BK150" s="1" t="s">
        <v>3</v>
      </c>
      <c r="BL150" s="1" t="s">
        <v>3</v>
      </c>
      <c r="BM150" s="1" t="s">
        <v>3</v>
      </c>
      <c r="BN150" s="1" t="s">
        <v>3</v>
      </c>
      <c r="BO150" s="1" t="s">
        <v>3</v>
      </c>
      <c r="BP150" s="1" t="s">
        <v>3</v>
      </c>
      <c r="BQ150" s="1"/>
      <c r="BR150" s="1"/>
      <c r="BS150" s="1"/>
      <c r="BT150" s="1"/>
      <c r="BU150" s="1"/>
      <c r="BV150" s="1"/>
      <c r="BW150" s="1"/>
      <c r="BX150" s="1">
        <v>0</v>
      </c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>
        <v>0</v>
      </c>
    </row>
    <row r="152" spans="1:245">
      <c r="A152" s="2">
        <v>52</v>
      </c>
      <c r="B152" s="2">
        <f t="shared" ref="B152:G152" si="89">B162</f>
        <v>1</v>
      </c>
      <c r="C152" s="2">
        <f t="shared" si="89"/>
        <v>5</v>
      </c>
      <c r="D152" s="2">
        <f t="shared" si="89"/>
        <v>150</v>
      </c>
      <c r="E152" s="2">
        <f t="shared" si="89"/>
        <v>0</v>
      </c>
      <c r="F152" s="2" t="str">
        <f t="shared" si="89"/>
        <v>Новый подраздел</v>
      </c>
      <c r="G152" s="2" t="str">
        <f t="shared" si="89"/>
        <v>Стены</v>
      </c>
      <c r="H152" s="2"/>
      <c r="I152" s="2"/>
      <c r="J152" s="2"/>
      <c r="K152" s="2"/>
      <c r="L152" s="2"/>
      <c r="M152" s="2"/>
      <c r="N152" s="2"/>
      <c r="O152" s="2">
        <f t="shared" ref="O152:AT152" si="90">O162</f>
        <v>20611.66</v>
      </c>
      <c r="P152" s="2">
        <f t="shared" si="90"/>
        <v>13716.45</v>
      </c>
      <c r="Q152" s="2">
        <f t="shared" si="90"/>
        <v>295.69</v>
      </c>
      <c r="R152" s="2">
        <f t="shared" si="90"/>
        <v>17.32</v>
      </c>
      <c r="S152" s="2">
        <f t="shared" si="90"/>
        <v>6599.52</v>
      </c>
      <c r="T152" s="2">
        <f t="shared" si="90"/>
        <v>0</v>
      </c>
      <c r="U152" s="2">
        <f t="shared" si="90"/>
        <v>21.841444999999997</v>
      </c>
      <c r="V152" s="2">
        <f t="shared" si="90"/>
        <v>3.8863000000000002E-2</v>
      </c>
      <c r="W152" s="2">
        <f t="shared" si="90"/>
        <v>0</v>
      </c>
      <c r="X152" s="2">
        <f t="shared" si="90"/>
        <v>6295.85</v>
      </c>
      <c r="Y152" s="2">
        <f t="shared" si="90"/>
        <v>3134.77</v>
      </c>
      <c r="Z152" s="2">
        <f t="shared" si="90"/>
        <v>0</v>
      </c>
      <c r="AA152" s="2">
        <f t="shared" si="90"/>
        <v>0</v>
      </c>
      <c r="AB152" s="2">
        <f t="shared" si="90"/>
        <v>20611.66</v>
      </c>
      <c r="AC152" s="2">
        <f t="shared" si="90"/>
        <v>13716.45</v>
      </c>
      <c r="AD152" s="2">
        <f t="shared" si="90"/>
        <v>295.69</v>
      </c>
      <c r="AE152" s="2">
        <f t="shared" si="90"/>
        <v>17.32</v>
      </c>
      <c r="AF152" s="2">
        <f t="shared" si="90"/>
        <v>6599.52</v>
      </c>
      <c r="AG152" s="2">
        <f t="shared" si="90"/>
        <v>0</v>
      </c>
      <c r="AH152" s="2">
        <f t="shared" si="90"/>
        <v>21.841444999999997</v>
      </c>
      <c r="AI152" s="2">
        <f t="shared" si="90"/>
        <v>3.8863000000000002E-2</v>
      </c>
      <c r="AJ152" s="2">
        <f t="shared" si="90"/>
        <v>0</v>
      </c>
      <c r="AK152" s="2">
        <f t="shared" si="90"/>
        <v>6295.85</v>
      </c>
      <c r="AL152" s="2">
        <f t="shared" si="90"/>
        <v>3134.77</v>
      </c>
      <c r="AM152" s="2">
        <f t="shared" si="90"/>
        <v>0</v>
      </c>
      <c r="AN152" s="2">
        <f t="shared" si="90"/>
        <v>0</v>
      </c>
      <c r="AO152" s="2">
        <f t="shared" si="90"/>
        <v>0</v>
      </c>
      <c r="AP152" s="2">
        <f t="shared" si="90"/>
        <v>0</v>
      </c>
      <c r="AQ152" s="2">
        <f t="shared" si="90"/>
        <v>0</v>
      </c>
      <c r="AR152" s="2">
        <f t="shared" si="90"/>
        <v>30042.28</v>
      </c>
      <c r="AS152" s="2">
        <f t="shared" si="90"/>
        <v>29769.83</v>
      </c>
      <c r="AT152" s="2">
        <f t="shared" si="90"/>
        <v>272.45</v>
      </c>
      <c r="AU152" s="2">
        <f t="shared" ref="AU152:BZ152" si="91">AU162</f>
        <v>0</v>
      </c>
      <c r="AV152" s="2">
        <f t="shared" si="91"/>
        <v>13716.45</v>
      </c>
      <c r="AW152" s="2">
        <f t="shared" si="91"/>
        <v>13716.45</v>
      </c>
      <c r="AX152" s="2">
        <f t="shared" si="91"/>
        <v>0</v>
      </c>
      <c r="AY152" s="2">
        <f t="shared" si="91"/>
        <v>13716.45</v>
      </c>
      <c r="AZ152" s="2">
        <f t="shared" si="91"/>
        <v>0</v>
      </c>
      <c r="BA152" s="2">
        <f t="shared" si="91"/>
        <v>0</v>
      </c>
      <c r="BB152" s="2">
        <f t="shared" si="91"/>
        <v>0</v>
      </c>
      <c r="BC152" s="2">
        <f t="shared" si="91"/>
        <v>0</v>
      </c>
      <c r="BD152" s="2">
        <f t="shared" si="91"/>
        <v>0</v>
      </c>
      <c r="BE152" s="2">
        <f t="shared" si="91"/>
        <v>0</v>
      </c>
      <c r="BF152" s="2">
        <f t="shared" si="91"/>
        <v>0</v>
      </c>
      <c r="BG152" s="2">
        <f t="shared" si="91"/>
        <v>0</v>
      </c>
      <c r="BH152" s="2">
        <f t="shared" si="91"/>
        <v>0</v>
      </c>
      <c r="BI152" s="2">
        <f t="shared" si="91"/>
        <v>0</v>
      </c>
      <c r="BJ152" s="2">
        <f t="shared" si="91"/>
        <v>0</v>
      </c>
      <c r="BK152" s="2">
        <f t="shared" si="91"/>
        <v>0</v>
      </c>
      <c r="BL152" s="2">
        <f t="shared" si="91"/>
        <v>0</v>
      </c>
      <c r="BM152" s="2">
        <f t="shared" si="91"/>
        <v>0</v>
      </c>
      <c r="BN152" s="2">
        <f t="shared" si="91"/>
        <v>0</v>
      </c>
      <c r="BO152" s="2">
        <f t="shared" si="91"/>
        <v>0</v>
      </c>
      <c r="BP152" s="2">
        <f t="shared" si="91"/>
        <v>0</v>
      </c>
      <c r="BQ152" s="2">
        <f t="shared" si="91"/>
        <v>0</v>
      </c>
      <c r="BR152" s="2">
        <f t="shared" si="91"/>
        <v>0</v>
      </c>
      <c r="BS152" s="2">
        <f t="shared" si="91"/>
        <v>0</v>
      </c>
      <c r="BT152" s="2">
        <f t="shared" si="91"/>
        <v>0</v>
      </c>
      <c r="BU152" s="2">
        <f t="shared" si="91"/>
        <v>0</v>
      </c>
      <c r="BV152" s="2">
        <f t="shared" si="91"/>
        <v>0</v>
      </c>
      <c r="BW152" s="2">
        <f t="shared" si="91"/>
        <v>0</v>
      </c>
      <c r="BX152" s="2">
        <f t="shared" si="91"/>
        <v>0</v>
      </c>
      <c r="BY152" s="2">
        <f t="shared" si="91"/>
        <v>0</v>
      </c>
      <c r="BZ152" s="2">
        <f t="shared" si="91"/>
        <v>0</v>
      </c>
      <c r="CA152" s="2">
        <f t="shared" ref="CA152:DF152" si="92">CA162</f>
        <v>30042.28</v>
      </c>
      <c r="CB152" s="2">
        <f t="shared" si="92"/>
        <v>29769.83</v>
      </c>
      <c r="CC152" s="2">
        <f t="shared" si="92"/>
        <v>272.45</v>
      </c>
      <c r="CD152" s="2">
        <f t="shared" si="92"/>
        <v>0</v>
      </c>
      <c r="CE152" s="2">
        <f t="shared" si="92"/>
        <v>13716.45</v>
      </c>
      <c r="CF152" s="2">
        <f t="shared" si="92"/>
        <v>13716.45</v>
      </c>
      <c r="CG152" s="2">
        <f t="shared" si="92"/>
        <v>0</v>
      </c>
      <c r="CH152" s="2">
        <f t="shared" si="92"/>
        <v>13716.45</v>
      </c>
      <c r="CI152" s="2">
        <f t="shared" si="92"/>
        <v>0</v>
      </c>
      <c r="CJ152" s="2">
        <f t="shared" si="92"/>
        <v>0</v>
      </c>
      <c r="CK152" s="2">
        <f t="shared" si="92"/>
        <v>0</v>
      </c>
      <c r="CL152" s="2">
        <f t="shared" si="92"/>
        <v>0</v>
      </c>
      <c r="CM152" s="2">
        <f t="shared" si="92"/>
        <v>0</v>
      </c>
      <c r="CN152" s="2">
        <f t="shared" si="92"/>
        <v>0</v>
      </c>
      <c r="CO152" s="2">
        <f t="shared" si="92"/>
        <v>0</v>
      </c>
      <c r="CP152" s="2">
        <f t="shared" si="92"/>
        <v>0</v>
      </c>
      <c r="CQ152" s="2">
        <f t="shared" si="92"/>
        <v>0</v>
      </c>
      <c r="CR152" s="2">
        <f t="shared" si="92"/>
        <v>0</v>
      </c>
      <c r="CS152" s="2">
        <f t="shared" si="92"/>
        <v>0</v>
      </c>
      <c r="CT152" s="2">
        <f t="shared" si="92"/>
        <v>0</v>
      </c>
      <c r="CU152" s="2">
        <f t="shared" si="92"/>
        <v>0</v>
      </c>
      <c r="CV152" s="2">
        <f t="shared" si="92"/>
        <v>0</v>
      </c>
      <c r="CW152" s="2">
        <f t="shared" si="92"/>
        <v>0</v>
      </c>
      <c r="CX152" s="2">
        <f t="shared" si="92"/>
        <v>0</v>
      </c>
      <c r="CY152" s="2">
        <f t="shared" si="92"/>
        <v>0</v>
      </c>
      <c r="CZ152" s="2">
        <f t="shared" si="92"/>
        <v>0</v>
      </c>
      <c r="DA152" s="2">
        <f t="shared" si="92"/>
        <v>0</v>
      </c>
      <c r="DB152" s="2">
        <f t="shared" si="92"/>
        <v>0</v>
      </c>
      <c r="DC152" s="2">
        <f t="shared" si="92"/>
        <v>0</v>
      </c>
      <c r="DD152" s="2">
        <f t="shared" si="92"/>
        <v>0</v>
      </c>
      <c r="DE152" s="2">
        <f t="shared" si="92"/>
        <v>0</v>
      </c>
      <c r="DF152" s="2">
        <f t="shared" si="92"/>
        <v>0</v>
      </c>
      <c r="DG152" s="3">
        <f t="shared" ref="DG152:EL152" si="93">DG162</f>
        <v>0</v>
      </c>
      <c r="DH152" s="3">
        <f t="shared" si="93"/>
        <v>0</v>
      </c>
      <c r="DI152" s="3">
        <f t="shared" si="93"/>
        <v>0</v>
      </c>
      <c r="DJ152" s="3">
        <f t="shared" si="93"/>
        <v>0</v>
      </c>
      <c r="DK152" s="3">
        <f t="shared" si="93"/>
        <v>0</v>
      </c>
      <c r="DL152" s="3">
        <f t="shared" si="93"/>
        <v>0</v>
      </c>
      <c r="DM152" s="3">
        <f t="shared" si="93"/>
        <v>0</v>
      </c>
      <c r="DN152" s="3">
        <f t="shared" si="93"/>
        <v>0</v>
      </c>
      <c r="DO152" s="3">
        <f t="shared" si="93"/>
        <v>0</v>
      </c>
      <c r="DP152" s="3">
        <f t="shared" si="93"/>
        <v>0</v>
      </c>
      <c r="DQ152" s="3">
        <f t="shared" si="93"/>
        <v>0</v>
      </c>
      <c r="DR152" s="3">
        <f t="shared" si="93"/>
        <v>0</v>
      </c>
      <c r="DS152" s="3">
        <f t="shared" si="93"/>
        <v>0</v>
      </c>
      <c r="DT152" s="3">
        <f t="shared" si="93"/>
        <v>0</v>
      </c>
      <c r="DU152" s="3">
        <f t="shared" si="93"/>
        <v>0</v>
      </c>
      <c r="DV152" s="3">
        <f t="shared" si="93"/>
        <v>0</v>
      </c>
      <c r="DW152" s="3">
        <f t="shared" si="93"/>
        <v>0</v>
      </c>
      <c r="DX152" s="3">
        <f t="shared" si="93"/>
        <v>0</v>
      </c>
      <c r="DY152" s="3">
        <f t="shared" si="93"/>
        <v>0</v>
      </c>
      <c r="DZ152" s="3">
        <f t="shared" si="93"/>
        <v>0</v>
      </c>
      <c r="EA152" s="3">
        <f t="shared" si="93"/>
        <v>0</v>
      </c>
      <c r="EB152" s="3">
        <f t="shared" si="93"/>
        <v>0</v>
      </c>
      <c r="EC152" s="3">
        <f t="shared" si="93"/>
        <v>0</v>
      </c>
      <c r="ED152" s="3">
        <f t="shared" si="93"/>
        <v>0</v>
      </c>
      <c r="EE152" s="3">
        <f t="shared" si="93"/>
        <v>0</v>
      </c>
      <c r="EF152" s="3">
        <f t="shared" si="93"/>
        <v>0</v>
      </c>
      <c r="EG152" s="3">
        <f t="shared" si="93"/>
        <v>0</v>
      </c>
      <c r="EH152" s="3">
        <f t="shared" si="93"/>
        <v>0</v>
      </c>
      <c r="EI152" s="3">
        <f t="shared" si="93"/>
        <v>0</v>
      </c>
      <c r="EJ152" s="3">
        <f t="shared" si="93"/>
        <v>0</v>
      </c>
      <c r="EK152" s="3">
        <f t="shared" si="93"/>
        <v>0</v>
      </c>
      <c r="EL152" s="3">
        <f t="shared" si="93"/>
        <v>0</v>
      </c>
      <c r="EM152" s="3">
        <f t="shared" ref="EM152:FR152" si="94">EM162</f>
        <v>0</v>
      </c>
      <c r="EN152" s="3">
        <f t="shared" si="94"/>
        <v>0</v>
      </c>
      <c r="EO152" s="3">
        <f t="shared" si="94"/>
        <v>0</v>
      </c>
      <c r="EP152" s="3">
        <f t="shared" si="94"/>
        <v>0</v>
      </c>
      <c r="EQ152" s="3">
        <f t="shared" si="94"/>
        <v>0</v>
      </c>
      <c r="ER152" s="3">
        <f t="shared" si="94"/>
        <v>0</v>
      </c>
      <c r="ES152" s="3">
        <f t="shared" si="94"/>
        <v>0</v>
      </c>
      <c r="ET152" s="3">
        <f t="shared" si="94"/>
        <v>0</v>
      </c>
      <c r="EU152" s="3">
        <f t="shared" si="94"/>
        <v>0</v>
      </c>
      <c r="EV152" s="3">
        <f t="shared" si="94"/>
        <v>0</v>
      </c>
      <c r="EW152" s="3">
        <f t="shared" si="94"/>
        <v>0</v>
      </c>
      <c r="EX152" s="3">
        <f t="shared" si="94"/>
        <v>0</v>
      </c>
      <c r="EY152" s="3">
        <f t="shared" si="94"/>
        <v>0</v>
      </c>
      <c r="EZ152" s="3">
        <f t="shared" si="94"/>
        <v>0</v>
      </c>
      <c r="FA152" s="3">
        <f t="shared" si="94"/>
        <v>0</v>
      </c>
      <c r="FB152" s="3">
        <f t="shared" si="94"/>
        <v>0</v>
      </c>
      <c r="FC152" s="3">
        <f t="shared" si="94"/>
        <v>0</v>
      </c>
      <c r="FD152" s="3">
        <f t="shared" si="94"/>
        <v>0</v>
      </c>
      <c r="FE152" s="3">
        <f t="shared" si="94"/>
        <v>0</v>
      </c>
      <c r="FF152" s="3">
        <f t="shared" si="94"/>
        <v>0</v>
      </c>
      <c r="FG152" s="3">
        <f t="shared" si="94"/>
        <v>0</v>
      </c>
      <c r="FH152" s="3">
        <f t="shared" si="94"/>
        <v>0</v>
      </c>
      <c r="FI152" s="3">
        <f t="shared" si="94"/>
        <v>0</v>
      </c>
      <c r="FJ152" s="3">
        <f t="shared" si="94"/>
        <v>0</v>
      </c>
      <c r="FK152" s="3">
        <f t="shared" si="94"/>
        <v>0</v>
      </c>
      <c r="FL152" s="3">
        <f t="shared" si="94"/>
        <v>0</v>
      </c>
      <c r="FM152" s="3">
        <f t="shared" si="94"/>
        <v>0</v>
      </c>
      <c r="FN152" s="3">
        <f t="shared" si="94"/>
        <v>0</v>
      </c>
      <c r="FO152" s="3">
        <f t="shared" si="94"/>
        <v>0</v>
      </c>
      <c r="FP152" s="3">
        <f t="shared" si="94"/>
        <v>0</v>
      </c>
      <c r="FQ152" s="3">
        <f t="shared" si="94"/>
        <v>0</v>
      </c>
      <c r="FR152" s="3">
        <f t="shared" si="94"/>
        <v>0</v>
      </c>
      <c r="FS152" s="3">
        <f t="shared" ref="FS152:GX152" si="95">FS162</f>
        <v>0</v>
      </c>
      <c r="FT152" s="3">
        <f t="shared" si="95"/>
        <v>0</v>
      </c>
      <c r="FU152" s="3">
        <f t="shared" si="95"/>
        <v>0</v>
      </c>
      <c r="FV152" s="3">
        <f t="shared" si="95"/>
        <v>0</v>
      </c>
      <c r="FW152" s="3">
        <f t="shared" si="95"/>
        <v>0</v>
      </c>
      <c r="FX152" s="3">
        <f t="shared" si="95"/>
        <v>0</v>
      </c>
      <c r="FY152" s="3">
        <f t="shared" si="95"/>
        <v>0</v>
      </c>
      <c r="FZ152" s="3">
        <f t="shared" si="95"/>
        <v>0</v>
      </c>
      <c r="GA152" s="3">
        <f t="shared" si="95"/>
        <v>0</v>
      </c>
      <c r="GB152" s="3">
        <f t="shared" si="95"/>
        <v>0</v>
      </c>
      <c r="GC152" s="3">
        <f t="shared" si="95"/>
        <v>0</v>
      </c>
      <c r="GD152" s="3">
        <f t="shared" si="95"/>
        <v>0</v>
      </c>
      <c r="GE152" s="3">
        <f t="shared" si="95"/>
        <v>0</v>
      </c>
      <c r="GF152" s="3">
        <f t="shared" si="95"/>
        <v>0</v>
      </c>
      <c r="GG152" s="3">
        <f t="shared" si="95"/>
        <v>0</v>
      </c>
      <c r="GH152" s="3">
        <f t="shared" si="95"/>
        <v>0</v>
      </c>
      <c r="GI152" s="3">
        <f t="shared" si="95"/>
        <v>0</v>
      </c>
      <c r="GJ152" s="3">
        <f t="shared" si="95"/>
        <v>0</v>
      </c>
      <c r="GK152" s="3">
        <f t="shared" si="95"/>
        <v>0</v>
      </c>
      <c r="GL152" s="3">
        <f t="shared" si="95"/>
        <v>0</v>
      </c>
      <c r="GM152" s="3">
        <f t="shared" si="95"/>
        <v>0</v>
      </c>
      <c r="GN152" s="3">
        <f t="shared" si="95"/>
        <v>0</v>
      </c>
      <c r="GO152" s="3">
        <f t="shared" si="95"/>
        <v>0</v>
      </c>
      <c r="GP152" s="3">
        <f t="shared" si="95"/>
        <v>0</v>
      </c>
      <c r="GQ152" s="3">
        <f t="shared" si="95"/>
        <v>0</v>
      </c>
      <c r="GR152" s="3">
        <f t="shared" si="95"/>
        <v>0</v>
      </c>
      <c r="GS152" s="3">
        <f t="shared" si="95"/>
        <v>0</v>
      </c>
      <c r="GT152" s="3">
        <f t="shared" si="95"/>
        <v>0</v>
      </c>
      <c r="GU152" s="3">
        <f t="shared" si="95"/>
        <v>0</v>
      </c>
      <c r="GV152" s="3">
        <f t="shared" si="95"/>
        <v>0</v>
      </c>
      <c r="GW152" s="3">
        <f t="shared" si="95"/>
        <v>0</v>
      </c>
      <c r="GX152" s="3">
        <f t="shared" si="95"/>
        <v>0</v>
      </c>
    </row>
    <row r="154" spans="1:245">
      <c r="A154">
        <v>17</v>
      </c>
      <c r="B154">
        <v>1</v>
      </c>
      <c r="C154">
        <f>ROW(SmtRes!A116)</f>
        <v>116</v>
      </c>
      <c r="D154">
        <f>ROW(EtalonRes!A111)</f>
        <v>111</v>
      </c>
      <c r="E154" t="s">
        <v>69</v>
      </c>
      <c r="F154" t="s">
        <v>171</v>
      </c>
      <c r="G154" t="s">
        <v>172</v>
      </c>
      <c r="H154" t="s">
        <v>173</v>
      </c>
      <c r="I154">
        <f>ROUND(32.33/100,9)</f>
        <v>0.32329999999999998</v>
      </c>
      <c r="J154">
        <v>0</v>
      </c>
      <c r="O154">
        <f t="shared" ref="O154:O160" si="96">ROUND(CP154,2)</f>
        <v>18554.46</v>
      </c>
      <c r="P154">
        <f t="shared" ref="P154:P160" si="97">ROUND(CQ154*I154,2)</f>
        <v>13378.51</v>
      </c>
      <c r="Q154">
        <f t="shared" ref="Q154:Q160" si="98">ROUND(CR154*I154,2)</f>
        <v>277.60000000000002</v>
      </c>
      <c r="R154">
        <f t="shared" ref="R154:R160" si="99">ROUND(CS154*I154,2)</f>
        <v>15.85</v>
      </c>
      <c r="S154">
        <f t="shared" ref="S154:S160" si="100">ROUND(CT154*I154,2)</f>
        <v>4898.3500000000004</v>
      </c>
      <c r="T154">
        <f t="shared" ref="T154:T160" si="101">ROUND(CU154*I154,2)</f>
        <v>0</v>
      </c>
      <c r="U154">
        <f t="shared" ref="U154:U160" si="102">CV154*I154</f>
        <v>16.213494999999998</v>
      </c>
      <c r="V154">
        <f t="shared" ref="V154:V160" si="103">CW154*I154</f>
        <v>3.5562999999999997E-2</v>
      </c>
      <c r="W154">
        <f t="shared" ref="W154:W160" si="104">ROUND(CX154*I154,2)</f>
        <v>0</v>
      </c>
      <c r="X154">
        <f t="shared" ref="X154:Y160" si="105">ROUND(CY154,2)</f>
        <v>4668.49</v>
      </c>
      <c r="Y154">
        <f t="shared" si="105"/>
        <v>2309.67</v>
      </c>
      <c r="AA154">
        <v>33806715</v>
      </c>
      <c r="AB154">
        <f t="shared" ref="AB154:AB160" si="106">ROUND((AC154+AD154+AF154),6)</f>
        <v>10435.35</v>
      </c>
      <c r="AC154">
        <f t="shared" ref="AC154:AC160" si="107">ROUND((ES154),6)</f>
        <v>9876.16</v>
      </c>
      <c r="AD154">
        <f t="shared" ref="AD154:AD160" si="108">ROUND((((ET154)-(EU154))+AE154),6)</f>
        <v>98.81</v>
      </c>
      <c r="AE154">
        <f t="shared" ref="AE154:AF160" si="109">ROUND((EU154),6)</f>
        <v>1.49</v>
      </c>
      <c r="AF154">
        <f t="shared" si="109"/>
        <v>460.38</v>
      </c>
      <c r="AG154">
        <f t="shared" ref="AG154:AG160" si="110">ROUND((AP154),6)</f>
        <v>0</v>
      </c>
      <c r="AH154">
        <f t="shared" ref="AH154:AI160" si="111">(EW154)</f>
        <v>50.15</v>
      </c>
      <c r="AI154">
        <f t="shared" si="111"/>
        <v>0.11</v>
      </c>
      <c r="AJ154">
        <f t="shared" ref="AJ154:AJ160" si="112">(AS154)</f>
        <v>0</v>
      </c>
      <c r="AK154">
        <v>10435.35</v>
      </c>
      <c r="AL154">
        <v>9876.16</v>
      </c>
      <c r="AM154">
        <v>98.81</v>
      </c>
      <c r="AN154">
        <v>1.49</v>
      </c>
      <c r="AO154">
        <v>460.38</v>
      </c>
      <c r="AP154">
        <v>0</v>
      </c>
      <c r="AQ154">
        <v>50.15</v>
      </c>
      <c r="AR154">
        <v>0.11</v>
      </c>
      <c r="AS154">
        <v>0</v>
      </c>
      <c r="AT154">
        <v>95</v>
      </c>
      <c r="AU154">
        <v>47</v>
      </c>
      <c r="AV154">
        <v>1</v>
      </c>
      <c r="AW154">
        <v>1</v>
      </c>
      <c r="AZ154">
        <v>1</v>
      </c>
      <c r="BA154">
        <v>32.909999999999997</v>
      </c>
      <c r="BB154">
        <v>8.69</v>
      </c>
      <c r="BC154">
        <v>4.1900000000000004</v>
      </c>
      <c r="BD154" t="s">
        <v>3</v>
      </c>
      <c r="BE154" t="s">
        <v>3</v>
      </c>
      <c r="BF154" t="s">
        <v>3</v>
      </c>
      <c r="BG154" t="s">
        <v>3</v>
      </c>
      <c r="BH154">
        <v>0</v>
      </c>
      <c r="BI154">
        <v>1</v>
      </c>
      <c r="BJ154" t="s">
        <v>174</v>
      </c>
      <c r="BM154">
        <v>15001</v>
      </c>
      <c r="BN154">
        <v>0</v>
      </c>
      <c r="BO154" t="s">
        <v>171</v>
      </c>
      <c r="BP154">
        <v>1</v>
      </c>
      <c r="BQ154">
        <v>2</v>
      </c>
      <c r="BR154">
        <v>0</v>
      </c>
      <c r="BS154">
        <v>32.909999999999997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105</v>
      </c>
      <c r="CA154">
        <v>55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ref="CP154:CP160" si="113">(P154+Q154+S154)</f>
        <v>18554.46</v>
      </c>
      <c r="CQ154">
        <f t="shared" ref="CQ154:CQ160" si="114">AC154*BC154</f>
        <v>41381.110400000005</v>
      </c>
      <c r="CR154">
        <f t="shared" ref="CR154:CR160" si="115">AD154*BB154</f>
        <v>858.65890000000002</v>
      </c>
      <c r="CS154">
        <f t="shared" ref="CS154:CS160" si="116">AE154*BS154</f>
        <v>49.035899999999998</v>
      </c>
      <c r="CT154">
        <f t="shared" ref="CT154:CT160" si="117">AF154*BA154</f>
        <v>15151.105799999998</v>
      </c>
      <c r="CU154">
        <f t="shared" ref="CU154:CX160" si="118">AG154</f>
        <v>0</v>
      </c>
      <c r="CV154">
        <f t="shared" si="118"/>
        <v>50.15</v>
      </c>
      <c r="CW154">
        <f t="shared" si="118"/>
        <v>0.11</v>
      </c>
      <c r="CX154">
        <f t="shared" si="118"/>
        <v>0</v>
      </c>
      <c r="CY154">
        <f t="shared" ref="CY154:CY160" si="119">(((S154+R154)*AT154)/100)</f>
        <v>4668.4900000000007</v>
      </c>
      <c r="CZ154">
        <f t="shared" ref="CZ154:CZ160" si="120">(((S154+R154)*AU154)/100)</f>
        <v>2309.6740000000004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173</v>
      </c>
      <c r="DW154" t="s">
        <v>173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35526105</v>
      </c>
      <c r="EF154">
        <v>2</v>
      </c>
      <c r="EG154" t="s">
        <v>76</v>
      </c>
      <c r="EH154">
        <v>0</v>
      </c>
      <c r="EI154" t="s">
        <v>3</v>
      </c>
      <c r="EJ154">
        <v>1</v>
      </c>
      <c r="EK154">
        <v>15001</v>
      </c>
      <c r="EL154" t="s">
        <v>164</v>
      </c>
      <c r="EM154" t="s">
        <v>165</v>
      </c>
      <c r="EO154" t="s">
        <v>3</v>
      </c>
      <c r="EQ154">
        <v>0</v>
      </c>
      <c r="ER154">
        <v>10435.35</v>
      </c>
      <c r="ES154">
        <v>9876.16</v>
      </c>
      <c r="ET154">
        <v>98.81</v>
      </c>
      <c r="EU154">
        <v>1.49</v>
      </c>
      <c r="EV154">
        <v>460.38</v>
      </c>
      <c r="EW154">
        <v>50.15</v>
      </c>
      <c r="EX154">
        <v>0.11</v>
      </c>
      <c r="EY154">
        <v>0</v>
      </c>
      <c r="FQ154">
        <v>0</v>
      </c>
      <c r="FR154">
        <f t="shared" ref="FR154:FR160" si="121">ROUND(IF(AND(BH154=3,BI154=3),P154,0),2)</f>
        <v>0</v>
      </c>
      <c r="FS154">
        <v>0</v>
      </c>
      <c r="FT154" t="s">
        <v>79</v>
      </c>
      <c r="FU154" t="s">
        <v>80</v>
      </c>
      <c r="FX154">
        <v>94.5</v>
      </c>
      <c r="FY154">
        <v>46.75</v>
      </c>
      <c r="GA154" t="s">
        <v>3</v>
      </c>
      <c r="GD154">
        <v>1</v>
      </c>
      <c r="GF154">
        <v>-483109428</v>
      </c>
      <c r="GG154">
        <v>2</v>
      </c>
      <c r="GH154">
        <v>1</v>
      </c>
      <c r="GI154">
        <v>2</v>
      </c>
      <c r="GJ154">
        <v>0</v>
      </c>
      <c r="GK154">
        <v>0</v>
      </c>
      <c r="GL154">
        <f t="shared" ref="GL154:GL160" si="122">ROUND(IF(AND(BH154=3,BI154=3,FS154&lt;&gt;0),P154,0),2)</f>
        <v>0</v>
      </c>
      <c r="GM154">
        <f t="shared" ref="GM154:GM160" si="123">ROUND(O154+X154+Y154,2)+GX154</f>
        <v>25532.62</v>
      </c>
      <c r="GN154">
        <f t="shared" ref="GN154:GN160" si="124">IF(OR(BI154=0,BI154=1),ROUND(O154+X154+Y154,2),0)</f>
        <v>25532.62</v>
      </c>
      <c r="GO154">
        <f t="shared" ref="GO154:GO160" si="125">IF(BI154=2,ROUND(O154+X154+Y154,2),0)</f>
        <v>0</v>
      </c>
      <c r="GP154">
        <f t="shared" ref="GP154:GP160" si="126">IF(BI154=4,ROUND(O154+X154+Y154,2)+GX154,0)</f>
        <v>0</v>
      </c>
      <c r="GR154">
        <v>0</v>
      </c>
      <c r="GS154">
        <v>3</v>
      </c>
      <c r="GT154">
        <v>0</v>
      </c>
      <c r="GU154" t="s">
        <v>3</v>
      </c>
      <c r="GV154">
        <f t="shared" ref="GV154:GV160" si="127">ROUND((GT154),6)</f>
        <v>0</v>
      </c>
      <c r="GW154">
        <v>1</v>
      </c>
      <c r="GX154">
        <f t="shared" ref="GX154:GX160" si="128">ROUND(HC154*I154,2)</f>
        <v>0</v>
      </c>
      <c r="HA154">
        <v>0</v>
      </c>
      <c r="HB154">
        <v>0</v>
      </c>
      <c r="HC154">
        <f t="shared" ref="HC154:HC160" si="129">GV154*GW154</f>
        <v>0</v>
      </c>
      <c r="HE154" t="s">
        <v>3</v>
      </c>
      <c r="HF154" t="s">
        <v>3</v>
      </c>
      <c r="IK154">
        <v>0</v>
      </c>
    </row>
    <row r="155" spans="1:245">
      <c r="A155">
        <v>17</v>
      </c>
      <c r="B155">
        <v>1</v>
      </c>
      <c r="C155">
        <f>ROW(SmtRes!A125)</f>
        <v>125</v>
      </c>
      <c r="D155">
        <f>ROW(EtalonRes!A120)</f>
        <v>120</v>
      </c>
      <c r="E155" t="s">
        <v>86</v>
      </c>
      <c r="F155" t="s">
        <v>175</v>
      </c>
      <c r="G155" t="s">
        <v>176</v>
      </c>
      <c r="H155" t="s">
        <v>173</v>
      </c>
      <c r="I155">
        <f>ROUND(3/100,9)</f>
        <v>0.03</v>
      </c>
      <c r="J155">
        <v>0</v>
      </c>
      <c r="O155">
        <f t="shared" si="96"/>
        <v>1572.56</v>
      </c>
      <c r="P155">
        <f t="shared" si="97"/>
        <v>48.84</v>
      </c>
      <c r="Q155">
        <f t="shared" si="98"/>
        <v>14.94</v>
      </c>
      <c r="R155">
        <f t="shared" si="99"/>
        <v>1.07</v>
      </c>
      <c r="S155">
        <f t="shared" si="100"/>
        <v>1508.78</v>
      </c>
      <c r="T155">
        <f t="shared" si="101"/>
        <v>0</v>
      </c>
      <c r="U155">
        <f t="shared" si="102"/>
        <v>4.9940999999999995</v>
      </c>
      <c r="V155">
        <f t="shared" si="103"/>
        <v>2.3999999999999998E-3</v>
      </c>
      <c r="W155">
        <f t="shared" si="104"/>
        <v>0</v>
      </c>
      <c r="X155">
        <f t="shared" si="105"/>
        <v>1434.36</v>
      </c>
      <c r="Y155">
        <f t="shared" si="105"/>
        <v>709.63</v>
      </c>
      <c r="AA155">
        <v>33806715</v>
      </c>
      <c r="AB155">
        <f t="shared" si="106"/>
        <v>2053.38</v>
      </c>
      <c r="AC155">
        <f t="shared" si="107"/>
        <v>478.86</v>
      </c>
      <c r="AD155">
        <f t="shared" si="108"/>
        <v>46.33</v>
      </c>
      <c r="AE155">
        <f t="shared" si="109"/>
        <v>1.08</v>
      </c>
      <c r="AF155">
        <f t="shared" si="109"/>
        <v>1528.19</v>
      </c>
      <c r="AG155">
        <f t="shared" si="110"/>
        <v>0</v>
      </c>
      <c r="AH155">
        <f t="shared" si="111"/>
        <v>166.47</v>
      </c>
      <c r="AI155">
        <f t="shared" si="111"/>
        <v>0.08</v>
      </c>
      <c r="AJ155">
        <f t="shared" si="112"/>
        <v>0</v>
      </c>
      <c r="AK155">
        <v>2053.38</v>
      </c>
      <c r="AL155">
        <v>478.86</v>
      </c>
      <c r="AM155">
        <v>46.33</v>
      </c>
      <c r="AN155">
        <v>1.08</v>
      </c>
      <c r="AO155">
        <v>1528.19</v>
      </c>
      <c r="AP155">
        <v>0</v>
      </c>
      <c r="AQ155">
        <v>166.47</v>
      </c>
      <c r="AR155">
        <v>0.08</v>
      </c>
      <c r="AS155">
        <v>0</v>
      </c>
      <c r="AT155">
        <v>95</v>
      </c>
      <c r="AU155">
        <v>47</v>
      </c>
      <c r="AV155">
        <v>1</v>
      </c>
      <c r="AW155">
        <v>1</v>
      </c>
      <c r="AZ155">
        <v>1</v>
      </c>
      <c r="BA155">
        <v>32.909999999999997</v>
      </c>
      <c r="BB155">
        <v>10.75</v>
      </c>
      <c r="BC155">
        <v>3.4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1</v>
      </c>
      <c r="BJ155" t="s">
        <v>177</v>
      </c>
      <c r="BM155">
        <v>15001</v>
      </c>
      <c r="BN155">
        <v>0</v>
      </c>
      <c r="BO155" t="s">
        <v>175</v>
      </c>
      <c r="BP155">
        <v>1</v>
      </c>
      <c r="BQ155">
        <v>2</v>
      </c>
      <c r="BR155">
        <v>0</v>
      </c>
      <c r="BS155">
        <v>32.909999999999997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105</v>
      </c>
      <c r="CA155">
        <v>55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13"/>
        <v>1572.56</v>
      </c>
      <c r="CQ155">
        <f t="shared" si="114"/>
        <v>1628.124</v>
      </c>
      <c r="CR155">
        <f t="shared" si="115"/>
        <v>498.04749999999996</v>
      </c>
      <c r="CS155">
        <f t="shared" si="116"/>
        <v>35.5428</v>
      </c>
      <c r="CT155">
        <f t="shared" si="117"/>
        <v>50292.732899999995</v>
      </c>
      <c r="CU155">
        <f t="shared" si="118"/>
        <v>0</v>
      </c>
      <c r="CV155">
        <f t="shared" si="118"/>
        <v>166.47</v>
      </c>
      <c r="CW155">
        <f t="shared" si="118"/>
        <v>0.08</v>
      </c>
      <c r="CX155">
        <f t="shared" si="118"/>
        <v>0</v>
      </c>
      <c r="CY155">
        <f t="shared" si="119"/>
        <v>1434.3575000000001</v>
      </c>
      <c r="CZ155">
        <f t="shared" si="120"/>
        <v>709.62950000000001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173</v>
      </c>
      <c r="DW155" t="s">
        <v>173</v>
      </c>
      <c r="DX155">
        <v>1</v>
      </c>
      <c r="DZ155" t="s">
        <v>3</v>
      </c>
      <c r="EA155" t="s">
        <v>3</v>
      </c>
      <c r="EB155" t="s">
        <v>3</v>
      </c>
      <c r="EC155" t="s">
        <v>3</v>
      </c>
      <c r="EE155">
        <v>35526105</v>
      </c>
      <c r="EF155">
        <v>2</v>
      </c>
      <c r="EG155" t="s">
        <v>76</v>
      </c>
      <c r="EH155">
        <v>0</v>
      </c>
      <c r="EI155" t="s">
        <v>3</v>
      </c>
      <c r="EJ155">
        <v>1</v>
      </c>
      <c r="EK155">
        <v>15001</v>
      </c>
      <c r="EL155" t="s">
        <v>164</v>
      </c>
      <c r="EM155" t="s">
        <v>165</v>
      </c>
      <c r="EO155" t="s">
        <v>3</v>
      </c>
      <c r="EQ155">
        <v>0</v>
      </c>
      <c r="ER155">
        <v>2053.38</v>
      </c>
      <c r="ES155">
        <v>478.86</v>
      </c>
      <c r="ET155">
        <v>46.33</v>
      </c>
      <c r="EU155">
        <v>1.08</v>
      </c>
      <c r="EV155">
        <v>1528.19</v>
      </c>
      <c r="EW155">
        <v>166.47</v>
      </c>
      <c r="EX155">
        <v>0.08</v>
      </c>
      <c r="EY155">
        <v>0</v>
      </c>
      <c r="FQ155">
        <v>0</v>
      </c>
      <c r="FR155">
        <f t="shared" si="121"/>
        <v>0</v>
      </c>
      <c r="FS155">
        <v>0</v>
      </c>
      <c r="FT155" t="s">
        <v>79</v>
      </c>
      <c r="FU155" t="s">
        <v>80</v>
      </c>
      <c r="FX155">
        <v>94.5</v>
      </c>
      <c r="FY155">
        <v>46.75</v>
      </c>
      <c r="GA155" t="s">
        <v>3</v>
      </c>
      <c r="GD155">
        <v>1</v>
      </c>
      <c r="GF155">
        <v>-1841865788</v>
      </c>
      <c r="GG155">
        <v>2</v>
      </c>
      <c r="GH155">
        <v>1</v>
      </c>
      <c r="GI155">
        <v>2</v>
      </c>
      <c r="GJ155">
        <v>0</v>
      </c>
      <c r="GK155">
        <v>0</v>
      </c>
      <c r="GL155">
        <f t="shared" si="122"/>
        <v>0</v>
      </c>
      <c r="GM155">
        <f t="shared" si="123"/>
        <v>3716.55</v>
      </c>
      <c r="GN155">
        <f t="shared" si="124"/>
        <v>3716.55</v>
      </c>
      <c r="GO155">
        <f t="shared" si="125"/>
        <v>0</v>
      </c>
      <c r="GP155">
        <f t="shared" si="126"/>
        <v>0</v>
      </c>
      <c r="GR155">
        <v>0</v>
      </c>
      <c r="GS155">
        <v>3</v>
      </c>
      <c r="GT155">
        <v>0</v>
      </c>
      <c r="GU155" t="s">
        <v>3</v>
      </c>
      <c r="GV155">
        <f t="shared" si="127"/>
        <v>0</v>
      </c>
      <c r="GW155">
        <v>1</v>
      </c>
      <c r="GX155">
        <f t="shared" si="128"/>
        <v>0</v>
      </c>
      <c r="HA155">
        <v>0</v>
      </c>
      <c r="HB155">
        <v>0</v>
      </c>
      <c r="HC155">
        <f t="shared" si="129"/>
        <v>0</v>
      </c>
      <c r="HE155" t="s">
        <v>3</v>
      </c>
      <c r="HF155" t="s">
        <v>3</v>
      </c>
      <c r="IK155">
        <v>0</v>
      </c>
    </row>
    <row r="156" spans="1:245">
      <c r="A156">
        <v>18</v>
      </c>
      <c r="B156">
        <v>1</v>
      </c>
      <c r="C156">
        <v>124</v>
      </c>
      <c r="E156" t="s">
        <v>94</v>
      </c>
      <c r="F156" t="s">
        <v>178</v>
      </c>
      <c r="G156" t="s">
        <v>179</v>
      </c>
      <c r="H156" t="s">
        <v>143</v>
      </c>
      <c r="I156">
        <f>I155*J156</f>
        <v>3.15</v>
      </c>
      <c r="J156">
        <v>105</v>
      </c>
      <c r="O156">
        <f t="shared" si="96"/>
        <v>0</v>
      </c>
      <c r="P156">
        <f t="shared" si="97"/>
        <v>0</v>
      </c>
      <c r="Q156">
        <f t="shared" si="98"/>
        <v>0</v>
      </c>
      <c r="R156">
        <f t="shared" si="99"/>
        <v>0</v>
      </c>
      <c r="S156">
        <f t="shared" si="100"/>
        <v>0</v>
      </c>
      <c r="T156">
        <f t="shared" si="101"/>
        <v>0</v>
      </c>
      <c r="U156">
        <f t="shared" si="102"/>
        <v>0</v>
      </c>
      <c r="V156">
        <f t="shared" si="103"/>
        <v>0</v>
      </c>
      <c r="W156">
        <f t="shared" si="104"/>
        <v>0</v>
      </c>
      <c r="X156">
        <f t="shared" si="105"/>
        <v>0</v>
      </c>
      <c r="Y156">
        <f t="shared" si="105"/>
        <v>0</v>
      </c>
      <c r="AA156">
        <v>33806715</v>
      </c>
      <c r="AB156">
        <f t="shared" si="106"/>
        <v>0</v>
      </c>
      <c r="AC156">
        <f t="shared" si="107"/>
        <v>0</v>
      </c>
      <c r="AD156">
        <f t="shared" si="108"/>
        <v>0</v>
      </c>
      <c r="AE156">
        <f t="shared" si="109"/>
        <v>0</v>
      </c>
      <c r="AF156">
        <f t="shared" si="109"/>
        <v>0</v>
      </c>
      <c r="AG156">
        <f t="shared" si="110"/>
        <v>0</v>
      </c>
      <c r="AH156">
        <f t="shared" si="111"/>
        <v>0</v>
      </c>
      <c r="AI156">
        <f t="shared" si="111"/>
        <v>0</v>
      </c>
      <c r="AJ156">
        <f t="shared" si="112"/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95</v>
      </c>
      <c r="AU156">
        <v>47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1</v>
      </c>
      <c r="BD156" t="s">
        <v>3</v>
      </c>
      <c r="BE156" t="s">
        <v>3</v>
      </c>
      <c r="BF156" t="s">
        <v>3</v>
      </c>
      <c r="BG156" t="s">
        <v>3</v>
      </c>
      <c r="BH156">
        <v>3</v>
      </c>
      <c r="BI156">
        <v>1</v>
      </c>
      <c r="BJ156" t="s">
        <v>180</v>
      </c>
      <c r="BM156">
        <v>15001</v>
      </c>
      <c r="BN156">
        <v>0</v>
      </c>
      <c r="BO156" t="s">
        <v>3</v>
      </c>
      <c r="BP156">
        <v>0</v>
      </c>
      <c r="BQ156">
        <v>2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105</v>
      </c>
      <c r="CA156">
        <v>55</v>
      </c>
      <c r="CE156">
        <v>0</v>
      </c>
      <c r="CF156">
        <v>0</v>
      </c>
      <c r="CG156">
        <v>0</v>
      </c>
      <c r="CM156">
        <v>0</v>
      </c>
      <c r="CN156" t="s">
        <v>3</v>
      </c>
      <c r="CO156">
        <v>0</v>
      </c>
      <c r="CP156">
        <f t="shared" si="113"/>
        <v>0</v>
      </c>
      <c r="CQ156">
        <f t="shared" si="114"/>
        <v>0</v>
      </c>
      <c r="CR156">
        <f t="shared" si="115"/>
        <v>0</v>
      </c>
      <c r="CS156">
        <f t="shared" si="116"/>
        <v>0</v>
      </c>
      <c r="CT156">
        <f t="shared" si="117"/>
        <v>0</v>
      </c>
      <c r="CU156">
        <f t="shared" si="118"/>
        <v>0</v>
      </c>
      <c r="CV156">
        <f t="shared" si="118"/>
        <v>0</v>
      </c>
      <c r="CW156">
        <f t="shared" si="118"/>
        <v>0</v>
      </c>
      <c r="CX156">
        <f t="shared" si="118"/>
        <v>0</v>
      </c>
      <c r="CY156">
        <f t="shared" si="119"/>
        <v>0</v>
      </c>
      <c r="CZ156">
        <f t="shared" si="120"/>
        <v>0</v>
      </c>
      <c r="DC156" t="s">
        <v>3</v>
      </c>
      <c r="DD156" t="s">
        <v>3</v>
      </c>
      <c r="DE156" t="s">
        <v>3</v>
      </c>
      <c r="DF156" t="s">
        <v>3</v>
      </c>
      <c r="DG156" t="s">
        <v>3</v>
      </c>
      <c r="DH156" t="s">
        <v>3</v>
      </c>
      <c r="DI156" t="s">
        <v>3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1005</v>
      </c>
      <c r="DV156" t="s">
        <v>143</v>
      </c>
      <c r="DW156" t="s">
        <v>143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35526105</v>
      </c>
      <c r="EF156">
        <v>2</v>
      </c>
      <c r="EG156" t="s">
        <v>76</v>
      </c>
      <c r="EH156">
        <v>0</v>
      </c>
      <c r="EI156" t="s">
        <v>3</v>
      </c>
      <c r="EJ156">
        <v>1</v>
      </c>
      <c r="EK156">
        <v>15001</v>
      </c>
      <c r="EL156" t="s">
        <v>164</v>
      </c>
      <c r="EM156" t="s">
        <v>165</v>
      </c>
      <c r="EO156" t="s">
        <v>3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FQ156">
        <v>0</v>
      </c>
      <c r="FR156">
        <f t="shared" si="121"/>
        <v>0</v>
      </c>
      <c r="FS156">
        <v>0</v>
      </c>
      <c r="FT156" t="s">
        <v>79</v>
      </c>
      <c r="FU156" t="s">
        <v>80</v>
      </c>
      <c r="FX156">
        <v>94.5</v>
      </c>
      <c r="FY156">
        <v>46.75</v>
      </c>
      <c r="GA156" t="s">
        <v>3</v>
      </c>
      <c r="GD156">
        <v>1</v>
      </c>
      <c r="GF156">
        <v>522970763</v>
      </c>
      <c r="GG156">
        <v>2</v>
      </c>
      <c r="GH156">
        <v>1</v>
      </c>
      <c r="GI156">
        <v>-2</v>
      </c>
      <c r="GJ156">
        <v>0</v>
      </c>
      <c r="GK156">
        <v>0</v>
      </c>
      <c r="GL156">
        <f t="shared" si="122"/>
        <v>0</v>
      </c>
      <c r="GM156">
        <f t="shared" si="123"/>
        <v>0</v>
      </c>
      <c r="GN156">
        <f t="shared" si="124"/>
        <v>0</v>
      </c>
      <c r="GO156">
        <f t="shared" si="125"/>
        <v>0</v>
      </c>
      <c r="GP156">
        <f t="shared" si="126"/>
        <v>0</v>
      </c>
      <c r="GR156">
        <v>0</v>
      </c>
      <c r="GS156">
        <v>3</v>
      </c>
      <c r="GT156">
        <v>0</v>
      </c>
      <c r="GU156" t="s">
        <v>3</v>
      </c>
      <c r="GV156">
        <f t="shared" si="127"/>
        <v>0</v>
      </c>
      <c r="GW156">
        <v>1</v>
      </c>
      <c r="GX156">
        <f t="shared" si="128"/>
        <v>0</v>
      </c>
      <c r="HA156">
        <v>0</v>
      </c>
      <c r="HB156">
        <v>0</v>
      </c>
      <c r="HC156">
        <f t="shared" si="129"/>
        <v>0</v>
      </c>
      <c r="HE156" t="s">
        <v>3</v>
      </c>
      <c r="HF156" t="s">
        <v>3</v>
      </c>
      <c r="IK156">
        <v>0</v>
      </c>
    </row>
    <row r="157" spans="1:245">
      <c r="A157">
        <v>18</v>
      </c>
      <c r="B157">
        <v>1</v>
      </c>
      <c r="C157">
        <v>125</v>
      </c>
      <c r="E157" t="s">
        <v>98</v>
      </c>
      <c r="F157" t="s">
        <v>181</v>
      </c>
      <c r="G157" t="s">
        <v>182</v>
      </c>
      <c r="H157" t="s">
        <v>101</v>
      </c>
      <c r="I157">
        <f>I155*J157</f>
        <v>2.6699999999999998E-4</v>
      </c>
      <c r="J157">
        <v>8.8999999999999999E-3</v>
      </c>
      <c r="O157">
        <f t="shared" si="96"/>
        <v>0</v>
      </c>
      <c r="P157">
        <f t="shared" si="97"/>
        <v>0</v>
      </c>
      <c r="Q157">
        <f t="shared" si="98"/>
        <v>0</v>
      </c>
      <c r="R157">
        <f t="shared" si="99"/>
        <v>0</v>
      </c>
      <c r="S157">
        <f t="shared" si="100"/>
        <v>0</v>
      </c>
      <c r="T157">
        <f t="shared" si="101"/>
        <v>0</v>
      </c>
      <c r="U157">
        <f t="shared" si="102"/>
        <v>0</v>
      </c>
      <c r="V157">
        <f t="shared" si="103"/>
        <v>0</v>
      </c>
      <c r="W157">
        <f t="shared" si="104"/>
        <v>0</v>
      </c>
      <c r="X157">
        <f t="shared" si="105"/>
        <v>0</v>
      </c>
      <c r="Y157">
        <f t="shared" si="105"/>
        <v>0</v>
      </c>
      <c r="AA157">
        <v>33806715</v>
      </c>
      <c r="AB157">
        <f t="shared" si="106"/>
        <v>0</v>
      </c>
      <c r="AC157">
        <f t="shared" si="107"/>
        <v>0</v>
      </c>
      <c r="AD157">
        <f t="shared" si="108"/>
        <v>0</v>
      </c>
      <c r="AE157">
        <f t="shared" si="109"/>
        <v>0</v>
      </c>
      <c r="AF157">
        <f t="shared" si="109"/>
        <v>0</v>
      </c>
      <c r="AG157">
        <f t="shared" si="110"/>
        <v>0</v>
      </c>
      <c r="AH157">
        <f t="shared" si="111"/>
        <v>0</v>
      </c>
      <c r="AI157">
        <f t="shared" si="111"/>
        <v>0</v>
      </c>
      <c r="AJ157">
        <f t="shared" si="112"/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95</v>
      </c>
      <c r="AU157">
        <v>47</v>
      </c>
      <c r="AV157">
        <v>1</v>
      </c>
      <c r="AW157">
        <v>1</v>
      </c>
      <c r="AZ157">
        <v>1</v>
      </c>
      <c r="BA157">
        <v>1</v>
      </c>
      <c r="BB157">
        <v>1</v>
      </c>
      <c r="BC157">
        <v>1</v>
      </c>
      <c r="BD157" t="s">
        <v>3</v>
      </c>
      <c r="BE157" t="s">
        <v>3</v>
      </c>
      <c r="BF157" t="s">
        <v>3</v>
      </c>
      <c r="BG157" t="s">
        <v>3</v>
      </c>
      <c r="BH157">
        <v>3</v>
      </c>
      <c r="BI157">
        <v>1</v>
      </c>
      <c r="BJ157" t="s">
        <v>183</v>
      </c>
      <c r="BM157">
        <v>15001</v>
      </c>
      <c r="BN157">
        <v>0</v>
      </c>
      <c r="BO157" t="s">
        <v>3</v>
      </c>
      <c r="BP157">
        <v>0</v>
      </c>
      <c r="BQ157">
        <v>2</v>
      </c>
      <c r="BR157">
        <v>0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105</v>
      </c>
      <c r="CA157">
        <v>55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13"/>
        <v>0</v>
      </c>
      <c r="CQ157">
        <f t="shared" si="114"/>
        <v>0</v>
      </c>
      <c r="CR157">
        <f t="shared" si="115"/>
        <v>0</v>
      </c>
      <c r="CS157">
        <f t="shared" si="116"/>
        <v>0</v>
      </c>
      <c r="CT157">
        <f t="shared" si="117"/>
        <v>0</v>
      </c>
      <c r="CU157">
        <f t="shared" si="118"/>
        <v>0</v>
      </c>
      <c r="CV157">
        <f t="shared" si="118"/>
        <v>0</v>
      </c>
      <c r="CW157">
        <f t="shared" si="118"/>
        <v>0</v>
      </c>
      <c r="CX157">
        <f t="shared" si="118"/>
        <v>0</v>
      </c>
      <c r="CY157">
        <f t="shared" si="119"/>
        <v>0</v>
      </c>
      <c r="CZ157">
        <f t="shared" si="120"/>
        <v>0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1009</v>
      </c>
      <c r="DV157" t="s">
        <v>101</v>
      </c>
      <c r="DW157" t="s">
        <v>101</v>
      </c>
      <c r="DX157">
        <v>1000</v>
      </c>
      <c r="DZ157" t="s">
        <v>3</v>
      </c>
      <c r="EA157" t="s">
        <v>3</v>
      </c>
      <c r="EB157" t="s">
        <v>3</v>
      </c>
      <c r="EC157" t="s">
        <v>3</v>
      </c>
      <c r="EE157">
        <v>35526105</v>
      </c>
      <c r="EF157">
        <v>2</v>
      </c>
      <c r="EG157" t="s">
        <v>76</v>
      </c>
      <c r="EH157">
        <v>0</v>
      </c>
      <c r="EI157" t="s">
        <v>3</v>
      </c>
      <c r="EJ157">
        <v>1</v>
      </c>
      <c r="EK157">
        <v>15001</v>
      </c>
      <c r="EL157" t="s">
        <v>164</v>
      </c>
      <c r="EM157" t="s">
        <v>165</v>
      </c>
      <c r="EO157" t="s">
        <v>3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FQ157">
        <v>0</v>
      </c>
      <c r="FR157">
        <f t="shared" si="121"/>
        <v>0</v>
      </c>
      <c r="FS157">
        <v>0</v>
      </c>
      <c r="FT157" t="s">
        <v>79</v>
      </c>
      <c r="FU157" t="s">
        <v>80</v>
      </c>
      <c r="FX157">
        <v>94.5</v>
      </c>
      <c r="FY157">
        <v>46.75</v>
      </c>
      <c r="GA157" t="s">
        <v>3</v>
      </c>
      <c r="GD157">
        <v>1</v>
      </c>
      <c r="GF157">
        <v>-192135928</v>
      </c>
      <c r="GG157">
        <v>2</v>
      </c>
      <c r="GH157">
        <v>1</v>
      </c>
      <c r="GI157">
        <v>-2</v>
      </c>
      <c r="GJ157">
        <v>0</v>
      </c>
      <c r="GK157">
        <v>0</v>
      </c>
      <c r="GL157">
        <f t="shared" si="122"/>
        <v>0</v>
      </c>
      <c r="GM157">
        <f t="shared" si="123"/>
        <v>0</v>
      </c>
      <c r="GN157">
        <f t="shared" si="124"/>
        <v>0</v>
      </c>
      <c r="GO157">
        <f t="shared" si="125"/>
        <v>0</v>
      </c>
      <c r="GP157">
        <f t="shared" si="126"/>
        <v>0</v>
      </c>
      <c r="GR157">
        <v>0</v>
      </c>
      <c r="GS157">
        <v>3</v>
      </c>
      <c r="GT157">
        <v>0</v>
      </c>
      <c r="GU157" t="s">
        <v>3</v>
      </c>
      <c r="GV157">
        <f t="shared" si="127"/>
        <v>0</v>
      </c>
      <c r="GW157">
        <v>1</v>
      </c>
      <c r="GX157">
        <f t="shared" si="128"/>
        <v>0</v>
      </c>
      <c r="HA157">
        <v>0</v>
      </c>
      <c r="HB157">
        <v>0</v>
      </c>
      <c r="HC157">
        <f t="shared" si="129"/>
        <v>0</v>
      </c>
      <c r="HE157" t="s">
        <v>3</v>
      </c>
      <c r="HF157" t="s">
        <v>3</v>
      </c>
      <c r="IK157">
        <v>0</v>
      </c>
    </row>
    <row r="158" spans="1:245">
      <c r="A158">
        <v>17</v>
      </c>
      <c r="B158">
        <v>1</v>
      </c>
      <c r="C158">
        <f>ROW(SmtRes!A132)</f>
        <v>132</v>
      </c>
      <c r="D158">
        <f>ROW(EtalonRes!A127)</f>
        <v>127</v>
      </c>
      <c r="E158" t="s">
        <v>145</v>
      </c>
      <c r="F158" t="s">
        <v>184</v>
      </c>
      <c r="G158" t="s">
        <v>185</v>
      </c>
      <c r="H158" t="s">
        <v>186</v>
      </c>
      <c r="I158">
        <f>ROUND(1.5/100,9)</f>
        <v>1.4999999999999999E-2</v>
      </c>
      <c r="J158">
        <v>0</v>
      </c>
      <c r="O158">
        <f t="shared" si="96"/>
        <v>377.46</v>
      </c>
      <c r="P158">
        <f t="shared" si="97"/>
        <v>285.89</v>
      </c>
      <c r="Q158">
        <f t="shared" si="98"/>
        <v>2.34</v>
      </c>
      <c r="R158">
        <f t="shared" si="99"/>
        <v>0.27</v>
      </c>
      <c r="S158">
        <f t="shared" si="100"/>
        <v>89.23</v>
      </c>
      <c r="T158">
        <f t="shared" si="101"/>
        <v>0</v>
      </c>
      <c r="U158">
        <f t="shared" si="102"/>
        <v>0.31785000000000002</v>
      </c>
      <c r="V158">
        <f t="shared" si="103"/>
        <v>5.9999999999999995E-4</v>
      </c>
      <c r="W158">
        <f t="shared" si="104"/>
        <v>0</v>
      </c>
      <c r="X158">
        <f t="shared" si="105"/>
        <v>94.87</v>
      </c>
      <c r="Y158">
        <f t="shared" si="105"/>
        <v>48.33</v>
      </c>
      <c r="AA158">
        <v>33806715</v>
      </c>
      <c r="AB158">
        <f t="shared" si="106"/>
        <v>4199.17</v>
      </c>
      <c r="AC158">
        <f t="shared" si="107"/>
        <v>4004.09</v>
      </c>
      <c r="AD158">
        <f t="shared" si="108"/>
        <v>14.33</v>
      </c>
      <c r="AE158">
        <f t="shared" si="109"/>
        <v>0.54</v>
      </c>
      <c r="AF158">
        <f t="shared" si="109"/>
        <v>180.75</v>
      </c>
      <c r="AG158">
        <f t="shared" si="110"/>
        <v>0</v>
      </c>
      <c r="AH158">
        <f t="shared" si="111"/>
        <v>21.19</v>
      </c>
      <c r="AI158">
        <f t="shared" si="111"/>
        <v>0.04</v>
      </c>
      <c r="AJ158">
        <f t="shared" si="112"/>
        <v>0</v>
      </c>
      <c r="AK158">
        <v>4199.17</v>
      </c>
      <c r="AL158">
        <v>4004.09</v>
      </c>
      <c r="AM158">
        <v>14.33</v>
      </c>
      <c r="AN158">
        <v>0.54</v>
      </c>
      <c r="AO158">
        <v>180.75</v>
      </c>
      <c r="AP158">
        <v>0</v>
      </c>
      <c r="AQ158">
        <v>21.19</v>
      </c>
      <c r="AR158">
        <v>0.04</v>
      </c>
      <c r="AS158">
        <v>0</v>
      </c>
      <c r="AT158">
        <v>106</v>
      </c>
      <c r="AU158">
        <v>54</v>
      </c>
      <c r="AV158">
        <v>1</v>
      </c>
      <c r="AW158">
        <v>1</v>
      </c>
      <c r="AZ158">
        <v>1</v>
      </c>
      <c r="BA158">
        <v>32.909999999999997</v>
      </c>
      <c r="BB158">
        <v>10.88</v>
      </c>
      <c r="BC158">
        <v>4.76</v>
      </c>
      <c r="BD158" t="s">
        <v>3</v>
      </c>
      <c r="BE158" t="s">
        <v>3</v>
      </c>
      <c r="BF158" t="s">
        <v>3</v>
      </c>
      <c r="BG158" t="s">
        <v>3</v>
      </c>
      <c r="BH158">
        <v>0</v>
      </c>
      <c r="BI158">
        <v>1</v>
      </c>
      <c r="BJ158" t="s">
        <v>187</v>
      </c>
      <c r="BM158">
        <v>10001</v>
      </c>
      <c r="BN158">
        <v>0</v>
      </c>
      <c r="BO158" t="s">
        <v>184</v>
      </c>
      <c r="BP158">
        <v>1</v>
      </c>
      <c r="BQ158">
        <v>2</v>
      </c>
      <c r="BR158">
        <v>0</v>
      </c>
      <c r="BS158">
        <v>32.909999999999997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118</v>
      </c>
      <c r="CA158">
        <v>63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13"/>
        <v>377.46</v>
      </c>
      <c r="CQ158">
        <f t="shared" si="114"/>
        <v>19059.468400000002</v>
      </c>
      <c r="CR158">
        <f t="shared" si="115"/>
        <v>155.91040000000001</v>
      </c>
      <c r="CS158">
        <f t="shared" si="116"/>
        <v>17.7714</v>
      </c>
      <c r="CT158">
        <f t="shared" si="117"/>
        <v>5948.4824999999992</v>
      </c>
      <c r="CU158">
        <f t="shared" si="118"/>
        <v>0</v>
      </c>
      <c r="CV158">
        <f t="shared" si="118"/>
        <v>21.19</v>
      </c>
      <c r="CW158">
        <f t="shared" si="118"/>
        <v>0.04</v>
      </c>
      <c r="CX158">
        <f t="shared" si="118"/>
        <v>0</v>
      </c>
      <c r="CY158">
        <f t="shared" si="119"/>
        <v>94.87</v>
      </c>
      <c r="CZ158">
        <f t="shared" si="120"/>
        <v>48.33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1013</v>
      </c>
      <c r="DV158" t="s">
        <v>186</v>
      </c>
      <c r="DW158" t="s">
        <v>186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35526079</v>
      </c>
      <c r="EF158">
        <v>2</v>
      </c>
      <c r="EG158" t="s">
        <v>76</v>
      </c>
      <c r="EH158">
        <v>0</v>
      </c>
      <c r="EI158" t="s">
        <v>3</v>
      </c>
      <c r="EJ158">
        <v>1</v>
      </c>
      <c r="EK158">
        <v>10001</v>
      </c>
      <c r="EL158" t="s">
        <v>77</v>
      </c>
      <c r="EM158" t="s">
        <v>78</v>
      </c>
      <c r="EO158" t="s">
        <v>3</v>
      </c>
      <c r="EQ158">
        <v>0</v>
      </c>
      <c r="ER158">
        <v>4199.17</v>
      </c>
      <c r="ES158">
        <v>4004.09</v>
      </c>
      <c r="ET158">
        <v>14.33</v>
      </c>
      <c r="EU158">
        <v>0.54</v>
      </c>
      <c r="EV158">
        <v>180.75</v>
      </c>
      <c r="EW158">
        <v>21.19</v>
      </c>
      <c r="EX158">
        <v>0.04</v>
      </c>
      <c r="EY158">
        <v>0</v>
      </c>
      <c r="FQ158">
        <v>0</v>
      </c>
      <c r="FR158">
        <f t="shared" si="121"/>
        <v>0</v>
      </c>
      <c r="FS158">
        <v>0</v>
      </c>
      <c r="FT158" t="s">
        <v>79</v>
      </c>
      <c r="FU158" t="s">
        <v>80</v>
      </c>
      <c r="FX158">
        <v>106.2</v>
      </c>
      <c r="FY158">
        <v>53.55</v>
      </c>
      <c r="GA158" t="s">
        <v>3</v>
      </c>
      <c r="GD158">
        <v>1</v>
      </c>
      <c r="GF158">
        <v>-1773683300</v>
      </c>
      <c r="GG158">
        <v>2</v>
      </c>
      <c r="GH158">
        <v>1</v>
      </c>
      <c r="GI158">
        <v>2</v>
      </c>
      <c r="GJ158">
        <v>0</v>
      </c>
      <c r="GK158">
        <v>0</v>
      </c>
      <c r="GL158">
        <f t="shared" si="122"/>
        <v>0</v>
      </c>
      <c r="GM158">
        <f t="shared" si="123"/>
        <v>520.66</v>
      </c>
      <c r="GN158">
        <f t="shared" si="124"/>
        <v>520.66</v>
      </c>
      <c r="GO158">
        <f t="shared" si="125"/>
        <v>0</v>
      </c>
      <c r="GP158">
        <f t="shared" si="126"/>
        <v>0</v>
      </c>
      <c r="GR158">
        <v>0</v>
      </c>
      <c r="GS158">
        <v>3</v>
      </c>
      <c r="GT158">
        <v>0</v>
      </c>
      <c r="GU158" t="s">
        <v>3</v>
      </c>
      <c r="GV158">
        <f t="shared" si="127"/>
        <v>0</v>
      </c>
      <c r="GW158">
        <v>1</v>
      </c>
      <c r="GX158">
        <f t="shared" si="128"/>
        <v>0</v>
      </c>
      <c r="HA158">
        <v>0</v>
      </c>
      <c r="HB158">
        <v>0</v>
      </c>
      <c r="HC158">
        <f t="shared" si="129"/>
        <v>0</v>
      </c>
      <c r="HE158" t="s">
        <v>3</v>
      </c>
      <c r="HF158" t="s">
        <v>3</v>
      </c>
      <c r="IK158">
        <v>0</v>
      </c>
    </row>
    <row r="159" spans="1:245">
      <c r="A159">
        <v>18</v>
      </c>
      <c r="B159">
        <v>1</v>
      </c>
      <c r="C159">
        <v>131</v>
      </c>
      <c r="E159" t="s">
        <v>166</v>
      </c>
      <c r="F159" t="s">
        <v>188</v>
      </c>
      <c r="G159" t="s">
        <v>189</v>
      </c>
      <c r="H159" t="s">
        <v>126</v>
      </c>
      <c r="I159">
        <f>I158*J159</f>
        <v>0</v>
      </c>
      <c r="J159">
        <v>0</v>
      </c>
      <c r="O159">
        <f t="shared" si="96"/>
        <v>0</v>
      </c>
      <c r="P159">
        <f t="shared" si="97"/>
        <v>0</v>
      </c>
      <c r="Q159">
        <f t="shared" si="98"/>
        <v>0</v>
      </c>
      <c r="R159">
        <f t="shared" si="99"/>
        <v>0</v>
      </c>
      <c r="S159">
        <f t="shared" si="100"/>
        <v>0</v>
      </c>
      <c r="T159">
        <f t="shared" si="101"/>
        <v>0</v>
      </c>
      <c r="U159">
        <f t="shared" si="102"/>
        <v>0</v>
      </c>
      <c r="V159">
        <f t="shared" si="103"/>
        <v>0</v>
      </c>
      <c r="W159">
        <f t="shared" si="104"/>
        <v>0</v>
      </c>
      <c r="X159">
        <f t="shared" si="105"/>
        <v>0</v>
      </c>
      <c r="Y159">
        <f t="shared" si="105"/>
        <v>0</v>
      </c>
      <c r="AA159">
        <v>33806715</v>
      </c>
      <c r="AB159">
        <f t="shared" si="106"/>
        <v>0</v>
      </c>
      <c r="AC159">
        <f t="shared" si="107"/>
        <v>0</v>
      </c>
      <c r="AD159">
        <f t="shared" si="108"/>
        <v>0</v>
      </c>
      <c r="AE159">
        <f t="shared" si="109"/>
        <v>0</v>
      </c>
      <c r="AF159">
        <f t="shared" si="109"/>
        <v>0</v>
      </c>
      <c r="AG159">
        <f t="shared" si="110"/>
        <v>0</v>
      </c>
      <c r="AH159">
        <f t="shared" si="111"/>
        <v>0</v>
      </c>
      <c r="AI159">
        <f t="shared" si="111"/>
        <v>0</v>
      </c>
      <c r="AJ159">
        <f t="shared" si="112"/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106</v>
      </c>
      <c r="AU159">
        <v>54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190</v>
      </c>
      <c r="BM159">
        <v>10001</v>
      </c>
      <c r="BN159">
        <v>0</v>
      </c>
      <c r="BO159" t="s">
        <v>3</v>
      </c>
      <c r="BP159">
        <v>0</v>
      </c>
      <c r="BQ159">
        <v>2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118</v>
      </c>
      <c r="CA159">
        <v>63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13"/>
        <v>0</v>
      </c>
      <c r="CQ159">
        <f t="shared" si="114"/>
        <v>0</v>
      </c>
      <c r="CR159">
        <f t="shared" si="115"/>
        <v>0</v>
      </c>
      <c r="CS159">
        <f t="shared" si="116"/>
        <v>0</v>
      </c>
      <c r="CT159">
        <f t="shared" si="117"/>
        <v>0</v>
      </c>
      <c r="CU159">
        <f t="shared" si="118"/>
        <v>0</v>
      </c>
      <c r="CV159">
        <f t="shared" si="118"/>
        <v>0</v>
      </c>
      <c r="CW159">
        <f t="shared" si="118"/>
        <v>0</v>
      </c>
      <c r="CX159">
        <f t="shared" si="118"/>
        <v>0</v>
      </c>
      <c r="CY159">
        <f t="shared" si="119"/>
        <v>0</v>
      </c>
      <c r="CZ159">
        <f t="shared" si="120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1003</v>
      </c>
      <c r="DV159" t="s">
        <v>126</v>
      </c>
      <c r="DW159" t="s">
        <v>126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35526079</v>
      </c>
      <c r="EF159">
        <v>2</v>
      </c>
      <c r="EG159" t="s">
        <v>76</v>
      </c>
      <c r="EH159">
        <v>0</v>
      </c>
      <c r="EI159" t="s">
        <v>3</v>
      </c>
      <c r="EJ159">
        <v>1</v>
      </c>
      <c r="EK159">
        <v>10001</v>
      </c>
      <c r="EL159" t="s">
        <v>77</v>
      </c>
      <c r="EM159" t="s">
        <v>78</v>
      </c>
      <c r="EO159" t="s">
        <v>3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121"/>
        <v>0</v>
      </c>
      <c r="FS159">
        <v>0</v>
      </c>
      <c r="FT159" t="s">
        <v>79</v>
      </c>
      <c r="FU159" t="s">
        <v>80</v>
      </c>
      <c r="FX159">
        <v>106.2</v>
      </c>
      <c r="FY159">
        <v>53.55</v>
      </c>
      <c r="GA159" t="s">
        <v>3</v>
      </c>
      <c r="GD159">
        <v>1</v>
      </c>
      <c r="GF159">
        <v>370620093</v>
      </c>
      <c r="GG159">
        <v>2</v>
      </c>
      <c r="GH159">
        <v>1</v>
      </c>
      <c r="GI159">
        <v>-2</v>
      </c>
      <c r="GJ159">
        <v>0</v>
      </c>
      <c r="GK159">
        <v>0</v>
      </c>
      <c r="GL159">
        <f t="shared" si="122"/>
        <v>0</v>
      </c>
      <c r="GM159">
        <f t="shared" si="123"/>
        <v>0</v>
      </c>
      <c r="GN159">
        <f t="shared" si="124"/>
        <v>0</v>
      </c>
      <c r="GO159">
        <f t="shared" si="125"/>
        <v>0</v>
      </c>
      <c r="GP159">
        <f t="shared" si="126"/>
        <v>0</v>
      </c>
      <c r="GR159">
        <v>0</v>
      </c>
      <c r="GS159">
        <v>3</v>
      </c>
      <c r="GT159">
        <v>0</v>
      </c>
      <c r="GU159" t="s">
        <v>3</v>
      </c>
      <c r="GV159">
        <f t="shared" si="127"/>
        <v>0</v>
      </c>
      <c r="GW159">
        <v>1</v>
      </c>
      <c r="GX159">
        <f t="shared" si="128"/>
        <v>0</v>
      </c>
      <c r="HA159">
        <v>0</v>
      </c>
      <c r="HB159">
        <v>0</v>
      </c>
      <c r="HC159">
        <f t="shared" si="129"/>
        <v>0</v>
      </c>
      <c r="HE159" t="s">
        <v>3</v>
      </c>
      <c r="HF159" t="s">
        <v>3</v>
      </c>
      <c r="IK159">
        <v>0</v>
      </c>
    </row>
    <row r="160" spans="1:245">
      <c r="A160">
        <v>17</v>
      </c>
      <c r="B160">
        <v>1</v>
      </c>
      <c r="C160">
        <f>ROW(SmtRes!A142)</f>
        <v>142</v>
      </c>
      <c r="D160">
        <f>ROW(EtalonRes!A137)</f>
        <v>137</v>
      </c>
      <c r="E160" t="s">
        <v>103</v>
      </c>
      <c r="F160" t="s">
        <v>191</v>
      </c>
      <c r="G160" t="s">
        <v>192</v>
      </c>
      <c r="H160" t="s">
        <v>193</v>
      </c>
      <c r="I160">
        <f>ROUND(1/100,9)</f>
        <v>0.01</v>
      </c>
      <c r="J160">
        <v>0</v>
      </c>
      <c r="O160">
        <f t="shared" si="96"/>
        <v>107.18</v>
      </c>
      <c r="P160">
        <f t="shared" si="97"/>
        <v>3.21</v>
      </c>
      <c r="Q160">
        <f t="shared" si="98"/>
        <v>0.81</v>
      </c>
      <c r="R160">
        <f t="shared" si="99"/>
        <v>0.13</v>
      </c>
      <c r="S160">
        <f t="shared" si="100"/>
        <v>103.16</v>
      </c>
      <c r="T160">
        <f t="shared" si="101"/>
        <v>0</v>
      </c>
      <c r="U160">
        <f t="shared" si="102"/>
        <v>0.316</v>
      </c>
      <c r="V160">
        <f t="shared" si="103"/>
        <v>2.9999999999999997E-4</v>
      </c>
      <c r="W160">
        <f t="shared" si="104"/>
        <v>0</v>
      </c>
      <c r="X160">
        <f t="shared" si="105"/>
        <v>98.13</v>
      </c>
      <c r="Y160">
        <f t="shared" si="105"/>
        <v>67.14</v>
      </c>
      <c r="AA160">
        <v>33806715</v>
      </c>
      <c r="AB160">
        <f t="shared" si="106"/>
        <v>433.08</v>
      </c>
      <c r="AC160">
        <f t="shared" si="107"/>
        <v>105.83</v>
      </c>
      <c r="AD160">
        <f t="shared" si="108"/>
        <v>13.78</v>
      </c>
      <c r="AE160">
        <f t="shared" si="109"/>
        <v>0.41</v>
      </c>
      <c r="AF160">
        <f t="shared" si="109"/>
        <v>313.47000000000003</v>
      </c>
      <c r="AG160">
        <f t="shared" si="110"/>
        <v>0</v>
      </c>
      <c r="AH160">
        <f t="shared" si="111"/>
        <v>31.6</v>
      </c>
      <c r="AI160">
        <f t="shared" si="111"/>
        <v>0.03</v>
      </c>
      <c r="AJ160">
        <f t="shared" si="112"/>
        <v>0</v>
      </c>
      <c r="AK160">
        <v>433.08</v>
      </c>
      <c r="AL160">
        <v>105.83</v>
      </c>
      <c r="AM160">
        <v>13.78</v>
      </c>
      <c r="AN160">
        <v>0.41</v>
      </c>
      <c r="AO160">
        <v>313.47000000000003</v>
      </c>
      <c r="AP160">
        <v>0</v>
      </c>
      <c r="AQ160">
        <v>31.6</v>
      </c>
      <c r="AR160">
        <v>0.03</v>
      </c>
      <c r="AS160">
        <v>0</v>
      </c>
      <c r="AT160">
        <v>95</v>
      </c>
      <c r="AU160">
        <v>65</v>
      </c>
      <c r="AV160">
        <v>1</v>
      </c>
      <c r="AW160">
        <v>1</v>
      </c>
      <c r="AZ160">
        <v>1</v>
      </c>
      <c r="BA160">
        <v>32.909999999999997</v>
      </c>
      <c r="BB160">
        <v>5.9</v>
      </c>
      <c r="BC160">
        <v>3.03</v>
      </c>
      <c r="BD160" t="s">
        <v>3</v>
      </c>
      <c r="BE160" t="s">
        <v>3</v>
      </c>
      <c r="BF160" t="s">
        <v>3</v>
      </c>
      <c r="BG160" t="s">
        <v>3</v>
      </c>
      <c r="BH160">
        <v>0</v>
      </c>
      <c r="BI160">
        <v>2</v>
      </c>
      <c r="BJ160" t="s">
        <v>194</v>
      </c>
      <c r="BM160">
        <v>108001</v>
      </c>
      <c r="BN160">
        <v>0</v>
      </c>
      <c r="BO160" t="s">
        <v>191</v>
      </c>
      <c r="BP160">
        <v>1</v>
      </c>
      <c r="BQ160">
        <v>3</v>
      </c>
      <c r="BR160">
        <v>0</v>
      </c>
      <c r="BS160">
        <v>32.909999999999997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95</v>
      </c>
      <c r="CA160">
        <v>65</v>
      </c>
      <c r="CE160">
        <v>0</v>
      </c>
      <c r="CF160">
        <v>0</v>
      </c>
      <c r="CG160">
        <v>0</v>
      </c>
      <c r="CM160">
        <v>0</v>
      </c>
      <c r="CN160" t="s">
        <v>3</v>
      </c>
      <c r="CO160">
        <v>0</v>
      </c>
      <c r="CP160">
        <f t="shared" si="113"/>
        <v>107.17999999999999</v>
      </c>
      <c r="CQ160">
        <f t="shared" si="114"/>
        <v>320.66489999999999</v>
      </c>
      <c r="CR160">
        <f t="shared" si="115"/>
        <v>81.302000000000007</v>
      </c>
      <c r="CS160">
        <f t="shared" si="116"/>
        <v>13.493099999999998</v>
      </c>
      <c r="CT160">
        <f t="shared" si="117"/>
        <v>10316.297699999999</v>
      </c>
      <c r="CU160">
        <f t="shared" si="118"/>
        <v>0</v>
      </c>
      <c r="CV160">
        <f t="shared" si="118"/>
        <v>31.6</v>
      </c>
      <c r="CW160">
        <f t="shared" si="118"/>
        <v>0.03</v>
      </c>
      <c r="CX160">
        <f t="shared" si="118"/>
        <v>0</v>
      </c>
      <c r="CY160">
        <f t="shared" si="119"/>
        <v>98.125499999999988</v>
      </c>
      <c r="CZ160">
        <f t="shared" si="120"/>
        <v>67.138499999999993</v>
      </c>
      <c r="DC160" t="s">
        <v>3</v>
      </c>
      <c r="DD160" t="s">
        <v>3</v>
      </c>
      <c r="DE160" t="s">
        <v>3</v>
      </c>
      <c r="DF160" t="s">
        <v>3</v>
      </c>
      <c r="DG160" t="s">
        <v>3</v>
      </c>
      <c r="DH160" t="s">
        <v>3</v>
      </c>
      <c r="DI160" t="s">
        <v>3</v>
      </c>
      <c r="DJ160" t="s">
        <v>3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1010</v>
      </c>
      <c r="DV160" t="s">
        <v>193</v>
      </c>
      <c r="DW160" t="s">
        <v>193</v>
      </c>
      <c r="DX160">
        <v>100</v>
      </c>
      <c r="DZ160" t="s">
        <v>3</v>
      </c>
      <c r="EA160" t="s">
        <v>3</v>
      </c>
      <c r="EB160" t="s">
        <v>3</v>
      </c>
      <c r="EC160" t="s">
        <v>3</v>
      </c>
      <c r="EE160">
        <v>35525962</v>
      </c>
      <c r="EF160">
        <v>3</v>
      </c>
      <c r="EG160" t="s">
        <v>120</v>
      </c>
      <c r="EH160">
        <v>0</v>
      </c>
      <c r="EI160" t="s">
        <v>3</v>
      </c>
      <c r="EJ160">
        <v>2</v>
      </c>
      <c r="EK160">
        <v>108001</v>
      </c>
      <c r="EL160" t="s">
        <v>121</v>
      </c>
      <c r="EM160" t="s">
        <v>122</v>
      </c>
      <c r="EO160" t="s">
        <v>3</v>
      </c>
      <c r="EQ160">
        <v>0</v>
      </c>
      <c r="ER160">
        <v>433.08</v>
      </c>
      <c r="ES160">
        <v>105.83</v>
      </c>
      <c r="ET160">
        <v>13.78</v>
      </c>
      <c r="EU160">
        <v>0.41</v>
      </c>
      <c r="EV160">
        <v>313.47000000000003</v>
      </c>
      <c r="EW160">
        <v>31.6</v>
      </c>
      <c r="EX160">
        <v>0.03</v>
      </c>
      <c r="EY160">
        <v>0</v>
      </c>
      <c r="FQ160">
        <v>0</v>
      </c>
      <c r="FR160">
        <f t="shared" si="121"/>
        <v>0</v>
      </c>
      <c r="FS160">
        <v>0</v>
      </c>
      <c r="FX160">
        <v>95</v>
      </c>
      <c r="FY160">
        <v>65</v>
      </c>
      <c r="GA160" t="s">
        <v>3</v>
      </c>
      <c r="GD160">
        <v>1</v>
      </c>
      <c r="GF160">
        <v>-1936157825</v>
      </c>
      <c r="GG160">
        <v>2</v>
      </c>
      <c r="GH160">
        <v>1</v>
      </c>
      <c r="GI160">
        <v>2</v>
      </c>
      <c r="GJ160">
        <v>0</v>
      </c>
      <c r="GK160">
        <v>0</v>
      </c>
      <c r="GL160">
        <f t="shared" si="122"/>
        <v>0</v>
      </c>
      <c r="GM160">
        <f t="shared" si="123"/>
        <v>272.45</v>
      </c>
      <c r="GN160">
        <f t="shared" si="124"/>
        <v>0</v>
      </c>
      <c r="GO160">
        <f t="shared" si="125"/>
        <v>272.45</v>
      </c>
      <c r="GP160">
        <f t="shared" si="126"/>
        <v>0</v>
      </c>
      <c r="GR160">
        <v>0</v>
      </c>
      <c r="GS160">
        <v>3</v>
      </c>
      <c r="GT160">
        <v>0</v>
      </c>
      <c r="GU160" t="s">
        <v>3</v>
      </c>
      <c r="GV160">
        <f t="shared" si="127"/>
        <v>0</v>
      </c>
      <c r="GW160">
        <v>1</v>
      </c>
      <c r="GX160">
        <f t="shared" si="128"/>
        <v>0</v>
      </c>
      <c r="HA160">
        <v>0</v>
      </c>
      <c r="HB160">
        <v>0</v>
      </c>
      <c r="HC160">
        <f t="shared" si="129"/>
        <v>0</v>
      </c>
      <c r="HE160" t="s">
        <v>3</v>
      </c>
      <c r="HF160" t="s">
        <v>3</v>
      </c>
      <c r="IK160">
        <v>0</v>
      </c>
    </row>
    <row r="162" spans="1:206">
      <c r="A162" s="2">
        <v>51</v>
      </c>
      <c r="B162" s="2">
        <f>B150</f>
        <v>1</v>
      </c>
      <c r="C162" s="2">
        <f>A150</f>
        <v>5</v>
      </c>
      <c r="D162" s="2">
        <f>ROW(A150)</f>
        <v>150</v>
      </c>
      <c r="E162" s="2"/>
      <c r="F162" s="2" t="str">
        <f>IF(F150&lt;&gt;"",F150,"")</f>
        <v>Новый подраздел</v>
      </c>
      <c r="G162" s="2" t="str">
        <f>IF(G150&lt;&gt;"",G150,"")</f>
        <v>Стены</v>
      </c>
      <c r="H162" s="2">
        <v>0</v>
      </c>
      <c r="I162" s="2"/>
      <c r="J162" s="2"/>
      <c r="K162" s="2"/>
      <c r="L162" s="2"/>
      <c r="M162" s="2"/>
      <c r="N162" s="2"/>
      <c r="O162" s="2">
        <f t="shared" ref="O162:T162" si="130">ROUND(AB162,2)</f>
        <v>20611.66</v>
      </c>
      <c r="P162" s="2">
        <f t="shared" si="130"/>
        <v>13716.45</v>
      </c>
      <c r="Q162" s="2">
        <f t="shared" si="130"/>
        <v>295.69</v>
      </c>
      <c r="R162" s="2">
        <f t="shared" si="130"/>
        <v>17.32</v>
      </c>
      <c r="S162" s="2">
        <f t="shared" si="130"/>
        <v>6599.52</v>
      </c>
      <c r="T162" s="2">
        <f t="shared" si="130"/>
        <v>0</v>
      </c>
      <c r="U162" s="2">
        <f>AH162</f>
        <v>21.841444999999997</v>
      </c>
      <c r="V162" s="2">
        <f>AI162</f>
        <v>3.8863000000000002E-2</v>
      </c>
      <c r="W162" s="2">
        <f>ROUND(AJ162,2)</f>
        <v>0</v>
      </c>
      <c r="X162" s="2">
        <f>ROUND(AK162,2)</f>
        <v>6295.85</v>
      </c>
      <c r="Y162" s="2">
        <f>ROUND(AL162,2)</f>
        <v>3134.77</v>
      </c>
      <c r="Z162" s="2"/>
      <c r="AA162" s="2"/>
      <c r="AB162" s="2">
        <f>ROUND(SUMIF(AA154:AA160,"=33806715",O154:O160),2)</f>
        <v>20611.66</v>
      </c>
      <c r="AC162" s="2">
        <f>ROUND(SUMIF(AA154:AA160,"=33806715",P154:P160),2)</f>
        <v>13716.45</v>
      </c>
      <c r="AD162" s="2">
        <f>ROUND(SUMIF(AA154:AA160,"=33806715",Q154:Q160),2)</f>
        <v>295.69</v>
      </c>
      <c r="AE162" s="2">
        <f>ROUND(SUMIF(AA154:AA160,"=33806715",R154:R160),2)</f>
        <v>17.32</v>
      </c>
      <c r="AF162" s="2">
        <f>ROUND(SUMIF(AA154:AA160,"=33806715",S154:S160),2)</f>
        <v>6599.52</v>
      </c>
      <c r="AG162" s="2">
        <f>ROUND(SUMIF(AA154:AA160,"=33806715",T154:T160),2)</f>
        <v>0</v>
      </c>
      <c r="AH162" s="2">
        <f>SUMIF(AA154:AA160,"=33806715",U154:U160)</f>
        <v>21.841444999999997</v>
      </c>
      <c r="AI162" s="2">
        <f>SUMIF(AA154:AA160,"=33806715",V154:V160)</f>
        <v>3.8863000000000002E-2</v>
      </c>
      <c r="AJ162" s="2">
        <f>ROUND(SUMIF(AA154:AA160,"=33806715",W154:W160),2)</f>
        <v>0</v>
      </c>
      <c r="AK162" s="2">
        <f>ROUND(SUMIF(AA154:AA160,"=33806715",X154:X160),2)</f>
        <v>6295.85</v>
      </c>
      <c r="AL162" s="2">
        <f>ROUND(SUMIF(AA154:AA160,"=33806715",Y154:Y160),2)</f>
        <v>3134.77</v>
      </c>
      <c r="AM162" s="2"/>
      <c r="AN162" s="2"/>
      <c r="AO162" s="2">
        <f t="shared" ref="AO162:BD162" si="131">ROUND(BX162,2)</f>
        <v>0</v>
      </c>
      <c r="AP162" s="2">
        <f t="shared" si="131"/>
        <v>0</v>
      </c>
      <c r="AQ162" s="2">
        <f t="shared" si="131"/>
        <v>0</v>
      </c>
      <c r="AR162" s="2">
        <f t="shared" si="131"/>
        <v>30042.28</v>
      </c>
      <c r="AS162" s="2">
        <f t="shared" si="131"/>
        <v>29769.83</v>
      </c>
      <c r="AT162" s="2">
        <f t="shared" si="131"/>
        <v>272.45</v>
      </c>
      <c r="AU162" s="2">
        <f t="shared" si="131"/>
        <v>0</v>
      </c>
      <c r="AV162" s="2">
        <f t="shared" si="131"/>
        <v>13716.45</v>
      </c>
      <c r="AW162" s="2">
        <f t="shared" si="131"/>
        <v>13716.45</v>
      </c>
      <c r="AX162" s="2">
        <f t="shared" si="131"/>
        <v>0</v>
      </c>
      <c r="AY162" s="2">
        <f t="shared" si="131"/>
        <v>13716.45</v>
      </c>
      <c r="AZ162" s="2">
        <f t="shared" si="131"/>
        <v>0</v>
      </c>
      <c r="BA162" s="2">
        <f t="shared" si="131"/>
        <v>0</v>
      </c>
      <c r="BB162" s="2">
        <f t="shared" si="131"/>
        <v>0</v>
      </c>
      <c r="BC162" s="2">
        <f t="shared" si="131"/>
        <v>0</v>
      </c>
      <c r="BD162" s="2">
        <f t="shared" si="131"/>
        <v>0</v>
      </c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>
        <f>ROUND(SUMIF(AA154:AA160,"=33806715",FQ154:FQ160),2)</f>
        <v>0</v>
      </c>
      <c r="BY162" s="2">
        <f>ROUND(SUMIF(AA154:AA160,"=33806715",FR154:FR160),2)</f>
        <v>0</v>
      </c>
      <c r="BZ162" s="2">
        <f>ROUND(SUMIF(AA154:AA160,"=33806715",GL154:GL160),2)</f>
        <v>0</v>
      </c>
      <c r="CA162" s="2">
        <f>ROUND(SUMIF(AA154:AA160,"=33806715",GM154:GM160),2)</f>
        <v>30042.28</v>
      </c>
      <c r="CB162" s="2">
        <f>ROUND(SUMIF(AA154:AA160,"=33806715",GN154:GN160),2)</f>
        <v>29769.83</v>
      </c>
      <c r="CC162" s="2">
        <f>ROUND(SUMIF(AA154:AA160,"=33806715",GO154:GO160),2)</f>
        <v>272.45</v>
      </c>
      <c r="CD162" s="2">
        <f>ROUND(SUMIF(AA154:AA160,"=33806715",GP154:GP160),2)</f>
        <v>0</v>
      </c>
      <c r="CE162" s="2">
        <f>AC162-BX162</f>
        <v>13716.45</v>
      </c>
      <c r="CF162" s="2">
        <f>AC162-BY162</f>
        <v>13716.45</v>
      </c>
      <c r="CG162" s="2">
        <f>BX162-BZ162</f>
        <v>0</v>
      </c>
      <c r="CH162" s="2">
        <f>AC162-BX162-BY162+BZ162</f>
        <v>13716.45</v>
      </c>
      <c r="CI162" s="2">
        <f>BY162-BZ162</f>
        <v>0</v>
      </c>
      <c r="CJ162" s="2">
        <f>ROUND(SUMIF(AA154:AA160,"=33806715",GX154:GX160),2)</f>
        <v>0</v>
      </c>
      <c r="CK162" s="2">
        <f>ROUND(SUMIF(AA154:AA160,"=33806715",GY154:GY160),2)</f>
        <v>0</v>
      </c>
      <c r="CL162" s="2">
        <f>ROUND(SUMIF(AA154:AA160,"=33806715",GZ154:GZ160),2)</f>
        <v>0</v>
      </c>
      <c r="CM162" s="2">
        <f>ROUND(SUMIF(AA154:AA160,"=33806715",HD154:HD160),2)</f>
        <v>0</v>
      </c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>
        <v>0</v>
      </c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201</v>
      </c>
      <c r="F164" s="4">
        <f>ROUND(Source!O162,O164)</f>
        <v>20611.66</v>
      </c>
      <c r="G164" s="4" t="s">
        <v>15</v>
      </c>
      <c r="H164" s="4" t="s">
        <v>16</v>
      </c>
      <c r="I164" s="4"/>
      <c r="J164" s="4"/>
      <c r="K164" s="4">
        <v>201</v>
      </c>
      <c r="L164" s="4">
        <v>1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202</v>
      </c>
      <c r="F165" s="4">
        <f>ROUND(Source!P162,O165)</f>
        <v>13716.45</v>
      </c>
      <c r="G165" s="4" t="s">
        <v>17</v>
      </c>
      <c r="H165" s="4" t="s">
        <v>18</v>
      </c>
      <c r="I165" s="4"/>
      <c r="J165" s="4"/>
      <c r="K165" s="4">
        <v>202</v>
      </c>
      <c r="L165" s="4">
        <v>2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222</v>
      </c>
      <c r="F166" s="4">
        <f>ROUND(Source!AO162,O166)</f>
        <v>0</v>
      </c>
      <c r="G166" s="4" t="s">
        <v>19</v>
      </c>
      <c r="H166" s="4" t="s">
        <v>20</v>
      </c>
      <c r="I166" s="4"/>
      <c r="J166" s="4"/>
      <c r="K166" s="4">
        <v>222</v>
      </c>
      <c r="L166" s="4">
        <v>3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225</v>
      </c>
      <c r="F167" s="4">
        <f>ROUND(Source!AV162,O167)</f>
        <v>13716.45</v>
      </c>
      <c r="G167" s="4" t="s">
        <v>21</v>
      </c>
      <c r="H167" s="4" t="s">
        <v>22</v>
      </c>
      <c r="I167" s="4"/>
      <c r="J167" s="4"/>
      <c r="K167" s="4">
        <v>225</v>
      </c>
      <c r="L167" s="4">
        <v>4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226</v>
      </c>
      <c r="F168" s="4">
        <f>ROUND(Source!AW162,O168)</f>
        <v>13716.45</v>
      </c>
      <c r="G168" s="4" t="s">
        <v>23</v>
      </c>
      <c r="H168" s="4" t="s">
        <v>24</v>
      </c>
      <c r="I168" s="4"/>
      <c r="J168" s="4"/>
      <c r="K168" s="4">
        <v>226</v>
      </c>
      <c r="L168" s="4">
        <v>5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227</v>
      </c>
      <c r="F169" s="4">
        <f>ROUND(Source!AX162,O169)</f>
        <v>0</v>
      </c>
      <c r="G169" s="4" t="s">
        <v>25</v>
      </c>
      <c r="H169" s="4" t="s">
        <v>26</v>
      </c>
      <c r="I169" s="4"/>
      <c r="J169" s="4"/>
      <c r="K169" s="4">
        <v>227</v>
      </c>
      <c r="L169" s="4">
        <v>6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06">
      <c r="A170" s="4">
        <v>50</v>
      </c>
      <c r="B170" s="4">
        <v>0</v>
      </c>
      <c r="C170" s="4">
        <v>0</v>
      </c>
      <c r="D170" s="4">
        <v>1</v>
      </c>
      <c r="E170" s="4">
        <v>228</v>
      </c>
      <c r="F170" s="4">
        <f>ROUND(Source!AY162,O170)</f>
        <v>13716.45</v>
      </c>
      <c r="G170" s="4" t="s">
        <v>27</v>
      </c>
      <c r="H170" s="4" t="s">
        <v>28</v>
      </c>
      <c r="I170" s="4"/>
      <c r="J170" s="4"/>
      <c r="K170" s="4">
        <v>228</v>
      </c>
      <c r="L170" s="4">
        <v>7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06">
      <c r="A171" s="4">
        <v>50</v>
      </c>
      <c r="B171" s="4">
        <v>0</v>
      </c>
      <c r="C171" s="4">
        <v>0</v>
      </c>
      <c r="D171" s="4">
        <v>1</v>
      </c>
      <c r="E171" s="4">
        <v>216</v>
      </c>
      <c r="F171" s="4">
        <f>ROUND(Source!AP162,O171)</f>
        <v>0</v>
      </c>
      <c r="G171" s="4" t="s">
        <v>29</v>
      </c>
      <c r="H171" s="4" t="s">
        <v>30</v>
      </c>
      <c r="I171" s="4"/>
      <c r="J171" s="4"/>
      <c r="K171" s="4">
        <v>216</v>
      </c>
      <c r="L171" s="4">
        <v>8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223</v>
      </c>
      <c r="F172" s="4">
        <f>ROUND(Source!AQ162,O172)</f>
        <v>0</v>
      </c>
      <c r="G172" s="4" t="s">
        <v>31</v>
      </c>
      <c r="H172" s="4" t="s">
        <v>32</v>
      </c>
      <c r="I172" s="4"/>
      <c r="J172" s="4"/>
      <c r="K172" s="4">
        <v>223</v>
      </c>
      <c r="L172" s="4">
        <v>9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229</v>
      </c>
      <c r="F173" s="4">
        <f>ROUND(Source!AZ162,O173)</f>
        <v>0</v>
      </c>
      <c r="G173" s="4" t="s">
        <v>33</v>
      </c>
      <c r="H173" s="4" t="s">
        <v>34</v>
      </c>
      <c r="I173" s="4"/>
      <c r="J173" s="4"/>
      <c r="K173" s="4">
        <v>229</v>
      </c>
      <c r="L173" s="4">
        <v>10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203</v>
      </c>
      <c r="F174" s="4">
        <f>ROUND(Source!Q162,O174)</f>
        <v>295.69</v>
      </c>
      <c r="G174" s="4" t="s">
        <v>35</v>
      </c>
      <c r="H174" s="4" t="s">
        <v>36</v>
      </c>
      <c r="I174" s="4"/>
      <c r="J174" s="4"/>
      <c r="K174" s="4">
        <v>203</v>
      </c>
      <c r="L174" s="4">
        <v>11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231</v>
      </c>
      <c r="F175" s="4">
        <f>ROUND(Source!BB162,O175)</f>
        <v>0</v>
      </c>
      <c r="G175" s="4" t="s">
        <v>37</v>
      </c>
      <c r="H175" s="4" t="s">
        <v>38</v>
      </c>
      <c r="I175" s="4"/>
      <c r="J175" s="4"/>
      <c r="K175" s="4">
        <v>231</v>
      </c>
      <c r="L175" s="4">
        <v>12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204</v>
      </c>
      <c r="F176" s="4">
        <f>ROUND(Source!R162,O176)</f>
        <v>17.32</v>
      </c>
      <c r="G176" s="4" t="s">
        <v>39</v>
      </c>
      <c r="H176" s="4" t="s">
        <v>40</v>
      </c>
      <c r="I176" s="4"/>
      <c r="J176" s="4"/>
      <c r="K176" s="4">
        <v>204</v>
      </c>
      <c r="L176" s="4">
        <v>13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06">
      <c r="A177" s="4">
        <v>50</v>
      </c>
      <c r="B177" s="4">
        <v>0</v>
      </c>
      <c r="C177" s="4">
        <v>0</v>
      </c>
      <c r="D177" s="4">
        <v>1</v>
      </c>
      <c r="E177" s="4">
        <v>205</v>
      </c>
      <c r="F177" s="4">
        <f>ROUND(Source!S162,O177)</f>
        <v>6599.52</v>
      </c>
      <c r="G177" s="4" t="s">
        <v>41</v>
      </c>
      <c r="H177" s="4" t="s">
        <v>42</v>
      </c>
      <c r="I177" s="4"/>
      <c r="J177" s="4"/>
      <c r="K177" s="4">
        <v>205</v>
      </c>
      <c r="L177" s="4">
        <v>14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06">
      <c r="A178" s="4">
        <v>50</v>
      </c>
      <c r="B178" s="4">
        <v>0</v>
      </c>
      <c r="C178" s="4">
        <v>0</v>
      </c>
      <c r="D178" s="4">
        <v>1</v>
      </c>
      <c r="E178" s="4">
        <v>232</v>
      </c>
      <c r="F178" s="4">
        <f>ROUND(Source!BC162,O178)</f>
        <v>0</v>
      </c>
      <c r="G178" s="4" t="s">
        <v>43</v>
      </c>
      <c r="H178" s="4" t="s">
        <v>44</v>
      </c>
      <c r="I178" s="4"/>
      <c r="J178" s="4"/>
      <c r="K178" s="4">
        <v>232</v>
      </c>
      <c r="L178" s="4">
        <v>15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06">
      <c r="A179" s="4">
        <v>50</v>
      </c>
      <c r="B179" s="4">
        <v>0</v>
      </c>
      <c r="C179" s="4">
        <v>0</v>
      </c>
      <c r="D179" s="4">
        <v>1</v>
      </c>
      <c r="E179" s="4">
        <v>214</v>
      </c>
      <c r="F179" s="4">
        <f>ROUND(Source!AS162,O179)</f>
        <v>29769.83</v>
      </c>
      <c r="G179" s="4" t="s">
        <v>45</v>
      </c>
      <c r="H179" s="4" t="s">
        <v>46</v>
      </c>
      <c r="I179" s="4"/>
      <c r="J179" s="4"/>
      <c r="K179" s="4">
        <v>214</v>
      </c>
      <c r="L179" s="4">
        <v>16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06">
      <c r="A180" s="4">
        <v>50</v>
      </c>
      <c r="B180" s="4">
        <v>0</v>
      </c>
      <c r="C180" s="4">
        <v>0</v>
      </c>
      <c r="D180" s="4">
        <v>1</v>
      </c>
      <c r="E180" s="4">
        <v>215</v>
      </c>
      <c r="F180" s="4">
        <f>ROUND(Source!AT162,O180)</f>
        <v>272.45</v>
      </c>
      <c r="G180" s="4" t="s">
        <v>47</v>
      </c>
      <c r="H180" s="4" t="s">
        <v>48</v>
      </c>
      <c r="I180" s="4"/>
      <c r="J180" s="4"/>
      <c r="K180" s="4">
        <v>215</v>
      </c>
      <c r="L180" s="4">
        <v>17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06">
      <c r="A181" s="4">
        <v>50</v>
      </c>
      <c r="B181" s="4">
        <v>0</v>
      </c>
      <c r="C181" s="4">
        <v>0</v>
      </c>
      <c r="D181" s="4">
        <v>1</v>
      </c>
      <c r="E181" s="4">
        <v>217</v>
      </c>
      <c r="F181" s="4">
        <f>ROUND(Source!AU162,O181)</f>
        <v>0</v>
      </c>
      <c r="G181" s="4" t="s">
        <v>49</v>
      </c>
      <c r="H181" s="4" t="s">
        <v>50</v>
      </c>
      <c r="I181" s="4"/>
      <c r="J181" s="4"/>
      <c r="K181" s="4">
        <v>217</v>
      </c>
      <c r="L181" s="4">
        <v>18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06">
      <c r="A182" s="4">
        <v>50</v>
      </c>
      <c r="B182" s="4">
        <v>0</v>
      </c>
      <c r="C182" s="4">
        <v>0</v>
      </c>
      <c r="D182" s="4">
        <v>1</v>
      </c>
      <c r="E182" s="4">
        <v>230</v>
      </c>
      <c r="F182" s="4">
        <f>ROUND(Source!BA162,O182)</f>
        <v>0</v>
      </c>
      <c r="G182" s="4" t="s">
        <v>51</v>
      </c>
      <c r="H182" s="4" t="s">
        <v>52</v>
      </c>
      <c r="I182" s="4"/>
      <c r="J182" s="4"/>
      <c r="K182" s="4">
        <v>230</v>
      </c>
      <c r="L182" s="4">
        <v>19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06">
      <c r="A183" s="4">
        <v>50</v>
      </c>
      <c r="B183" s="4">
        <v>0</v>
      </c>
      <c r="C183" s="4">
        <v>0</v>
      </c>
      <c r="D183" s="4">
        <v>1</v>
      </c>
      <c r="E183" s="4">
        <v>206</v>
      </c>
      <c r="F183" s="4">
        <f>ROUND(Source!T162,O183)</f>
        <v>0</v>
      </c>
      <c r="G183" s="4" t="s">
        <v>53</v>
      </c>
      <c r="H183" s="4" t="s">
        <v>54</v>
      </c>
      <c r="I183" s="4"/>
      <c r="J183" s="4"/>
      <c r="K183" s="4">
        <v>206</v>
      </c>
      <c r="L183" s="4">
        <v>20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06">
      <c r="A184" s="4">
        <v>50</v>
      </c>
      <c r="B184" s="4">
        <v>0</v>
      </c>
      <c r="C184" s="4">
        <v>0</v>
      </c>
      <c r="D184" s="4">
        <v>1</v>
      </c>
      <c r="E184" s="4">
        <v>207</v>
      </c>
      <c r="F184" s="4">
        <f>Source!U162</f>
        <v>21.841444999999997</v>
      </c>
      <c r="G184" s="4" t="s">
        <v>55</v>
      </c>
      <c r="H184" s="4" t="s">
        <v>56</v>
      </c>
      <c r="I184" s="4"/>
      <c r="J184" s="4"/>
      <c r="K184" s="4">
        <v>207</v>
      </c>
      <c r="L184" s="4">
        <v>21</v>
      </c>
      <c r="M184" s="4">
        <v>3</v>
      </c>
      <c r="N184" s="4" t="s">
        <v>3</v>
      </c>
      <c r="O184" s="4">
        <v>-1</v>
      </c>
      <c r="P184" s="4"/>
      <c r="Q184" s="4"/>
      <c r="R184" s="4"/>
      <c r="S184" s="4"/>
      <c r="T184" s="4"/>
      <c r="U184" s="4"/>
      <c r="V184" s="4"/>
      <c r="W184" s="4"/>
    </row>
    <row r="185" spans="1:206">
      <c r="A185" s="4">
        <v>50</v>
      </c>
      <c r="B185" s="4">
        <v>0</v>
      </c>
      <c r="C185" s="4">
        <v>0</v>
      </c>
      <c r="D185" s="4">
        <v>1</v>
      </c>
      <c r="E185" s="4">
        <v>208</v>
      </c>
      <c r="F185" s="4">
        <f>Source!V162</f>
        <v>3.8863000000000002E-2</v>
      </c>
      <c r="G185" s="4" t="s">
        <v>57</v>
      </c>
      <c r="H185" s="4" t="s">
        <v>58</v>
      </c>
      <c r="I185" s="4"/>
      <c r="J185" s="4"/>
      <c r="K185" s="4">
        <v>208</v>
      </c>
      <c r="L185" s="4">
        <v>22</v>
      </c>
      <c r="M185" s="4">
        <v>3</v>
      </c>
      <c r="N185" s="4" t="s">
        <v>3</v>
      </c>
      <c r="O185" s="4">
        <v>-1</v>
      </c>
      <c r="P185" s="4"/>
      <c r="Q185" s="4"/>
      <c r="R185" s="4"/>
      <c r="S185" s="4"/>
      <c r="T185" s="4"/>
      <c r="U185" s="4"/>
      <c r="V185" s="4"/>
      <c r="W185" s="4"/>
    </row>
    <row r="186" spans="1:206">
      <c r="A186" s="4">
        <v>50</v>
      </c>
      <c r="B186" s="4">
        <v>0</v>
      </c>
      <c r="C186" s="4">
        <v>0</v>
      </c>
      <c r="D186" s="4">
        <v>1</v>
      </c>
      <c r="E186" s="4">
        <v>209</v>
      </c>
      <c r="F186" s="4">
        <f>ROUND(Source!W162,O186)</f>
        <v>0</v>
      </c>
      <c r="G186" s="4" t="s">
        <v>59</v>
      </c>
      <c r="H186" s="4" t="s">
        <v>60</v>
      </c>
      <c r="I186" s="4"/>
      <c r="J186" s="4"/>
      <c r="K186" s="4">
        <v>209</v>
      </c>
      <c r="L186" s="4">
        <v>23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06">
      <c r="A187" s="4">
        <v>50</v>
      </c>
      <c r="B187" s="4">
        <v>0</v>
      </c>
      <c r="C187" s="4">
        <v>0</v>
      </c>
      <c r="D187" s="4">
        <v>1</v>
      </c>
      <c r="E187" s="4">
        <v>233</v>
      </c>
      <c r="F187" s="4">
        <f>ROUND(Source!BD162,O187)</f>
        <v>0</v>
      </c>
      <c r="G187" s="4" t="s">
        <v>61</v>
      </c>
      <c r="H187" s="4" t="s">
        <v>62</v>
      </c>
      <c r="I187" s="4"/>
      <c r="J187" s="4"/>
      <c r="K187" s="4">
        <v>233</v>
      </c>
      <c r="L187" s="4">
        <v>24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06">
      <c r="A188" s="4">
        <v>50</v>
      </c>
      <c r="B188" s="4">
        <v>0</v>
      </c>
      <c r="C188" s="4">
        <v>0</v>
      </c>
      <c r="D188" s="4">
        <v>1</v>
      </c>
      <c r="E188" s="4">
        <v>210</v>
      </c>
      <c r="F188" s="4">
        <f>ROUND(Source!X162,O188)</f>
        <v>6295.85</v>
      </c>
      <c r="G188" s="4" t="s">
        <v>63</v>
      </c>
      <c r="H188" s="4" t="s">
        <v>64</v>
      </c>
      <c r="I188" s="4"/>
      <c r="J188" s="4"/>
      <c r="K188" s="4">
        <v>210</v>
      </c>
      <c r="L188" s="4">
        <v>25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06">
      <c r="A189" s="4">
        <v>50</v>
      </c>
      <c r="B189" s="4">
        <v>0</v>
      </c>
      <c r="C189" s="4">
        <v>0</v>
      </c>
      <c r="D189" s="4">
        <v>1</v>
      </c>
      <c r="E189" s="4">
        <v>211</v>
      </c>
      <c r="F189" s="4">
        <f>ROUND(Source!Y162,O189)</f>
        <v>3134.77</v>
      </c>
      <c r="G189" s="4" t="s">
        <v>65</v>
      </c>
      <c r="H189" s="4" t="s">
        <v>66</v>
      </c>
      <c r="I189" s="4"/>
      <c r="J189" s="4"/>
      <c r="K189" s="4">
        <v>211</v>
      </c>
      <c r="L189" s="4">
        <v>26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06">
      <c r="A190" s="4">
        <v>50</v>
      </c>
      <c r="B190" s="4">
        <v>0</v>
      </c>
      <c r="C190" s="4">
        <v>0</v>
      </c>
      <c r="D190" s="4">
        <v>1</v>
      </c>
      <c r="E190" s="4">
        <v>224</v>
      </c>
      <c r="F190" s="4">
        <f>ROUND(Source!AR162,O190)</f>
        <v>30042.28</v>
      </c>
      <c r="G190" s="4" t="s">
        <v>67</v>
      </c>
      <c r="H190" s="4" t="s">
        <v>68</v>
      </c>
      <c r="I190" s="4"/>
      <c r="J190" s="4"/>
      <c r="K190" s="4">
        <v>224</v>
      </c>
      <c r="L190" s="4">
        <v>27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2" spans="1:206">
      <c r="A192" s="2">
        <v>51</v>
      </c>
      <c r="B192" s="2">
        <f>B58</f>
        <v>1</v>
      </c>
      <c r="C192" s="2">
        <f>A58</f>
        <v>4</v>
      </c>
      <c r="D192" s="2">
        <f>ROW(A58)</f>
        <v>58</v>
      </c>
      <c r="E192" s="2"/>
      <c r="F192" s="2" t="str">
        <f>IF(F58&lt;&gt;"",F58,"")</f>
        <v/>
      </c>
      <c r="G192" s="2" t="str">
        <f>IF(G58&lt;&gt;"",G58,"")</f>
        <v>Монтаж</v>
      </c>
      <c r="H192" s="2">
        <v>0</v>
      </c>
      <c r="I192" s="2"/>
      <c r="J192" s="2"/>
      <c r="K192" s="2"/>
      <c r="L192" s="2"/>
      <c r="M192" s="2"/>
      <c r="N192" s="2"/>
      <c r="O192" s="2">
        <f t="shared" ref="O192:T192" si="132">ROUND(O81+O120+O162+AB192,2)</f>
        <v>41206.449999999997</v>
      </c>
      <c r="P192" s="2">
        <f t="shared" si="132"/>
        <v>25211.99</v>
      </c>
      <c r="Q192" s="2">
        <f t="shared" si="132"/>
        <v>1530.22</v>
      </c>
      <c r="R192" s="2">
        <f t="shared" si="132"/>
        <v>446.67</v>
      </c>
      <c r="S192" s="2">
        <f t="shared" si="132"/>
        <v>14464.24</v>
      </c>
      <c r="T192" s="2">
        <f t="shared" si="132"/>
        <v>0</v>
      </c>
      <c r="U192" s="2">
        <f>U81+U120+U162+AH192</f>
        <v>47.461089999999999</v>
      </c>
      <c r="V192" s="2">
        <f>V81+V120+V162+AI192</f>
        <v>1.2644630000000003</v>
      </c>
      <c r="W192" s="2">
        <f>ROUND(W81+W120+W162+AJ192,2)</f>
        <v>32.200000000000003</v>
      </c>
      <c r="X192" s="2">
        <f>ROUND(X81+X120+X162+AK192,2)</f>
        <v>14998.97</v>
      </c>
      <c r="Y192" s="2">
        <f>ROUND(Y81+Y120+Y162+AL192,2)</f>
        <v>8064.14</v>
      </c>
      <c r="Z192" s="2"/>
      <c r="AA192" s="2"/>
      <c r="AB192" s="2">
        <f>ROUND(SUMIF(AA62:AA70,"=33806715",O62:O70),2)</f>
        <v>7559.49</v>
      </c>
      <c r="AC192" s="2">
        <f>ROUND(SUMIF(AA62:AA70,"=33806715",P62:P70),2)</f>
        <v>4652.1499999999996</v>
      </c>
      <c r="AD192" s="2">
        <f>ROUND(SUMIF(AA62:AA70,"=33806715",Q62:Q70),2)</f>
        <v>184.21</v>
      </c>
      <c r="AE192" s="2">
        <f>ROUND(SUMIF(AA62:AA70,"=33806715",R62:R70),2)</f>
        <v>15.91</v>
      </c>
      <c r="AF192" s="2">
        <f>ROUND(SUMIF(AA62:AA70,"=33806715",S62:S70),2)</f>
        <v>2723.13</v>
      </c>
      <c r="AG192" s="2">
        <f>ROUND(SUMIF(AA62:AA70,"=33806715",T62:T70),2)</f>
        <v>0</v>
      </c>
      <c r="AH192" s="2">
        <f>SUMIF(AA62:AA70,"=33806715",U62:U70)</f>
        <v>8.8328299999999995</v>
      </c>
      <c r="AI192" s="2">
        <f>SUMIF(AA62:AA70,"=33806715",V62:V70)</f>
        <v>3.8550000000000008E-2</v>
      </c>
      <c r="AJ192" s="2">
        <f>ROUND(SUMIF(AA62:AA70,"=33806715",W62:W70),2)</f>
        <v>4.4400000000000004</v>
      </c>
      <c r="AK192" s="2">
        <f>ROUND(SUMIF(AA62:AA70,"=33806715",X62:X70),2)</f>
        <v>2880.78</v>
      </c>
      <c r="AL192" s="2">
        <f>ROUND(SUMIF(AA62:AA70,"=33806715",Y62:Y70),2)</f>
        <v>1684.52</v>
      </c>
      <c r="AM192" s="2"/>
      <c r="AN192" s="2"/>
      <c r="AO192" s="2">
        <f t="shared" ref="AO192:BD192" si="133">ROUND(AO81+AO120+AO162+BX192,2)</f>
        <v>0</v>
      </c>
      <c r="AP192" s="2">
        <f t="shared" si="133"/>
        <v>0</v>
      </c>
      <c r="AQ192" s="2">
        <f t="shared" si="133"/>
        <v>0</v>
      </c>
      <c r="AR192" s="2">
        <f t="shared" si="133"/>
        <v>64269.56</v>
      </c>
      <c r="AS192" s="2">
        <f t="shared" si="133"/>
        <v>61826.48</v>
      </c>
      <c r="AT192" s="2">
        <f t="shared" si="133"/>
        <v>2443.08</v>
      </c>
      <c r="AU192" s="2">
        <f t="shared" si="133"/>
        <v>0</v>
      </c>
      <c r="AV192" s="2">
        <f t="shared" si="133"/>
        <v>25211.99</v>
      </c>
      <c r="AW192" s="2">
        <f t="shared" si="133"/>
        <v>25211.99</v>
      </c>
      <c r="AX192" s="2">
        <f t="shared" si="133"/>
        <v>0</v>
      </c>
      <c r="AY192" s="2">
        <f t="shared" si="133"/>
        <v>25211.99</v>
      </c>
      <c r="AZ192" s="2">
        <f t="shared" si="133"/>
        <v>0</v>
      </c>
      <c r="BA192" s="2">
        <f t="shared" si="133"/>
        <v>0</v>
      </c>
      <c r="BB192" s="2">
        <f t="shared" si="133"/>
        <v>0</v>
      </c>
      <c r="BC192" s="2">
        <f t="shared" si="133"/>
        <v>0</v>
      </c>
      <c r="BD192" s="2">
        <f t="shared" si="133"/>
        <v>0</v>
      </c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>
        <f>ROUND(SUMIF(AA62:AA70,"=33806715",FQ62:FQ70),2)</f>
        <v>0</v>
      </c>
      <c r="BY192" s="2">
        <f>ROUND(SUMIF(AA62:AA70,"=33806715",FR62:FR70),2)</f>
        <v>0</v>
      </c>
      <c r="BZ192" s="2">
        <f>ROUND(SUMIF(AA62:AA70,"=33806715",GL62:GL70),2)</f>
        <v>0</v>
      </c>
      <c r="CA192" s="2">
        <f>ROUND(SUMIF(AA62:AA70,"=33806715",GM62:GM70),2)</f>
        <v>12124.79</v>
      </c>
      <c r="CB192" s="2">
        <f>ROUND(SUMIF(AA62:AA70,"=33806715",GN62:GN70),2)</f>
        <v>10976.04</v>
      </c>
      <c r="CC192" s="2">
        <f>ROUND(SUMIF(AA62:AA70,"=33806715",GO62:GO70),2)</f>
        <v>1148.75</v>
      </c>
      <c r="CD192" s="2">
        <f>ROUND(SUMIF(AA62:AA70,"=33806715",GP62:GP70),2)</f>
        <v>0</v>
      </c>
      <c r="CE192" s="2">
        <f>AC192-BX192</f>
        <v>4652.1499999999996</v>
      </c>
      <c r="CF192" s="2">
        <f>AC192-BY192</f>
        <v>4652.1499999999996</v>
      </c>
      <c r="CG192" s="2">
        <f>BX192-BZ192</f>
        <v>0</v>
      </c>
      <c r="CH192" s="2">
        <f>AC192-BX192-BY192+BZ192</f>
        <v>4652.1499999999996</v>
      </c>
      <c r="CI192" s="2">
        <f>BY192-BZ192</f>
        <v>0</v>
      </c>
      <c r="CJ192" s="2">
        <f>ROUND(SUMIF(AA62:AA70,"=33806715",GX62:GX70),2)</f>
        <v>0</v>
      </c>
      <c r="CK192" s="2">
        <f>ROUND(SUMIF(AA62:AA70,"=33806715",GY62:GY70),2)</f>
        <v>0</v>
      </c>
      <c r="CL192" s="2">
        <f>ROUND(SUMIF(AA62:AA70,"=33806715",GZ62:GZ70),2)</f>
        <v>0</v>
      </c>
      <c r="CM192" s="2">
        <f>ROUND(SUMIF(AA62:AA70,"=33806715",HD62:HD70),2)</f>
        <v>0</v>
      </c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>
        <v>0</v>
      </c>
    </row>
    <row r="194" spans="1:23">
      <c r="A194" s="4">
        <v>50</v>
      </c>
      <c r="B194" s="4">
        <v>0</v>
      </c>
      <c r="C194" s="4">
        <v>0</v>
      </c>
      <c r="D194" s="4">
        <v>1</v>
      </c>
      <c r="E194" s="4">
        <v>201</v>
      </c>
      <c r="F194" s="4">
        <f>ROUND(Source!O192,O194)</f>
        <v>41206.449999999997</v>
      </c>
      <c r="G194" s="4" t="s">
        <v>15</v>
      </c>
      <c r="H194" s="4" t="s">
        <v>16</v>
      </c>
      <c r="I194" s="4"/>
      <c r="J194" s="4"/>
      <c r="K194" s="4">
        <v>201</v>
      </c>
      <c r="L194" s="4">
        <v>1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3">
      <c r="A195" s="4">
        <v>50</v>
      </c>
      <c r="B195" s="4">
        <v>0</v>
      </c>
      <c r="C195" s="4">
        <v>0</v>
      </c>
      <c r="D195" s="4">
        <v>1</v>
      </c>
      <c r="E195" s="4">
        <v>202</v>
      </c>
      <c r="F195" s="4">
        <f>ROUND(Source!P192,O195)</f>
        <v>25211.99</v>
      </c>
      <c r="G195" s="4" t="s">
        <v>17</v>
      </c>
      <c r="H195" s="4" t="s">
        <v>18</v>
      </c>
      <c r="I195" s="4"/>
      <c r="J195" s="4"/>
      <c r="K195" s="4">
        <v>202</v>
      </c>
      <c r="L195" s="4">
        <v>2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3">
      <c r="A196" s="4">
        <v>50</v>
      </c>
      <c r="B196" s="4">
        <v>0</v>
      </c>
      <c r="C196" s="4">
        <v>0</v>
      </c>
      <c r="D196" s="4">
        <v>1</v>
      </c>
      <c r="E196" s="4">
        <v>222</v>
      </c>
      <c r="F196" s="4">
        <f>ROUND(Source!AO192,O196)</f>
        <v>0</v>
      </c>
      <c r="G196" s="4" t="s">
        <v>19</v>
      </c>
      <c r="H196" s="4" t="s">
        <v>20</v>
      </c>
      <c r="I196" s="4"/>
      <c r="J196" s="4"/>
      <c r="K196" s="4">
        <v>222</v>
      </c>
      <c r="L196" s="4">
        <v>3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3">
      <c r="A197" s="4">
        <v>50</v>
      </c>
      <c r="B197" s="4">
        <v>0</v>
      </c>
      <c r="C197" s="4">
        <v>0</v>
      </c>
      <c r="D197" s="4">
        <v>1</v>
      </c>
      <c r="E197" s="4">
        <v>225</v>
      </c>
      <c r="F197" s="4">
        <f>ROUND(Source!AV192,O197)</f>
        <v>25211.99</v>
      </c>
      <c r="G197" s="4" t="s">
        <v>21</v>
      </c>
      <c r="H197" s="4" t="s">
        <v>22</v>
      </c>
      <c r="I197" s="4"/>
      <c r="J197" s="4"/>
      <c r="K197" s="4">
        <v>225</v>
      </c>
      <c r="L197" s="4">
        <v>4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3">
      <c r="A198" s="4">
        <v>50</v>
      </c>
      <c r="B198" s="4">
        <v>0</v>
      </c>
      <c r="C198" s="4">
        <v>0</v>
      </c>
      <c r="D198" s="4">
        <v>1</v>
      </c>
      <c r="E198" s="4">
        <v>226</v>
      </c>
      <c r="F198" s="4">
        <f>ROUND(Source!AW192,O198)</f>
        <v>25211.99</v>
      </c>
      <c r="G198" s="4" t="s">
        <v>23</v>
      </c>
      <c r="H198" s="4" t="s">
        <v>24</v>
      </c>
      <c r="I198" s="4"/>
      <c r="J198" s="4"/>
      <c r="K198" s="4">
        <v>226</v>
      </c>
      <c r="L198" s="4">
        <v>5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3">
      <c r="A199" s="4">
        <v>50</v>
      </c>
      <c r="B199" s="4">
        <v>0</v>
      </c>
      <c r="C199" s="4">
        <v>0</v>
      </c>
      <c r="D199" s="4">
        <v>1</v>
      </c>
      <c r="E199" s="4">
        <v>227</v>
      </c>
      <c r="F199" s="4">
        <f>ROUND(Source!AX192,O199)</f>
        <v>0</v>
      </c>
      <c r="G199" s="4" t="s">
        <v>25</v>
      </c>
      <c r="H199" s="4" t="s">
        <v>26</v>
      </c>
      <c r="I199" s="4"/>
      <c r="J199" s="4"/>
      <c r="K199" s="4">
        <v>227</v>
      </c>
      <c r="L199" s="4">
        <v>6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3">
      <c r="A200" s="4">
        <v>50</v>
      </c>
      <c r="B200" s="4">
        <v>0</v>
      </c>
      <c r="C200" s="4">
        <v>0</v>
      </c>
      <c r="D200" s="4">
        <v>1</v>
      </c>
      <c r="E200" s="4">
        <v>228</v>
      </c>
      <c r="F200" s="4">
        <f>ROUND(Source!AY192,O200)</f>
        <v>25211.99</v>
      </c>
      <c r="G200" s="4" t="s">
        <v>27</v>
      </c>
      <c r="H200" s="4" t="s">
        <v>28</v>
      </c>
      <c r="I200" s="4"/>
      <c r="J200" s="4"/>
      <c r="K200" s="4">
        <v>228</v>
      </c>
      <c r="L200" s="4">
        <v>7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3">
      <c r="A201" s="4">
        <v>50</v>
      </c>
      <c r="B201" s="4">
        <v>0</v>
      </c>
      <c r="C201" s="4">
        <v>0</v>
      </c>
      <c r="D201" s="4">
        <v>1</v>
      </c>
      <c r="E201" s="4">
        <v>216</v>
      </c>
      <c r="F201" s="4">
        <f>ROUND(Source!AP192,O201)</f>
        <v>0</v>
      </c>
      <c r="G201" s="4" t="s">
        <v>29</v>
      </c>
      <c r="H201" s="4" t="s">
        <v>30</v>
      </c>
      <c r="I201" s="4"/>
      <c r="J201" s="4"/>
      <c r="K201" s="4">
        <v>216</v>
      </c>
      <c r="L201" s="4">
        <v>8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3">
      <c r="A202" s="4">
        <v>50</v>
      </c>
      <c r="B202" s="4">
        <v>0</v>
      </c>
      <c r="C202" s="4">
        <v>0</v>
      </c>
      <c r="D202" s="4">
        <v>1</v>
      </c>
      <c r="E202" s="4">
        <v>223</v>
      </c>
      <c r="F202" s="4">
        <f>ROUND(Source!AQ192,O202)</f>
        <v>0</v>
      </c>
      <c r="G202" s="4" t="s">
        <v>31</v>
      </c>
      <c r="H202" s="4" t="s">
        <v>32</v>
      </c>
      <c r="I202" s="4"/>
      <c r="J202" s="4"/>
      <c r="K202" s="4">
        <v>223</v>
      </c>
      <c r="L202" s="4">
        <v>9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3">
      <c r="A203" s="4">
        <v>50</v>
      </c>
      <c r="B203" s="4">
        <v>0</v>
      </c>
      <c r="C203" s="4">
        <v>0</v>
      </c>
      <c r="D203" s="4">
        <v>1</v>
      </c>
      <c r="E203" s="4">
        <v>229</v>
      </c>
      <c r="F203" s="4">
        <f>ROUND(Source!AZ192,O203)</f>
        <v>0</v>
      </c>
      <c r="G203" s="4" t="s">
        <v>33</v>
      </c>
      <c r="H203" s="4" t="s">
        <v>34</v>
      </c>
      <c r="I203" s="4"/>
      <c r="J203" s="4"/>
      <c r="K203" s="4">
        <v>229</v>
      </c>
      <c r="L203" s="4">
        <v>10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3">
      <c r="A204" s="4">
        <v>50</v>
      </c>
      <c r="B204" s="4">
        <v>0</v>
      </c>
      <c r="C204" s="4">
        <v>0</v>
      </c>
      <c r="D204" s="4">
        <v>1</v>
      </c>
      <c r="E204" s="4">
        <v>203</v>
      </c>
      <c r="F204" s="4">
        <f>ROUND(Source!Q192,O204)</f>
        <v>1530.22</v>
      </c>
      <c r="G204" s="4" t="s">
        <v>35</v>
      </c>
      <c r="H204" s="4" t="s">
        <v>36</v>
      </c>
      <c r="I204" s="4"/>
      <c r="J204" s="4"/>
      <c r="K204" s="4">
        <v>203</v>
      </c>
      <c r="L204" s="4">
        <v>11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3">
      <c r="A205" s="4">
        <v>50</v>
      </c>
      <c r="B205" s="4">
        <v>0</v>
      </c>
      <c r="C205" s="4">
        <v>0</v>
      </c>
      <c r="D205" s="4">
        <v>1</v>
      </c>
      <c r="E205" s="4">
        <v>231</v>
      </c>
      <c r="F205" s="4">
        <f>ROUND(Source!BB192,O205)</f>
        <v>0</v>
      </c>
      <c r="G205" s="4" t="s">
        <v>37</v>
      </c>
      <c r="H205" s="4" t="s">
        <v>38</v>
      </c>
      <c r="I205" s="4"/>
      <c r="J205" s="4"/>
      <c r="K205" s="4">
        <v>231</v>
      </c>
      <c r="L205" s="4">
        <v>12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3">
      <c r="A206" s="4">
        <v>50</v>
      </c>
      <c r="B206" s="4">
        <v>0</v>
      </c>
      <c r="C206" s="4">
        <v>0</v>
      </c>
      <c r="D206" s="4">
        <v>1</v>
      </c>
      <c r="E206" s="4">
        <v>204</v>
      </c>
      <c r="F206" s="4">
        <f>ROUND(Source!R192,O206)</f>
        <v>446.67</v>
      </c>
      <c r="G206" s="4" t="s">
        <v>39</v>
      </c>
      <c r="H206" s="4" t="s">
        <v>40</v>
      </c>
      <c r="I206" s="4"/>
      <c r="J206" s="4"/>
      <c r="K206" s="4">
        <v>204</v>
      </c>
      <c r="L206" s="4">
        <v>13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3">
      <c r="A207" s="4">
        <v>50</v>
      </c>
      <c r="B207" s="4">
        <v>0</v>
      </c>
      <c r="C207" s="4">
        <v>0</v>
      </c>
      <c r="D207" s="4">
        <v>1</v>
      </c>
      <c r="E207" s="4">
        <v>205</v>
      </c>
      <c r="F207" s="4">
        <f>ROUND(Source!S192,O207)</f>
        <v>14464.24</v>
      </c>
      <c r="G207" s="4" t="s">
        <v>41</v>
      </c>
      <c r="H207" s="4" t="s">
        <v>42</v>
      </c>
      <c r="I207" s="4"/>
      <c r="J207" s="4"/>
      <c r="K207" s="4">
        <v>205</v>
      </c>
      <c r="L207" s="4">
        <v>14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3">
      <c r="A208" s="4">
        <v>50</v>
      </c>
      <c r="B208" s="4">
        <v>0</v>
      </c>
      <c r="C208" s="4">
        <v>0</v>
      </c>
      <c r="D208" s="4">
        <v>1</v>
      </c>
      <c r="E208" s="4">
        <v>232</v>
      </c>
      <c r="F208" s="4">
        <f>ROUND(Source!BC192,O208)</f>
        <v>0</v>
      </c>
      <c r="G208" s="4" t="s">
        <v>43</v>
      </c>
      <c r="H208" s="4" t="s">
        <v>44</v>
      </c>
      <c r="I208" s="4"/>
      <c r="J208" s="4"/>
      <c r="K208" s="4">
        <v>232</v>
      </c>
      <c r="L208" s="4">
        <v>15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06">
      <c r="A209" s="4">
        <v>50</v>
      </c>
      <c r="B209" s="4">
        <v>0</v>
      </c>
      <c r="C209" s="4">
        <v>0</v>
      </c>
      <c r="D209" s="4">
        <v>1</v>
      </c>
      <c r="E209" s="4">
        <v>214</v>
      </c>
      <c r="F209" s="4">
        <f>ROUND(Source!AS192,O209)</f>
        <v>61826.48</v>
      </c>
      <c r="G209" s="4" t="s">
        <v>45</v>
      </c>
      <c r="H209" s="4" t="s">
        <v>46</v>
      </c>
      <c r="I209" s="4"/>
      <c r="J209" s="4"/>
      <c r="K209" s="4">
        <v>214</v>
      </c>
      <c r="L209" s="4">
        <v>16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06">
      <c r="A210" s="4">
        <v>50</v>
      </c>
      <c r="B210" s="4">
        <v>0</v>
      </c>
      <c r="C210" s="4">
        <v>0</v>
      </c>
      <c r="D210" s="4">
        <v>1</v>
      </c>
      <c r="E210" s="4">
        <v>215</v>
      </c>
      <c r="F210" s="4">
        <f>ROUND(Source!AT192,O210)</f>
        <v>2443.08</v>
      </c>
      <c r="G210" s="4" t="s">
        <v>47</v>
      </c>
      <c r="H210" s="4" t="s">
        <v>48</v>
      </c>
      <c r="I210" s="4"/>
      <c r="J210" s="4"/>
      <c r="K210" s="4">
        <v>215</v>
      </c>
      <c r="L210" s="4">
        <v>17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06">
      <c r="A211" s="4">
        <v>50</v>
      </c>
      <c r="B211" s="4">
        <v>0</v>
      </c>
      <c r="C211" s="4">
        <v>0</v>
      </c>
      <c r="D211" s="4">
        <v>1</v>
      </c>
      <c r="E211" s="4">
        <v>217</v>
      </c>
      <c r="F211" s="4">
        <f>ROUND(Source!AU192,O211)</f>
        <v>0</v>
      </c>
      <c r="G211" s="4" t="s">
        <v>49</v>
      </c>
      <c r="H211" s="4" t="s">
        <v>50</v>
      </c>
      <c r="I211" s="4"/>
      <c r="J211" s="4"/>
      <c r="K211" s="4">
        <v>217</v>
      </c>
      <c r="L211" s="4">
        <v>18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06">
      <c r="A212" s="4">
        <v>50</v>
      </c>
      <c r="B212" s="4">
        <v>0</v>
      </c>
      <c r="C212" s="4">
        <v>0</v>
      </c>
      <c r="D212" s="4">
        <v>1</v>
      </c>
      <c r="E212" s="4">
        <v>230</v>
      </c>
      <c r="F212" s="4">
        <f>ROUND(Source!BA192,O212)</f>
        <v>0</v>
      </c>
      <c r="G212" s="4" t="s">
        <v>51</v>
      </c>
      <c r="H212" s="4" t="s">
        <v>52</v>
      </c>
      <c r="I212" s="4"/>
      <c r="J212" s="4"/>
      <c r="K212" s="4">
        <v>230</v>
      </c>
      <c r="L212" s="4">
        <v>19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06">
      <c r="A213" s="4">
        <v>50</v>
      </c>
      <c r="B213" s="4">
        <v>0</v>
      </c>
      <c r="C213" s="4">
        <v>0</v>
      </c>
      <c r="D213" s="4">
        <v>1</v>
      </c>
      <c r="E213" s="4">
        <v>206</v>
      </c>
      <c r="F213" s="4">
        <f>ROUND(Source!T192,O213)</f>
        <v>0</v>
      </c>
      <c r="G213" s="4" t="s">
        <v>53</v>
      </c>
      <c r="H213" s="4" t="s">
        <v>54</v>
      </c>
      <c r="I213" s="4"/>
      <c r="J213" s="4"/>
      <c r="K213" s="4">
        <v>206</v>
      </c>
      <c r="L213" s="4">
        <v>20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06">
      <c r="A214" s="4">
        <v>50</v>
      </c>
      <c r="B214" s="4">
        <v>0</v>
      </c>
      <c r="C214" s="4">
        <v>0</v>
      </c>
      <c r="D214" s="4">
        <v>1</v>
      </c>
      <c r="E214" s="4">
        <v>207</v>
      </c>
      <c r="F214" s="4">
        <f>Source!U192</f>
        <v>47.461089999999999</v>
      </c>
      <c r="G214" s="4" t="s">
        <v>55</v>
      </c>
      <c r="H214" s="4" t="s">
        <v>56</v>
      </c>
      <c r="I214" s="4"/>
      <c r="J214" s="4"/>
      <c r="K214" s="4">
        <v>207</v>
      </c>
      <c r="L214" s="4">
        <v>21</v>
      </c>
      <c r="M214" s="4">
        <v>3</v>
      </c>
      <c r="N214" s="4" t="s">
        <v>3</v>
      </c>
      <c r="O214" s="4">
        <v>-1</v>
      </c>
      <c r="P214" s="4"/>
      <c r="Q214" s="4"/>
      <c r="R214" s="4"/>
      <c r="S214" s="4"/>
      <c r="T214" s="4"/>
      <c r="U214" s="4"/>
      <c r="V214" s="4"/>
      <c r="W214" s="4"/>
    </row>
    <row r="215" spans="1:206">
      <c r="A215" s="4">
        <v>50</v>
      </c>
      <c r="B215" s="4">
        <v>0</v>
      </c>
      <c r="C215" s="4">
        <v>0</v>
      </c>
      <c r="D215" s="4">
        <v>1</v>
      </c>
      <c r="E215" s="4">
        <v>208</v>
      </c>
      <c r="F215" s="4">
        <f>Source!V192</f>
        <v>1.2644630000000003</v>
      </c>
      <c r="G215" s="4" t="s">
        <v>57</v>
      </c>
      <c r="H215" s="4" t="s">
        <v>58</v>
      </c>
      <c r="I215" s="4"/>
      <c r="J215" s="4"/>
      <c r="K215" s="4">
        <v>208</v>
      </c>
      <c r="L215" s="4">
        <v>22</v>
      </c>
      <c r="M215" s="4">
        <v>3</v>
      </c>
      <c r="N215" s="4" t="s">
        <v>3</v>
      </c>
      <c r="O215" s="4">
        <v>-1</v>
      </c>
      <c r="P215" s="4"/>
      <c r="Q215" s="4"/>
      <c r="R215" s="4"/>
      <c r="S215" s="4"/>
      <c r="T215" s="4"/>
      <c r="U215" s="4"/>
      <c r="V215" s="4"/>
      <c r="W215" s="4"/>
    </row>
    <row r="216" spans="1:206">
      <c r="A216" s="4">
        <v>50</v>
      </c>
      <c r="B216" s="4">
        <v>0</v>
      </c>
      <c r="C216" s="4">
        <v>0</v>
      </c>
      <c r="D216" s="4">
        <v>1</v>
      </c>
      <c r="E216" s="4">
        <v>209</v>
      </c>
      <c r="F216" s="4">
        <f>ROUND(Source!W192,O216)</f>
        <v>32.200000000000003</v>
      </c>
      <c r="G216" s="4" t="s">
        <v>59</v>
      </c>
      <c r="H216" s="4" t="s">
        <v>60</v>
      </c>
      <c r="I216" s="4"/>
      <c r="J216" s="4"/>
      <c r="K216" s="4">
        <v>209</v>
      </c>
      <c r="L216" s="4">
        <v>23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06">
      <c r="A217" s="4">
        <v>50</v>
      </c>
      <c r="B217" s="4">
        <v>0</v>
      </c>
      <c r="C217" s="4">
        <v>0</v>
      </c>
      <c r="D217" s="4">
        <v>1</v>
      </c>
      <c r="E217" s="4">
        <v>233</v>
      </c>
      <c r="F217" s="4">
        <f>ROUND(Source!BD192,O217)</f>
        <v>0</v>
      </c>
      <c r="G217" s="4" t="s">
        <v>61</v>
      </c>
      <c r="H217" s="4" t="s">
        <v>62</v>
      </c>
      <c r="I217" s="4"/>
      <c r="J217" s="4"/>
      <c r="K217" s="4">
        <v>233</v>
      </c>
      <c r="L217" s="4">
        <v>24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06">
      <c r="A218" s="4">
        <v>50</v>
      </c>
      <c r="B218" s="4">
        <v>0</v>
      </c>
      <c r="C218" s="4">
        <v>0</v>
      </c>
      <c r="D218" s="4">
        <v>1</v>
      </c>
      <c r="E218" s="4">
        <v>210</v>
      </c>
      <c r="F218" s="4">
        <f>ROUND(Source!X192,O218)</f>
        <v>14998.97</v>
      </c>
      <c r="G218" s="4" t="s">
        <v>63</v>
      </c>
      <c r="H218" s="4" t="s">
        <v>64</v>
      </c>
      <c r="I218" s="4"/>
      <c r="J218" s="4"/>
      <c r="K218" s="4">
        <v>210</v>
      </c>
      <c r="L218" s="4">
        <v>25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06">
      <c r="A219" s="4">
        <v>50</v>
      </c>
      <c r="B219" s="4">
        <v>0</v>
      </c>
      <c r="C219" s="4">
        <v>0</v>
      </c>
      <c r="D219" s="4">
        <v>1</v>
      </c>
      <c r="E219" s="4">
        <v>211</v>
      </c>
      <c r="F219" s="4">
        <f>ROUND(Source!Y192,O219)</f>
        <v>8064.14</v>
      </c>
      <c r="G219" s="4" t="s">
        <v>65</v>
      </c>
      <c r="H219" s="4" t="s">
        <v>66</v>
      </c>
      <c r="I219" s="4"/>
      <c r="J219" s="4"/>
      <c r="K219" s="4">
        <v>211</v>
      </c>
      <c r="L219" s="4">
        <v>26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06">
      <c r="A220" s="4">
        <v>50</v>
      </c>
      <c r="B220" s="4">
        <v>0</v>
      </c>
      <c r="C220" s="4">
        <v>0</v>
      </c>
      <c r="D220" s="4">
        <v>1</v>
      </c>
      <c r="E220" s="4">
        <v>224</v>
      </c>
      <c r="F220" s="4">
        <f>ROUND(Source!AR192,O220)</f>
        <v>64269.56</v>
      </c>
      <c r="G220" s="4" t="s">
        <v>67</v>
      </c>
      <c r="H220" s="4" t="s">
        <v>68</v>
      </c>
      <c r="I220" s="4"/>
      <c r="J220" s="4"/>
      <c r="K220" s="4">
        <v>224</v>
      </c>
      <c r="L220" s="4">
        <v>27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2" spans="1:206">
      <c r="A222" s="2">
        <v>51</v>
      </c>
      <c r="B222" s="2">
        <f>B20</f>
        <v>1</v>
      </c>
      <c r="C222" s="2">
        <f>A20</f>
        <v>3</v>
      </c>
      <c r="D222" s="2">
        <f>ROW(A20)</f>
        <v>20</v>
      </c>
      <c r="E222" s="2"/>
      <c r="F222" s="2" t="str">
        <f>IF(F20&lt;&gt;"",F20,"")</f>
        <v>Новая локальная смета</v>
      </c>
      <c r="G222" s="2" t="str">
        <f>IF(G20&lt;&gt;"",G20,"")</f>
        <v>Новая локальная смета</v>
      </c>
      <c r="H222" s="2">
        <v>0</v>
      </c>
      <c r="I222" s="2"/>
      <c r="J222" s="2"/>
      <c r="K222" s="2"/>
      <c r="L222" s="2"/>
      <c r="M222" s="2"/>
      <c r="N222" s="2"/>
      <c r="O222" s="2">
        <f t="shared" ref="O222:T222" si="134">ROUND(O28+O192+AB222,2)</f>
        <v>41206.449999999997</v>
      </c>
      <c r="P222" s="2">
        <f t="shared" si="134"/>
        <v>25211.99</v>
      </c>
      <c r="Q222" s="2">
        <f t="shared" si="134"/>
        <v>1530.22</v>
      </c>
      <c r="R222" s="2">
        <f t="shared" si="134"/>
        <v>446.67</v>
      </c>
      <c r="S222" s="2">
        <f t="shared" si="134"/>
        <v>14464.24</v>
      </c>
      <c r="T222" s="2">
        <f t="shared" si="134"/>
        <v>0</v>
      </c>
      <c r="U222" s="2">
        <f>U28+U192+AH222</f>
        <v>47.461089999999999</v>
      </c>
      <c r="V222" s="2">
        <f>V28+V192+AI222</f>
        <v>1.2644630000000003</v>
      </c>
      <c r="W222" s="2">
        <f>ROUND(W28+W192+AJ222,2)</f>
        <v>32.200000000000003</v>
      </c>
      <c r="X222" s="2">
        <f>ROUND(X28+X192+AK222,2)</f>
        <v>14998.97</v>
      </c>
      <c r="Y222" s="2">
        <f>ROUND(Y28+Y192+AL222,2)</f>
        <v>8064.14</v>
      </c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>
        <f t="shared" ref="AO222:BD222" si="135">ROUND(AO28+AO192+BX222,2)</f>
        <v>0</v>
      </c>
      <c r="AP222" s="2">
        <f t="shared" si="135"/>
        <v>0</v>
      </c>
      <c r="AQ222" s="2">
        <f t="shared" si="135"/>
        <v>0</v>
      </c>
      <c r="AR222" s="2">
        <f t="shared" si="135"/>
        <v>64269.56</v>
      </c>
      <c r="AS222" s="2">
        <f t="shared" si="135"/>
        <v>61826.48</v>
      </c>
      <c r="AT222" s="2">
        <f t="shared" si="135"/>
        <v>2443.08</v>
      </c>
      <c r="AU222" s="2">
        <f t="shared" si="135"/>
        <v>0</v>
      </c>
      <c r="AV222" s="2">
        <f t="shared" si="135"/>
        <v>25211.99</v>
      </c>
      <c r="AW222" s="2">
        <f t="shared" si="135"/>
        <v>25211.99</v>
      </c>
      <c r="AX222" s="2">
        <f t="shared" si="135"/>
        <v>0</v>
      </c>
      <c r="AY222" s="2">
        <f t="shared" si="135"/>
        <v>25211.99</v>
      </c>
      <c r="AZ222" s="2">
        <f t="shared" si="135"/>
        <v>0</v>
      </c>
      <c r="BA222" s="2">
        <f t="shared" si="135"/>
        <v>0</v>
      </c>
      <c r="BB222" s="2">
        <f t="shared" si="135"/>
        <v>0</v>
      </c>
      <c r="BC222" s="2">
        <f t="shared" si="135"/>
        <v>0</v>
      </c>
      <c r="BD222" s="2">
        <f t="shared" si="135"/>
        <v>0</v>
      </c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>
        <v>0</v>
      </c>
    </row>
    <row r="224" spans="1:206">
      <c r="A224" s="4">
        <v>50</v>
      </c>
      <c r="B224" s="4">
        <v>0</v>
      </c>
      <c r="C224" s="4">
        <v>0</v>
      </c>
      <c r="D224" s="4">
        <v>1</v>
      </c>
      <c r="E224" s="4">
        <v>201</v>
      </c>
      <c r="F224" s="4">
        <f>ROUND(Source!O222,O224)</f>
        <v>41206.449999999997</v>
      </c>
      <c r="G224" s="4" t="s">
        <v>15</v>
      </c>
      <c r="H224" s="4" t="s">
        <v>16</v>
      </c>
      <c r="I224" s="4"/>
      <c r="J224" s="4"/>
      <c r="K224" s="4">
        <v>201</v>
      </c>
      <c r="L224" s="4">
        <v>1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202</v>
      </c>
      <c r="F225" s="4">
        <f>ROUND(Source!P222,O225)</f>
        <v>25211.99</v>
      </c>
      <c r="G225" s="4" t="s">
        <v>17</v>
      </c>
      <c r="H225" s="4" t="s">
        <v>18</v>
      </c>
      <c r="I225" s="4"/>
      <c r="J225" s="4"/>
      <c r="K225" s="4">
        <v>202</v>
      </c>
      <c r="L225" s="4">
        <v>2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222</v>
      </c>
      <c r="F226" s="4">
        <f>ROUND(Source!AO222,O226)</f>
        <v>0</v>
      </c>
      <c r="G226" s="4" t="s">
        <v>19</v>
      </c>
      <c r="H226" s="4" t="s">
        <v>20</v>
      </c>
      <c r="I226" s="4"/>
      <c r="J226" s="4"/>
      <c r="K226" s="4">
        <v>222</v>
      </c>
      <c r="L226" s="4">
        <v>3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225</v>
      </c>
      <c r="F227" s="4">
        <f>ROUND(Source!AV222,O227)</f>
        <v>25211.99</v>
      </c>
      <c r="G227" s="4" t="s">
        <v>21</v>
      </c>
      <c r="H227" s="4" t="s">
        <v>22</v>
      </c>
      <c r="I227" s="4"/>
      <c r="J227" s="4"/>
      <c r="K227" s="4">
        <v>225</v>
      </c>
      <c r="L227" s="4">
        <v>4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226</v>
      </c>
      <c r="F228" s="4">
        <f>ROUND(Source!AW222,O228)</f>
        <v>25211.99</v>
      </c>
      <c r="G228" s="4" t="s">
        <v>23</v>
      </c>
      <c r="H228" s="4" t="s">
        <v>24</v>
      </c>
      <c r="I228" s="4"/>
      <c r="J228" s="4"/>
      <c r="K228" s="4">
        <v>226</v>
      </c>
      <c r="L228" s="4">
        <v>5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227</v>
      </c>
      <c r="F229" s="4">
        <f>ROUND(Source!AX222,O229)</f>
        <v>0</v>
      </c>
      <c r="G229" s="4" t="s">
        <v>25</v>
      </c>
      <c r="H229" s="4" t="s">
        <v>26</v>
      </c>
      <c r="I229" s="4"/>
      <c r="J229" s="4"/>
      <c r="K229" s="4">
        <v>227</v>
      </c>
      <c r="L229" s="4">
        <v>6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228</v>
      </c>
      <c r="F230" s="4">
        <f>ROUND(Source!AY222,O230)</f>
        <v>25211.99</v>
      </c>
      <c r="G230" s="4" t="s">
        <v>27</v>
      </c>
      <c r="H230" s="4" t="s">
        <v>28</v>
      </c>
      <c r="I230" s="4"/>
      <c r="J230" s="4"/>
      <c r="K230" s="4">
        <v>228</v>
      </c>
      <c r="L230" s="4">
        <v>7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216</v>
      </c>
      <c r="F231" s="4">
        <f>ROUND(Source!AP222,O231)</f>
        <v>0</v>
      </c>
      <c r="G231" s="4" t="s">
        <v>29</v>
      </c>
      <c r="H231" s="4" t="s">
        <v>30</v>
      </c>
      <c r="I231" s="4"/>
      <c r="J231" s="4"/>
      <c r="K231" s="4">
        <v>216</v>
      </c>
      <c r="L231" s="4">
        <v>8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223</v>
      </c>
      <c r="F232" s="4">
        <f>ROUND(Source!AQ222,O232)</f>
        <v>0</v>
      </c>
      <c r="G232" s="4" t="s">
        <v>31</v>
      </c>
      <c r="H232" s="4" t="s">
        <v>32</v>
      </c>
      <c r="I232" s="4"/>
      <c r="J232" s="4"/>
      <c r="K232" s="4">
        <v>223</v>
      </c>
      <c r="L232" s="4">
        <v>9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229</v>
      </c>
      <c r="F233" s="4">
        <f>ROUND(Source!AZ222,O233)</f>
        <v>0</v>
      </c>
      <c r="G233" s="4" t="s">
        <v>33</v>
      </c>
      <c r="H233" s="4" t="s">
        <v>34</v>
      </c>
      <c r="I233" s="4"/>
      <c r="J233" s="4"/>
      <c r="K233" s="4">
        <v>229</v>
      </c>
      <c r="L233" s="4">
        <v>10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203</v>
      </c>
      <c r="F234" s="4">
        <f>ROUND(Source!Q222,O234)</f>
        <v>1530.22</v>
      </c>
      <c r="G234" s="4" t="s">
        <v>35</v>
      </c>
      <c r="H234" s="4" t="s">
        <v>36</v>
      </c>
      <c r="I234" s="4"/>
      <c r="J234" s="4"/>
      <c r="K234" s="4">
        <v>203</v>
      </c>
      <c r="L234" s="4">
        <v>11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231</v>
      </c>
      <c r="F235" s="4">
        <f>ROUND(Source!BB222,O235)</f>
        <v>0</v>
      </c>
      <c r="G235" s="4" t="s">
        <v>37</v>
      </c>
      <c r="H235" s="4" t="s">
        <v>38</v>
      </c>
      <c r="I235" s="4"/>
      <c r="J235" s="4"/>
      <c r="K235" s="4">
        <v>231</v>
      </c>
      <c r="L235" s="4">
        <v>12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0</v>
      </c>
      <c r="C236" s="4">
        <v>0</v>
      </c>
      <c r="D236" s="4">
        <v>1</v>
      </c>
      <c r="E236" s="4">
        <v>204</v>
      </c>
      <c r="F236" s="4">
        <f>ROUND(Source!R222,O236)</f>
        <v>446.67</v>
      </c>
      <c r="G236" s="4" t="s">
        <v>39</v>
      </c>
      <c r="H236" s="4" t="s">
        <v>40</v>
      </c>
      <c r="I236" s="4"/>
      <c r="J236" s="4"/>
      <c r="K236" s="4">
        <v>204</v>
      </c>
      <c r="L236" s="4">
        <v>13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0</v>
      </c>
      <c r="C237" s="4">
        <v>0</v>
      </c>
      <c r="D237" s="4">
        <v>1</v>
      </c>
      <c r="E237" s="4">
        <v>205</v>
      </c>
      <c r="F237" s="4">
        <f>ROUND(Source!S222,O237)</f>
        <v>14464.24</v>
      </c>
      <c r="G237" s="4" t="s">
        <v>41</v>
      </c>
      <c r="H237" s="4" t="s">
        <v>42</v>
      </c>
      <c r="I237" s="4"/>
      <c r="J237" s="4"/>
      <c r="K237" s="4">
        <v>205</v>
      </c>
      <c r="L237" s="4">
        <v>14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>
      <c r="A238" s="4">
        <v>50</v>
      </c>
      <c r="B238" s="4">
        <v>0</v>
      </c>
      <c r="C238" s="4">
        <v>0</v>
      </c>
      <c r="D238" s="4">
        <v>1</v>
      </c>
      <c r="E238" s="4">
        <v>232</v>
      </c>
      <c r="F238" s="4">
        <f>ROUND(Source!BC222,O238)</f>
        <v>0</v>
      </c>
      <c r="G238" s="4" t="s">
        <v>43</v>
      </c>
      <c r="H238" s="4" t="s">
        <v>44</v>
      </c>
      <c r="I238" s="4"/>
      <c r="J238" s="4"/>
      <c r="K238" s="4">
        <v>232</v>
      </c>
      <c r="L238" s="4">
        <v>15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>
      <c r="A239" s="4">
        <v>50</v>
      </c>
      <c r="B239" s="4">
        <v>0</v>
      </c>
      <c r="C239" s="4">
        <v>0</v>
      </c>
      <c r="D239" s="4">
        <v>1</v>
      </c>
      <c r="E239" s="4">
        <v>214</v>
      </c>
      <c r="F239" s="4">
        <f>ROUND(Source!AS222,O239)</f>
        <v>61826.48</v>
      </c>
      <c r="G239" s="4" t="s">
        <v>45</v>
      </c>
      <c r="H239" s="4" t="s">
        <v>46</v>
      </c>
      <c r="I239" s="4"/>
      <c r="J239" s="4"/>
      <c r="K239" s="4">
        <v>214</v>
      </c>
      <c r="L239" s="4">
        <v>16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>
      <c r="A240" s="4">
        <v>50</v>
      </c>
      <c r="B240" s="4">
        <v>0</v>
      </c>
      <c r="C240" s="4">
        <v>0</v>
      </c>
      <c r="D240" s="4">
        <v>1</v>
      </c>
      <c r="E240" s="4">
        <v>215</v>
      </c>
      <c r="F240" s="4">
        <f>ROUND(Source!AT222,O240)</f>
        <v>2443.08</v>
      </c>
      <c r="G240" s="4" t="s">
        <v>47</v>
      </c>
      <c r="H240" s="4" t="s">
        <v>48</v>
      </c>
      <c r="I240" s="4"/>
      <c r="J240" s="4"/>
      <c r="K240" s="4">
        <v>215</v>
      </c>
      <c r="L240" s="4">
        <v>17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06">
      <c r="A241" s="4">
        <v>50</v>
      </c>
      <c r="B241" s="4">
        <v>0</v>
      </c>
      <c r="C241" s="4">
        <v>0</v>
      </c>
      <c r="D241" s="4">
        <v>1</v>
      </c>
      <c r="E241" s="4">
        <v>217</v>
      </c>
      <c r="F241" s="4">
        <f>ROUND(Source!AU222,O241)</f>
        <v>0</v>
      </c>
      <c r="G241" s="4" t="s">
        <v>49</v>
      </c>
      <c r="H241" s="4" t="s">
        <v>50</v>
      </c>
      <c r="I241" s="4"/>
      <c r="J241" s="4"/>
      <c r="K241" s="4">
        <v>217</v>
      </c>
      <c r="L241" s="4">
        <v>18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06">
      <c r="A242" s="4">
        <v>50</v>
      </c>
      <c r="B242" s="4">
        <v>0</v>
      </c>
      <c r="C242" s="4">
        <v>0</v>
      </c>
      <c r="D242" s="4">
        <v>1</v>
      </c>
      <c r="E242" s="4">
        <v>230</v>
      </c>
      <c r="F242" s="4">
        <f>ROUND(Source!BA222,O242)</f>
        <v>0</v>
      </c>
      <c r="G242" s="4" t="s">
        <v>51</v>
      </c>
      <c r="H242" s="4" t="s">
        <v>52</v>
      </c>
      <c r="I242" s="4"/>
      <c r="J242" s="4"/>
      <c r="K242" s="4">
        <v>230</v>
      </c>
      <c r="L242" s="4">
        <v>19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06">
      <c r="A243" s="4">
        <v>50</v>
      </c>
      <c r="B243" s="4">
        <v>0</v>
      </c>
      <c r="C243" s="4">
        <v>0</v>
      </c>
      <c r="D243" s="4">
        <v>1</v>
      </c>
      <c r="E243" s="4">
        <v>206</v>
      </c>
      <c r="F243" s="4">
        <f>ROUND(Source!T222,O243)</f>
        <v>0</v>
      </c>
      <c r="G243" s="4" t="s">
        <v>53</v>
      </c>
      <c r="H243" s="4" t="s">
        <v>54</v>
      </c>
      <c r="I243" s="4"/>
      <c r="J243" s="4"/>
      <c r="K243" s="4">
        <v>206</v>
      </c>
      <c r="L243" s="4">
        <v>20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06">
      <c r="A244" s="4">
        <v>50</v>
      </c>
      <c r="B244" s="4">
        <v>0</v>
      </c>
      <c r="C244" s="4">
        <v>0</v>
      </c>
      <c r="D244" s="4">
        <v>1</v>
      </c>
      <c r="E244" s="4">
        <v>207</v>
      </c>
      <c r="F244" s="4">
        <f>Source!U222</f>
        <v>47.461089999999999</v>
      </c>
      <c r="G244" s="4" t="s">
        <v>55</v>
      </c>
      <c r="H244" s="4" t="s">
        <v>56</v>
      </c>
      <c r="I244" s="4"/>
      <c r="J244" s="4"/>
      <c r="K244" s="4">
        <v>207</v>
      </c>
      <c r="L244" s="4">
        <v>21</v>
      </c>
      <c r="M244" s="4">
        <v>3</v>
      </c>
      <c r="N244" s="4" t="s">
        <v>3</v>
      </c>
      <c r="O244" s="4">
        <v>-1</v>
      </c>
      <c r="P244" s="4"/>
      <c r="Q244" s="4"/>
      <c r="R244" s="4"/>
      <c r="S244" s="4"/>
      <c r="T244" s="4"/>
      <c r="U244" s="4"/>
      <c r="V244" s="4"/>
      <c r="W244" s="4"/>
    </row>
    <row r="245" spans="1:206">
      <c r="A245" s="4">
        <v>50</v>
      </c>
      <c r="B245" s="4">
        <v>0</v>
      </c>
      <c r="C245" s="4">
        <v>0</v>
      </c>
      <c r="D245" s="4">
        <v>1</v>
      </c>
      <c r="E245" s="4">
        <v>208</v>
      </c>
      <c r="F245" s="4">
        <f>Source!V222</f>
        <v>1.2644630000000003</v>
      </c>
      <c r="G245" s="4" t="s">
        <v>57</v>
      </c>
      <c r="H245" s="4" t="s">
        <v>58</v>
      </c>
      <c r="I245" s="4"/>
      <c r="J245" s="4"/>
      <c r="K245" s="4">
        <v>208</v>
      </c>
      <c r="L245" s="4">
        <v>22</v>
      </c>
      <c r="M245" s="4">
        <v>3</v>
      </c>
      <c r="N245" s="4" t="s">
        <v>3</v>
      </c>
      <c r="O245" s="4">
        <v>-1</v>
      </c>
      <c r="P245" s="4"/>
      <c r="Q245" s="4"/>
      <c r="R245" s="4"/>
      <c r="S245" s="4"/>
      <c r="T245" s="4"/>
      <c r="U245" s="4"/>
      <c r="V245" s="4"/>
      <c r="W245" s="4"/>
    </row>
    <row r="246" spans="1:206">
      <c r="A246" s="4">
        <v>50</v>
      </c>
      <c r="B246" s="4">
        <v>0</v>
      </c>
      <c r="C246" s="4">
        <v>0</v>
      </c>
      <c r="D246" s="4">
        <v>1</v>
      </c>
      <c r="E246" s="4">
        <v>209</v>
      </c>
      <c r="F246" s="4">
        <f>ROUND(Source!W222,O246)</f>
        <v>32.200000000000003</v>
      </c>
      <c r="G246" s="4" t="s">
        <v>59</v>
      </c>
      <c r="H246" s="4" t="s">
        <v>60</v>
      </c>
      <c r="I246" s="4"/>
      <c r="J246" s="4"/>
      <c r="K246" s="4">
        <v>209</v>
      </c>
      <c r="L246" s="4">
        <v>23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/>
    </row>
    <row r="247" spans="1:206">
      <c r="A247" s="4">
        <v>50</v>
      </c>
      <c r="B247" s="4">
        <v>0</v>
      </c>
      <c r="C247" s="4">
        <v>0</v>
      </c>
      <c r="D247" s="4">
        <v>1</v>
      </c>
      <c r="E247" s="4">
        <v>233</v>
      </c>
      <c r="F247" s="4">
        <f>ROUND(Source!BD222,O247)</f>
        <v>0</v>
      </c>
      <c r="G247" s="4" t="s">
        <v>61</v>
      </c>
      <c r="H247" s="4" t="s">
        <v>62</v>
      </c>
      <c r="I247" s="4"/>
      <c r="J247" s="4"/>
      <c r="K247" s="4">
        <v>233</v>
      </c>
      <c r="L247" s="4">
        <v>24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/>
    </row>
    <row r="248" spans="1:206">
      <c r="A248" s="4">
        <v>50</v>
      </c>
      <c r="B248" s="4">
        <v>0</v>
      </c>
      <c r="C248" s="4">
        <v>0</v>
      </c>
      <c r="D248" s="4">
        <v>1</v>
      </c>
      <c r="E248" s="4">
        <v>210</v>
      </c>
      <c r="F248" s="4">
        <f>ROUND(Source!X222,O248)</f>
        <v>14998.97</v>
      </c>
      <c r="G248" s="4" t="s">
        <v>63</v>
      </c>
      <c r="H248" s="4" t="s">
        <v>64</v>
      </c>
      <c r="I248" s="4"/>
      <c r="J248" s="4"/>
      <c r="K248" s="4">
        <v>210</v>
      </c>
      <c r="L248" s="4">
        <v>25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06">
      <c r="A249" s="4">
        <v>50</v>
      </c>
      <c r="B249" s="4">
        <v>0</v>
      </c>
      <c r="C249" s="4">
        <v>0</v>
      </c>
      <c r="D249" s="4">
        <v>1</v>
      </c>
      <c r="E249" s="4">
        <v>211</v>
      </c>
      <c r="F249" s="4">
        <f>ROUND(Source!Y222,O249)</f>
        <v>8064.14</v>
      </c>
      <c r="G249" s="4" t="s">
        <v>65</v>
      </c>
      <c r="H249" s="4" t="s">
        <v>66</v>
      </c>
      <c r="I249" s="4"/>
      <c r="J249" s="4"/>
      <c r="K249" s="4">
        <v>211</v>
      </c>
      <c r="L249" s="4">
        <v>26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06">
      <c r="A250" s="4">
        <v>50</v>
      </c>
      <c r="B250" s="4">
        <v>0</v>
      </c>
      <c r="C250" s="4">
        <v>0</v>
      </c>
      <c r="D250" s="4">
        <v>1</v>
      </c>
      <c r="E250" s="4">
        <v>224</v>
      </c>
      <c r="F250" s="4">
        <f>ROUND(Source!AR222,O250)</f>
        <v>64269.56</v>
      </c>
      <c r="G250" s="4" t="s">
        <v>67</v>
      </c>
      <c r="H250" s="4" t="s">
        <v>68</v>
      </c>
      <c r="I250" s="4"/>
      <c r="J250" s="4"/>
      <c r="K250" s="4">
        <v>224</v>
      </c>
      <c r="L250" s="4">
        <v>27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2" spans="1:206">
      <c r="A252" s="2">
        <v>51</v>
      </c>
      <c r="B252" s="2">
        <f>B12</f>
        <v>313</v>
      </c>
      <c r="C252" s="2">
        <f>A12</f>
        <v>1</v>
      </c>
      <c r="D252" s="2">
        <f>ROW(A12)</f>
        <v>12</v>
      </c>
      <c r="E252" s="2"/>
      <c r="F252" s="2" t="str">
        <f>IF(F12&lt;&gt;"",F12,"")</f>
        <v>Новый объект</v>
      </c>
      <c r="G252" s="2" t="str">
        <f>IF(G12&lt;&gt;"",G12,"")</f>
        <v>Ремонт 16 санузла Верия</v>
      </c>
      <c r="H252" s="2">
        <v>0</v>
      </c>
      <c r="I252" s="2"/>
      <c r="J252" s="2"/>
      <c r="K252" s="2"/>
      <c r="L252" s="2"/>
      <c r="M252" s="2"/>
      <c r="N252" s="2"/>
      <c r="O252" s="2">
        <f t="shared" ref="O252:T252" si="136">ROUND(O222,2)</f>
        <v>41206.449999999997</v>
      </c>
      <c r="P252" s="2">
        <f t="shared" si="136"/>
        <v>25211.99</v>
      </c>
      <c r="Q252" s="2">
        <f t="shared" si="136"/>
        <v>1530.22</v>
      </c>
      <c r="R252" s="2">
        <f t="shared" si="136"/>
        <v>446.67</v>
      </c>
      <c r="S252" s="2">
        <f t="shared" si="136"/>
        <v>14464.24</v>
      </c>
      <c r="T252" s="2">
        <f t="shared" si="136"/>
        <v>0</v>
      </c>
      <c r="U252" s="2">
        <f>U222</f>
        <v>47.461089999999999</v>
      </c>
      <c r="V252" s="2">
        <f>V222</f>
        <v>1.2644630000000003</v>
      </c>
      <c r="W252" s="2">
        <f>ROUND(W222,2)</f>
        <v>32.200000000000003</v>
      </c>
      <c r="X252" s="2">
        <f>ROUND(X222,2)</f>
        <v>14998.97</v>
      </c>
      <c r="Y252" s="2">
        <f>ROUND(Y222,2)</f>
        <v>8064.14</v>
      </c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>
        <f t="shared" ref="AO252:BD252" si="137">ROUND(AO222,2)</f>
        <v>0</v>
      </c>
      <c r="AP252" s="2">
        <f t="shared" si="137"/>
        <v>0</v>
      </c>
      <c r="AQ252" s="2">
        <f t="shared" si="137"/>
        <v>0</v>
      </c>
      <c r="AR252" s="2">
        <f t="shared" si="137"/>
        <v>64269.56</v>
      </c>
      <c r="AS252" s="2">
        <f t="shared" si="137"/>
        <v>61826.48</v>
      </c>
      <c r="AT252" s="2">
        <f t="shared" si="137"/>
        <v>2443.08</v>
      </c>
      <c r="AU252" s="2">
        <f t="shared" si="137"/>
        <v>0</v>
      </c>
      <c r="AV252" s="2">
        <f t="shared" si="137"/>
        <v>25211.99</v>
      </c>
      <c r="AW252" s="2">
        <f t="shared" si="137"/>
        <v>25211.99</v>
      </c>
      <c r="AX252" s="2">
        <f t="shared" si="137"/>
        <v>0</v>
      </c>
      <c r="AY252" s="2">
        <f t="shared" si="137"/>
        <v>25211.99</v>
      </c>
      <c r="AZ252" s="2">
        <f t="shared" si="137"/>
        <v>0</v>
      </c>
      <c r="BA252" s="2">
        <f t="shared" si="137"/>
        <v>0</v>
      </c>
      <c r="BB252" s="2">
        <f t="shared" si="137"/>
        <v>0</v>
      </c>
      <c r="BC252" s="2">
        <f t="shared" si="137"/>
        <v>0</v>
      </c>
      <c r="BD252" s="2">
        <f t="shared" si="137"/>
        <v>0</v>
      </c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>
        <v>0</v>
      </c>
    </row>
    <row r="254" spans="1:206">
      <c r="A254" s="4">
        <v>50</v>
      </c>
      <c r="B254" s="4">
        <v>0</v>
      </c>
      <c r="C254" s="4">
        <v>0</v>
      </c>
      <c r="D254" s="4">
        <v>1</v>
      </c>
      <c r="E254" s="4">
        <v>201</v>
      </c>
      <c r="F254" s="4">
        <f>ROUND(Source!O252,O254)</f>
        <v>41206.449999999997</v>
      </c>
      <c r="G254" s="4" t="s">
        <v>15</v>
      </c>
      <c r="H254" s="4" t="s">
        <v>16</v>
      </c>
      <c r="I254" s="4"/>
      <c r="J254" s="4"/>
      <c r="K254" s="4">
        <v>201</v>
      </c>
      <c r="L254" s="4">
        <v>1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06">
      <c r="A255" s="4">
        <v>50</v>
      </c>
      <c r="B255" s="4">
        <v>0</v>
      </c>
      <c r="C255" s="4">
        <v>0</v>
      </c>
      <c r="D255" s="4">
        <v>1</v>
      </c>
      <c r="E255" s="4">
        <v>202</v>
      </c>
      <c r="F255" s="4">
        <f>ROUND(Source!P252,O255)</f>
        <v>25211.99</v>
      </c>
      <c r="G255" s="4" t="s">
        <v>17</v>
      </c>
      <c r="H255" s="4" t="s">
        <v>18</v>
      </c>
      <c r="I255" s="4"/>
      <c r="J255" s="4"/>
      <c r="K255" s="4">
        <v>202</v>
      </c>
      <c r="L255" s="4">
        <v>2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06">
      <c r="A256" s="4">
        <v>50</v>
      </c>
      <c r="B256" s="4">
        <v>0</v>
      </c>
      <c r="C256" s="4">
        <v>0</v>
      </c>
      <c r="D256" s="4">
        <v>1</v>
      </c>
      <c r="E256" s="4">
        <v>222</v>
      </c>
      <c r="F256" s="4">
        <f>ROUND(Source!AO252,O256)</f>
        <v>0</v>
      </c>
      <c r="G256" s="4" t="s">
        <v>19</v>
      </c>
      <c r="H256" s="4" t="s">
        <v>20</v>
      </c>
      <c r="I256" s="4"/>
      <c r="J256" s="4"/>
      <c r="K256" s="4">
        <v>222</v>
      </c>
      <c r="L256" s="4">
        <v>3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225</v>
      </c>
      <c r="F257" s="4">
        <f>ROUND(Source!AV252,O257)</f>
        <v>25211.99</v>
      </c>
      <c r="G257" s="4" t="s">
        <v>21</v>
      </c>
      <c r="H257" s="4" t="s">
        <v>22</v>
      </c>
      <c r="I257" s="4"/>
      <c r="J257" s="4"/>
      <c r="K257" s="4">
        <v>225</v>
      </c>
      <c r="L257" s="4">
        <v>4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226</v>
      </c>
      <c r="F258" s="4">
        <f>ROUND(Source!AW252,O258)</f>
        <v>25211.99</v>
      </c>
      <c r="G258" s="4" t="s">
        <v>23</v>
      </c>
      <c r="H258" s="4" t="s">
        <v>24</v>
      </c>
      <c r="I258" s="4"/>
      <c r="J258" s="4"/>
      <c r="K258" s="4">
        <v>226</v>
      </c>
      <c r="L258" s="4">
        <v>5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227</v>
      </c>
      <c r="F259" s="4">
        <f>ROUND(Source!AX252,O259)</f>
        <v>0</v>
      </c>
      <c r="G259" s="4" t="s">
        <v>25</v>
      </c>
      <c r="H259" s="4" t="s">
        <v>26</v>
      </c>
      <c r="I259" s="4"/>
      <c r="J259" s="4"/>
      <c r="K259" s="4">
        <v>227</v>
      </c>
      <c r="L259" s="4">
        <v>6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228</v>
      </c>
      <c r="F260" s="4">
        <f>ROUND(Source!AY252,O260)</f>
        <v>25211.99</v>
      </c>
      <c r="G260" s="4" t="s">
        <v>27</v>
      </c>
      <c r="H260" s="4" t="s">
        <v>28</v>
      </c>
      <c r="I260" s="4"/>
      <c r="J260" s="4"/>
      <c r="K260" s="4">
        <v>228</v>
      </c>
      <c r="L260" s="4">
        <v>7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1</v>
      </c>
      <c r="E261" s="4">
        <v>216</v>
      </c>
      <c r="F261" s="4">
        <f>ROUND(Source!AP252,O261)</f>
        <v>0</v>
      </c>
      <c r="G261" s="4" t="s">
        <v>29</v>
      </c>
      <c r="H261" s="4" t="s">
        <v>30</v>
      </c>
      <c r="I261" s="4"/>
      <c r="J261" s="4"/>
      <c r="K261" s="4">
        <v>216</v>
      </c>
      <c r="L261" s="4">
        <v>8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1</v>
      </c>
      <c r="E262" s="4">
        <v>223</v>
      </c>
      <c r="F262" s="4">
        <f>ROUND(Source!AQ252,O262)</f>
        <v>0</v>
      </c>
      <c r="G262" s="4" t="s">
        <v>31</v>
      </c>
      <c r="H262" s="4" t="s">
        <v>32</v>
      </c>
      <c r="I262" s="4"/>
      <c r="J262" s="4"/>
      <c r="K262" s="4">
        <v>223</v>
      </c>
      <c r="L262" s="4">
        <v>9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0</v>
      </c>
      <c r="C263" s="4">
        <v>0</v>
      </c>
      <c r="D263" s="4">
        <v>1</v>
      </c>
      <c r="E263" s="4">
        <v>229</v>
      </c>
      <c r="F263" s="4">
        <f>ROUND(Source!AZ252,O263)</f>
        <v>0</v>
      </c>
      <c r="G263" s="4" t="s">
        <v>33</v>
      </c>
      <c r="H263" s="4" t="s">
        <v>34</v>
      </c>
      <c r="I263" s="4"/>
      <c r="J263" s="4"/>
      <c r="K263" s="4">
        <v>229</v>
      </c>
      <c r="L263" s="4">
        <v>10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0</v>
      </c>
      <c r="C264" s="4">
        <v>0</v>
      </c>
      <c r="D264" s="4">
        <v>1</v>
      </c>
      <c r="E264" s="4">
        <v>203</v>
      </c>
      <c r="F264" s="4">
        <f>ROUND(Source!Q252,O264)</f>
        <v>1530.22</v>
      </c>
      <c r="G264" s="4" t="s">
        <v>35</v>
      </c>
      <c r="H264" s="4" t="s">
        <v>36</v>
      </c>
      <c r="I264" s="4"/>
      <c r="J264" s="4"/>
      <c r="K264" s="4">
        <v>203</v>
      </c>
      <c r="L264" s="4">
        <v>11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>
      <c r="A265" s="4">
        <v>50</v>
      </c>
      <c r="B265" s="4">
        <v>0</v>
      </c>
      <c r="C265" s="4">
        <v>0</v>
      </c>
      <c r="D265" s="4">
        <v>1</v>
      </c>
      <c r="E265" s="4">
        <v>231</v>
      </c>
      <c r="F265" s="4">
        <f>ROUND(Source!BB252,O265)</f>
        <v>0</v>
      </c>
      <c r="G265" s="4" t="s">
        <v>37</v>
      </c>
      <c r="H265" s="4" t="s">
        <v>38</v>
      </c>
      <c r="I265" s="4"/>
      <c r="J265" s="4"/>
      <c r="K265" s="4">
        <v>231</v>
      </c>
      <c r="L265" s="4">
        <v>12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>
      <c r="A266" s="4">
        <v>50</v>
      </c>
      <c r="B266" s="4">
        <v>0</v>
      </c>
      <c r="C266" s="4">
        <v>0</v>
      </c>
      <c r="D266" s="4">
        <v>1</v>
      </c>
      <c r="E266" s="4">
        <v>204</v>
      </c>
      <c r="F266" s="4">
        <f>ROUND(Source!R252,O266)</f>
        <v>446.67</v>
      </c>
      <c r="G266" s="4" t="s">
        <v>39</v>
      </c>
      <c r="H266" s="4" t="s">
        <v>40</v>
      </c>
      <c r="I266" s="4"/>
      <c r="J266" s="4"/>
      <c r="K266" s="4">
        <v>204</v>
      </c>
      <c r="L266" s="4">
        <v>13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>
      <c r="A267" s="4">
        <v>50</v>
      </c>
      <c r="B267" s="4">
        <v>0</v>
      </c>
      <c r="C267" s="4">
        <v>0</v>
      </c>
      <c r="D267" s="4">
        <v>1</v>
      </c>
      <c r="E267" s="4">
        <v>205</v>
      </c>
      <c r="F267" s="4">
        <f>ROUND(Source!S252,O267)</f>
        <v>14464.24</v>
      </c>
      <c r="G267" s="4" t="s">
        <v>41</v>
      </c>
      <c r="H267" s="4" t="s">
        <v>42</v>
      </c>
      <c r="I267" s="4"/>
      <c r="J267" s="4"/>
      <c r="K267" s="4">
        <v>205</v>
      </c>
      <c r="L267" s="4">
        <v>14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>
      <c r="A268" s="4">
        <v>50</v>
      </c>
      <c r="B268" s="4">
        <v>0</v>
      </c>
      <c r="C268" s="4">
        <v>0</v>
      </c>
      <c r="D268" s="4">
        <v>1</v>
      </c>
      <c r="E268" s="4">
        <v>232</v>
      </c>
      <c r="F268" s="4">
        <f>ROUND(Source!BC252,O268)</f>
        <v>0</v>
      </c>
      <c r="G268" s="4" t="s">
        <v>43</v>
      </c>
      <c r="H268" s="4" t="s">
        <v>44</v>
      </c>
      <c r="I268" s="4"/>
      <c r="J268" s="4"/>
      <c r="K268" s="4">
        <v>232</v>
      </c>
      <c r="L268" s="4">
        <v>15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/>
    </row>
    <row r="269" spans="1:23">
      <c r="A269" s="4">
        <v>50</v>
      </c>
      <c r="B269" s="4">
        <v>0</v>
      </c>
      <c r="C269" s="4">
        <v>0</v>
      </c>
      <c r="D269" s="4">
        <v>1</v>
      </c>
      <c r="E269" s="4">
        <v>214</v>
      </c>
      <c r="F269" s="4">
        <f>ROUND(Source!AS252,O269)</f>
        <v>61826.48</v>
      </c>
      <c r="G269" s="4" t="s">
        <v>45</v>
      </c>
      <c r="H269" s="4" t="s">
        <v>46</v>
      </c>
      <c r="I269" s="4"/>
      <c r="J269" s="4"/>
      <c r="K269" s="4">
        <v>214</v>
      </c>
      <c r="L269" s="4">
        <v>16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/>
    </row>
    <row r="270" spans="1:23">
      <c r="A270" s="4">
        <v>50</v>
      </c>
      <c r="B270" s="4">
        <v>0</v>
      </c>
      <c r="C270" s="4">
        <v>0</v>
      </c>
      <c r="D270" s="4">
        <v>1</v>
      </c>
      <c r="E270" s="4">
        <v>215</v>
      </c>
      <c r="F270" s="4">
        <f>ROUND(Source!AT252,O270)</f>
        <v>2443.08</v>
      </c>
      <c r="G270" s="4" t="s">
        <v>47</v>
      </c>
      <c r="H270" s="4" t="s">
        <v>48</v>
      </c>
      <c r="I270" s="4"/>
      <c r="J270" s="4"/>
      <c r="K270" s="4">
        <v>215</v>
      </c>
      <c r="L270" s="4">
        <v>17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>
      <c r="A271" s="4">
        <v>50</v>
      </c>
      <c r="B271" s="4">
        <v>0</v>
      </c>
      <c r="C271" s="4">
        <v>0</v>
      </c>
      <c r="D271" s="4">
        <v>1</v>
      </c>
      <c r="E271" s="4">
        <v>217</v>
      </c>
      <c r="F271" s="4">
        <f>ROUND(Source!AU252,O271)</f>
        <v>0</v>
      </c>
      <c r="G271" s="4" t="s">
        <v>49</v>
      </c>
      <c r="H271" s="4" t="s">
        <v>50</v>
      </c>
      <c r="I271" s="4"/>
      <c r="J271" s="4"/>
      <c r="K271" s="4">
        <v>217</v>
      </c>
      <c r="L271" s="4">
        <v>18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>
      <c r="A272" s="4">
        <v>50</v>
      </c>
      <c r="B272" s="4">
        <v>0</v>
      </c>
      <c r="C272" s="4">
        <v>0</v>
      </c>
      <c r="D272" s="4">
        <v>1</v>
      </c>
      <c r="E272" s="4">
        <v>230</v>
      </c>
      <c r="F272" s="4">
        <f>ROUND(Source!BA252,O272)</f>
        <v>0</v>
      </c>
      <c r="G272" s="4" t="s">
        <v>51</v>
      </c>
      <c r="H272" s="4" t="s">
        <v>52</v>
      </c>
      <c r="I272" s="4"/>
      <c r="J272" s="4"/>
      <c r="K272" s="4">
        <v>230</v>
      </c>
      <c r="L272" s="4">
        <v>19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3">
      <c r="A273" s="4">
        <v>50</v>
      </c>
      <c r="B273" s="4">
        <v>0</v>
      </c>
      <c r="C273" s="4">
        <v>0</v>
      </c>
      <c r="D273" s="4">
        <v>1</v>
      </c>
      <c r="E273" s="4">
        <v>206</v>
      </c>
      <c r="F273" s="4">
        <f>ROUND(Source!T252,O273)</f>
        <v>0</v>
      </c>
      <c r="G273" s="4" t="s">
        <v>53</v>
      </c>
      <c r="H273" s="4" t="s">
        <v>54</v>
      </c>
      <c r="I273" s="4"/>
      <c r="J273" s="4"/>
      <c r="K273" s="4">
        <v>206</v>
      </c>
      <c r="L273" s="4">
        <v>20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3">
      <c r="A274" s="4">
        <v>50</v>
      </c>
      <c r="B274" s="4">
        <v>0</v>
      </c>
      <c r="C274" s="4">
        <v>0</v>
      </c>
      <c r="D274" s="4">
        <v>1</v>
      </c>
      <c r="E274" s="4">
        <v>207</v>
      </c>
      <c r="F274" s="4">
        <f>Source!U252</f>
        <v>47.461089999999999</v>
      </c>
      <c r="G274" s="4" t="s">
        <v>55</v>
      </c>
      <c r="H274" s="4" t="s">
        <v>56</v>
      </c>
      <c r="I274" s="4"/>
      <c r="J274" s="4"/>
      <c r="K274" s="4">
        <v>207</v>
      </c>
      <c r="L274" s="4">
        <v>21</v>
      </c>
      <c r="M274" s="4">
        <v>3</v>
      </c>
      <c r="N274" s="4" t="s">
        <v>3</v>
      </c>
      <c r="O274" s="4">
        <v>-1</v>
      </c>
      <c r="P274" s="4"/>
      <c r="Q274" s="4"/>
      <c r="R274" s="4"/>
      <c r="S274" s="4"/>
      <c r="T274" s="4"/>
      <c r="U274" s="4"/>
      <c r="V274" s="4"/>
      <c r="W274" s="4"/>
    </row>
    <row r="275" spans="1:23">
      <c r="A275" s="4">
        <v>50</v>
      </c>
      <c r="B275" s="4">
        <v>0</v>
      </c>
      <c r="C275" s="4">
        <v>0</v>
      </c>
      <c r="D275" s="4">
        <v>1</v>
      </c>
      <c r="E275" s="4">
        <v>208</v>
      </c>
      <c r="F275" s="4">
        <f>Source!V252</f>
        <v>1.2644630000000003</v>
      </c>
      <c r="G275" s="4" t="s">
        <v>57</v>
      </c>
      <c r="H275" s="4" t="s">
        <v>58</v>
      </c>
      <c r="I275" s="4"/>
      <c r="J275" s="4"/>
      <c r="K275" s="4">
        <v>208</v>
      </c>
      <c r="L275" s="4">
        <v>22</v>
      </c>
      <c r="M275" s="4">
        <v>3</v>
      </c>
      <c r="N275" s="4" t="s">
        <v>3</v>
      </c>
      <c r="O275" s="4">
        <v>-1</v>
      </c>
      <c r="P275" s="4"/>
      <c r="Q275" s="4"/>
      <c r="R275" s="4"/>
      <c r="S275" s="4"/>
      <c r="T275" s="4"/>
      <c r="U275" s="4"/>
      <c r="V275" s="4"/>
      <c r="W275" s="4"/>
    </row>
    <row r="276" spans="1:23">
      <c r="A276" s="4">
        <v>50</v>
      </c>
      <c r="B276" s="4">
        <v>0</v>
      </c>
      <c r="C276" s="4">
        <v>0</v>
      </c>
      <c r="D276" s="4">
        <v>1</v>
      </c>
      <c r="E276" s="4">
        <v>209</v>
      </c>
      <c r="F276" s="4">
        <f>ROUND(Source!W252,O276)</f>
        <v>32.200000000000003</v>
      </c>
      <c r="G276" s="4" t="s">
        <v>59</v>
      </c>
      <c r="H276" s="4" t="s">
        <v>60</v>
      </c>
      <c r="I276" s="4"/>
      <c r="J276" s="4"/>
      <c r="K276" s="4">
        <v>209</v>
      </c>
      <c r="L276" s="4">
        <v>23</v>
      </c>
      <c r="M276" s="4">
        <v>3</v>
      </c>
      <c r="N276" s="4" t="s">
        <v>3</v>
      </c>
      <c r="O276" s="4">
        <v>2</v>
      </c>
      <c r="P276" s="4"/>
      <c r="Q276" s="4"/>
      <c r="R276" s="4"/>
      <c r="S276" s="4"/>
      <c r="T276" s="4"/>
      <c r="U276" s="4"/>
      <c r="V276" s="4"/>
      <c r="W276" s="4"/>
    </row>
    <row r="277" spans="1:23">
      <c r="A277" s="4">
        <v>50</v>
      </c>
      <c r="B277" s="4">
        <v>0</v>
      </c>
      <c r="C277" s="4">
        <v>0</v>
      </c>
      <c r="D277" s="4">
        <v>1</v>
      </c>
      <c r="E277" s="4">
        <v>233</v>
      </c>
      <c r="F277" s="4">
        <f>ROUND(Source!BD252,O277)</f>
        <v>0</v>
      </c>
      <c r="G277" s="4" t="s">
        <v>61</v>
      </c>
      <c r="H277" s="4" t="s">
        <v>62</v>
      </c>
      <c r="I277" s="4"/>
      <c r="J277" s="4"/>
      <c r="K277" s="4">
        <v>233</v>
      </c>
      <c r="L277" s="4">
        <v>24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/>
    </row>
    <row r="278" spans="1:23">
      <c r="A278" s="4">
        <v>50</v>
      </c>
      <c r="B278" s="4">
        <v>0</v>
      </c>
      <c r="C278" s="4">
        <v>0</v>
      </c>
      <c r="D278" s="4">
        <v>1</v>
      </c>
      <c r="E278" s="4">
        <v>210</v>
      </c>
      <c r="F278" s="4">
        <f>ROUND(Source!X252,O278)</f>
        <v>14998.97</v>
      </c>
      <c r="G278" s="4" t="s">
        <v>63</v>
      </c>
      <c r="H278" s="4" t="s">
        <v>64</v>
      </c>
      <c r="I278" s="4"/>
      <c r="J278" s="4"/>
      <c r="K278" s="4">
        <v>210</v>
      </c>
      <c r="L278" s="4">
        <v>25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3">
      <c r="A279" s="4">
        <v>50</v>
      </c>
      <c r="B279" s="4">
        <v>0</v>
      </c>
      <c r="C279" s="4">
        <v>0</v>
      </c>
      <c r="D279" s="4">
        <v>1</v>
      </c>
      <c r="E279" s="4">
        <v>211</v>
      </c>
      <c r="F279" s="4">
        <f>ROUND(Source!Y252,O279)</f>
        <v>8064.14</v>
      </c>
      <c r="G279" s="4" t="s">
        <v>65</v>
      </c>
      <c r="H279" s="4" t="s">
        <v>66</v>
      </c>
      <c r="I279" s="4"/>
      <c r="J279" s="4"/>
      <c r="K279" s="4">
        <v>211</v>
      </c>
      <c r="L279" s="4">
        <v>26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3">
      <c r="A280" s="4">
        <v>50</v>
      </c>
      <c r="B280" s="4">
        <v>0</v>
      </c>
      <c r="C280" s="4">
        <v>0</v>
      </c>
      <c r="D280" s="4">
        <v>1</v>
      </c>
      <c r="E280" s="4">
        <v>224</v>
      </c>
      <c r="F280" s="4">
        <f>ROUND(Source!AR252,O280)</f>
        <v>64269.56</v>
      </c>
      <c r="G280" s="4" t="s">
        <v>67</v>
      </c>
      <c r="H280" s="4" t="s">
        <v>68</v>
      </c>
      <c r="I280" s="4"/>
      <c r="J280" s="4"/>
      <c r="K280" s="4">
        <v>224</v>
      </c>
      <c r="L280" s="4">
        <v>27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3">
      <c r="A281" s="4">
        <v>50</v>
      </c>
      <c r="B281" s="4">
        <v>1</v>
      </c>
      <c r="C281" s="4">
        <v>0</v>
      </c>
      <c r="D281" s="4">
        <v>2</v>
      </c>
      <c r="E281" s="4">
        <v>0</v>
      </c>
      <c r="F281" s="4">
        <f>ROUND(F280*0.2,O281)</f>
        <v>12853.91</v>
      </c>
      <c r="G281" s="4" t="s">
        <v>195</v>
      </c>
      <c r="H281" s="4" t="s">
        <v>196</v>
      </c>
      <c r="I281" s="4"/>
      <c r="J281" s="4"/>
      <c r="K281" s="4">
        <v>212</v>
      </c>
      <c r="L281" s="4">
        <v>28</v>
      </c>
      <c r="M281" s="4">
        <v>0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/>
    </row>
    <row r="282" spans="1:23">
      <c r="A282" s="4">
        <v>50</v>
      </c>
      <c r="B282" s="4">
        <v>1</v>
      </c>
      <c r="C282" s="4">
        <v>0</v>
      </c>
      <c r="D282" s="4">
        <v>2</v>
      </c>
      <c r="E282" s="4">
        <v>213</v>
      </c>
      <c r="F282" s="4">
        <f>ROUND(F280+F281,O282)</f>
        <v>77123.47</v>
      </c>
      <c r="G282" s="4" t="s">
        <v>197</v>
      </c>
      <c r="H282" s="4" t="s">
        <v>198</v>
      </c>
      <c r="I282" s="4"/>
      <c r="J282" s="4"/>
      <c r="K282" s="4">
        <v>212</v>
      </c>
      <c r="L282" s="4">
        <v>29</v>
      </c>
      <c r="M282" s="4">
        <v>0</v>
      </c>
      <c r="N282" s="4" t="s">
        <v>3</v>
      </c>
      <c r="O282" s="4">
        <v>2</v>
      </c>
      <c r="P282" s="4"/>
      <c r="Q282" s="4"/>
      <c r="R282" s="4"/>
      <c r="S282" s="4"/>
      <c r="T282" s="4"/>
      <c r="U282" s="4"/>
      <c r="V282" s="4"/>
      <c r="W282" s="4"/>
    </row>
    <row r="285" spans="1:23">
      <c r="A285">
        <v>70</v>
      </c>
      <c r="B285">
        <v>1</v>
      </c>
      <c r="D285">
        <v>1</v>
      </c>
      <c r="E285" t="s">
        <v>199</v>
      </c>
      <c r="F285" t="s">
        <v>200</v>
      </c>
      <c r="G285">
        <v>0</v>
      </c>
      <c r="H285">
        <v>0</v>
      </c>
      <c r="I285" t="s">
        <v>3</v>
      </c>
      <c r="J285">
        <v>1</v>
      </c>
      <c r="K285">
        <v>0</v>
      </c>
      <c r="L285" t="s">
        <v>3</v>
      </c>
      <c r="M285" t="s">
        <v>3</v>
      </c>
      <c r="N285">
        <v>0</v>
      </c>
    </row>
    <row r="286" spans="1:23">
      <c r="A286">
        <v>70</v>
      </c>
      <c r="B286">
        <v>1</v>
      </c>
      <c r="D286">
        <v>2</v>
      </c>
      <c r="E286" t="s">
        <v>201</v>
      </c>
      <c r="F286" t="s">
        <v>202</v>
      </c>
      <c r="G286">
        <v>1</v>
      </c>
      <c r="H286">
        <v>0</v>
      </c>
      <c r="I286" t="s">
        <v>3</v>
      </c>
      <c r="J286">
        <v>1</v>
      </c>
      <c r="K286">
        <v>0</v>
      </c>
      <c r="L286" t="s">
        <v>3</v>
      </c>
      <c r="M286" t="s">
        <v>3</v>
      </c>
      <c r="N286">
        <v>0</v>
      </c>
    </row>
    <row r="287" spans="1:23">
      <c r="A287">
        <v>70</v>
      </c>
      <c r="B287">
        <v>1</v>
      </c>
      <c r="D287">
        <v>3</v>
      </c>
      <c r="E287" t="s">
        <v>203</v>
      </c>
      <c r="F287" t="s">
        <v>204</v>
      </c>
      <c r="G287">
        <v>0</v>
      </c>
      <c r="H287">
        <v>0</v>
      </c>
      <c r="I287" t="s">
        <v>3</v>
      </c>
      <c r="J287">
        <v>1</v>
      </c>
      <c r="K287">
        <v>0</v>
      </c>
      <c r="L287" t="s">
        <v>3</v>
      </c>
      <c r="M287" t="s">
        <v>3</v>
      </c>
      <c r="N287">
        <v>0</v>
      </c>
    </row>
    <row r="288" spans="1:23">
      <c r="A288">
        <v>70</v>
      </c>
      <c r="B288">
        <v>1</v>
      </c>
      <c r="D288">
        <v>4</v>
      </c>
      <c r="E288" t="s">
        <v>205</v>
      </c>
      <c r="F288" t="s">
        <v>206</v>
      </c>
      <c r="G288">
        <v>0</v>
      </c>
      <c r="H288">
        <v>0</v>
      </c>
      <c r="I288" t="s">
        <v>207</v>
      </c>
      <c r="J288">
        <v>0</v>
      </c>
      <c r="K288">
        <v>0</v>
      </c>
      <c r="L288" t="s">
        <v>3</v>
      </c>
      <c r="M288" t="s">
        <v>3</v>
      </c>
      <c r="N288">
        <v>0</v>
      </c>
    </row>
    <row r="289" spans="1:14">
      <c r="A289">
        <v>70</v>
      </c>
      <c r="B289">
        <v>1</v>
      </c>
      <c r="D289">
        <v>5</v>
      </c>
      <c r="E289" t="s">
        <v>208</v>
      </c>
      <c r="F289" t="s">
        <v>209</v>
      </c>
      <c r="G289">
        <v>0</v>
      </c>
      <c r="H289">
        <v>0</v>
      </c>
      <c r="I289" t="s">
        <v>210</v>
      </c>
      <c r="J289">
        <v>0</v>
      </c>
      <c r="K289">
        <v>0</v>
      </c>
      <c r="L289" t="s">
        <v>3</v>
      </c>
      <c r="M289" t="s">
        <v>3</v>
      </c>
      <c r="N289">
        <v>0</v>
      </c>
    </row>
    <row r="290" spans="1:14">
      <c r="A290">
        <v>70</v>
      </c>
      <c r="B290">
        <v>1</v>
      </c>
      <c r="D290">
        <v>6</v>
      </c>
      <c r="E290" t="s">
        <v>211</v>
      </c>
      <c r="F290" t="s">
        <v>212</v>
      </c>
      <c r="G290">
        <v>0</v>
      </c>
      <c r="H290">
        <v>0</v>
      </c>
      <c r="I290" t="s">
        <v>213</v>
      </c>
      <c r="J290">
        <v>0</v>
      </c>
      <c r="K290">
        <v>0</v>
      </c>
      <c r="L290" t="s">
        <v>3</v>
      </c>
      <c r="M290" t="s">
        <v>3</v>
      </c>
      <c r="N290">
        <v>0</v>
      </c>
    </row>
    <row r="291" spans="1:14">
      <c r="A291">
        <v>70</v>
      </c>
      <c r="B291">
        <v>1</v>
      </c>
      <c r="D291">
        <v>7</v>
      </c>
      <c r="E291" t="s">
        <v>214</v>
      </c>
      <c r="F291" t="s">
        <v>215</v>
      </c>
      <c r="G291">
        <v>1</v>
      </c>
      <c r="H291">
        <v>0</v>
      </c>
      <c r="I291" t="s">
        <v>3</v>
      </c>
      <c r="J291">
        <v>0</v>
      </c>
      <c r="K291">
        <v>0</v>
      </c>
      <c r="L291" t="s">
        <v>3</v>
      </c>
      <c r="M291" t="s">
        <v>3</v>
      </c>
      <c r="N291">
        <v>0</v>
      </c>
    </row>
    <row r="292" spans="1:14">
      <c r="A292">
        <v>70</v>
      </c>
      <c r="B292">
        <v>1</v>
      </c>
      <c r="D292">
        <v>8</v>
      </c>
      <c r="E292" t="s">
        <v>216</v>
      </c>
      <c r="F292" t="s">
        <v>217</v>
      </c>
      <c r="G292">
        <v>0</v>
      </c>
      <c r="H292">
        <v>0</v>
      </c>
      <c r="I292" t="s">
        <v>218</v>
      </c>
      <c r="J292">
        <v>0</v>
      </c>
      <c r="K292">
        <v>0</v>
      </c>
      <c r="L292" t="s">
        <v>3</v>
      </c>
      <c r="M292" t="s">
        <v>3</v>
      </c>
      <c r="N292">
        <v>0</v>
      </c>
    </row>
    <row r="293" spans="1:14">
      <c r="A293">
        <v>70</v>
      </c>
      <c r="B293">
        <v>1</v>
      </c>
      <c r="D293">
        <v>9</v>
      </c>
      <c r="E293" t="s">
        <v>219</v>
      </c>
      <c r="F293" t="s">
        <v>220</v>
      </c>
      <c r="G293">
        <v>0</v>
      </c>
      <c r="H293">
        <v>0</v>
      </c>
      <c r="I293" t="s">
        <v>221</v>
      </c>
      <c r="J293">
        <v>0</v>
      </c>
      <c r="K293">
        <v>0</v>
      </c>
      <c r="L293" t="s">
        <v>3</v>
      </c>
      <c r="M293" t="s">
        <v>3</v>
      </c>
      <c r="N293">
        <v>0</v>
      </c>
    </row>
    <row r="294" spans="1:14">
      <c r="A294">
        <v>70</v>
      </c>
      <c r="B294">
        <v>1</v>
      </c>
      <c r="D294">
        <v>10</v>
      </c>
      <c r="E294" t="s">
        <v>222</v>
      </c>
      <c r="F294" t="s">
        <v>223</v>
      </c>
      <c r="G294">
        <v>0</v>
      </c>
      <c r="H294">
        <v>0</v>
      </c>
      <c r="I294" t="s">
        <v>224</v>
      </c>
      <c r="J294">
        <v>0</v>
      </c>
      <c r="K294">
        <v>0</v>
      </c>
      <c r="L294" t="s">
        <v>3</v>
      </c>
      <c r="M294" t="s">
        <v>3</v>
      </c>
      <c r="N294">
        <v>0</v>
      </c>
    </row>
    <row r="295" spans="1:14">
      <c r="A295">
        <v>70</v>
      </c>
      <c r="B295">
        <v>1</v>
      </c>
      <c r="D295">
        <v>11</v>
      </c>
      <c r="E295" t="s">
        <v>225</v>
      </c>
      <c r="F295" t="s">
        <v>226</v>
      </c>
      <c r="G295">
        <v>0</v>
      </c>
      <c r="H295">
        <v>0</v>
      </c>
      <c r="I295" t="s">
        <v>227</v>
      </c>
      <c r="J295">
        <v>0</v>
      </c>
      <c r="K295">
        <v>0</v>
      </c>
      <c r="L295" t="s">
        <v>3</v>
      </c>
      <c r="M295" t="s">
        <v>3</v>
      </c>
      <c r="N295">
        <v>0</v>
      </c>
    </row>
    <row r="296" spans="1:14">
      <c r="A296">
        <v>70</v>
      </c>
      <c r="B296">
        <v>1</v>
      </c>
      <c r="D296">
        <v>12</v>
      </c>
      <c r="E296" t="s">
        <v>228</v>
      </c>
      <c r="F296" t="s">
        <v>229</v>
      </c>
      <c r="G296">
        <v>0</v>
      </c>
      <c r="H296">
        <v>0</v>
      </c>
      <c r="I296" t="s">
        <v>3</v>
      </c>
      <c r="J296">
        <v>0</v>
      </c>
      <c r="K296">
        <v>0</v>
      </c>
      <c r="L296" t="s">
        <v>3</v>
      </c>
      <c r="M296" t="s">
        <v>3</v>
      </c>
      <c r="N296">
        <v>0</v>
      </c>
    </row>
    <row r="297" spans="1:14">
      <c r="A297">
        <v>70</v>
      </c>
      <c r="B297">
        <v>1</v>
      </c>
      <c r="D297">
        <v>1</v>
      </c>
      <c r="E297" t="s">
        <v>230</v>
      </c>
      <c r="F297" t="s">
        <v>231</v>
      </c>
      <c r="G297">
        <v>0.9</v>
      </c>
      <c r="H297">
        <v>1</v>
      </c>
      <c r="I297" t="s">
        <v>232</v>
      </c>
      <c r="J297">
        <v>0</v>
      </c>
      <c r="K297">
        <v>0</v>
      </c>
      <c r="L297" t="s">
        <v>3</v>
      </c>
      <c r="M297" t="s">
        <v>3</v>
      </c>
      <c r="N297">
        <v>0</v>
      </c>
    </row>
    <row r="298" spans="1:14">
      <c r="A298">
        <v>70</v>
      </c>
      <c r="B298">
        <v>1</v>
      </c>
      <c r="D298">
        <v>2</v>
      </c>
      <c r="E298" t="s">
        <v>233</v>
      </c>
      <c r="F298" t="s">
        <v>234</v>
      </c>
      <c r="G298">
        <v>0.85</v>
      </c>
      <c r="H298">
        <v>1</v>
      </c>
      <c r="I298" t="s">
        <v>235</v>
      </c>
      <c r="J298">
        <v>0</v>
      </c>
      <c r="K298">
        <v>0</v>
      </c>
      <c r="L298" t="s">
        <v>3</v>
      </c>
      <c r="M298" t="s">
        <v>3</v>
      </c>
      <c r="N298">
        <v>0</v>
      </c>
    </row>
    <row r="299" spans="1:14">
      <c r="A299">
        <v>70</v>
      </c>
      <c r="B299">
        <v>1</v>
      </c>
      <c r="D299">
        <v>3</v>
      </c>
      <c r="E299" t="s">
        <v>236</v>
      </c>
      <c r="F299" t="s">
        <v>237</v>
      </c>
      <c r="G299">
        <v>1</v>
      </c>
      <c r="H299">
        <v>0.85</v>
      </c>
      <c r="I299" t="s">
        <v>238</v>
      </c>
      <c r="J299">
        <v>0</v>
      </c>
      <c r="K299">
        <v>0</v>
      </c>
      <c r="L299" t="s">
        <v>3</v>
      </c>
      <c r="M299" t="s">
        <v>3</v>
      </c>
      <c r="N299">
        <v>0</v>
      </c>
    </row>
    <row r="300" spans="1:14">
      <c r="A300">
        <v>70</v>
      </c>
      <c r="B300">
        <v>1</v>
      </c>
      <c r="D300">
        <v>4</v>
      </c>
      <c r="E300" t="s">
        <v>239</v>
      </c>
      <c r="F300" t="s">
        <v>240</v>
      </c>
      <c r="G300">
        <v>1</v>
      </c>
      <c r="H300">
        <v>0</v>
      </c>
      <c r="I300" t="s">
        <v>3</v>
      </c>
      <c r="J300">
        <v>0</v>
      </c>
      <c r="K300">
        <v>0</v>
      </c>
      <c r="L300" t="s">
        <v>3</v>
      </c>
      <c r="M300" t="s">
        <v>3</v>
      </c>
      <c r="N300">
        <v>0</v>
      </c>
    </row>
    <row r="301" spans="1:14">
      <c r="A301">
        <v>70</v>
      </c>
      <c r="B301">
        <v>1</v>
      </c>
      <c r="D301">
        <v>5</v>
      </c>
      <c r="E301" t="s">
        <v>241</v>
      </c>
      <c r="F301" t="s">
        <v>242</v>
      </c>
      <c r="G301">
        <v>1</v>
      </c>
      <c r="H301">
        <v>0.8</v>
      </c>
      <c r="I301" t="s">
        <v>243</v>
      </c>
      <c r="J301">
        <v>0</v>
      </c>
      <c r="K301">
        <v>0</v>
      </c>
      <c r="L301" t="s">
        <v>3</v>
      </c>
      <c r="M301" t="s">
        <v>3</v>
      </c>
      <c r="N301">
        <v>0</v>
      </c>
    </row>
    <row r="302" spans="1:14">
      <c r="A302">
        <v>70</v>
      </c>
      <c r="B302">
        <v>1</v>
      </c>
      <c r="D302">
        <v>6</v>
      </c>
      <c r="E302" t="s">
        <v>244</v>
      </c>
      <c r="F302" t="s">
        <v>245</v>
      </c>
      <c r="G302">
        <v>0.85</v>
      </c>
      <c r="H302">
        <v>0</v>
      </c>
      <c r="I302" t="s">
        <v>3</v>
      </c>
      <c r="J302">
        <v>0</v>
      </c>
      <c r="K302">
        <v>0</v>
      </c>
      <c r="L302" t="s">
        <v>3</v>
      </c>
      <c r="M302" t="s">
        <v>3</v>
      </c>
      <c r="N302">
        <v>0</v>
      </c>
    </row>
    <row r="303" spans="1:14">
      <c r="A303">
        <v>70</v>
      </c>
      <c r="B303">
        <v>1</v>
      </c>
      <c r="D303">
        <v>7</v>
      </c>
      <c r="E303" t="s">
        <v>246</v>
      </c>
      <c r="F303" t="s">
        <v>247</v>
      </c>
      <c r="G303">
        <v>0.8</v>
      </c>
      <c r="H303">
        <v>0</v>
      </c>
      <c r="I303" t="s">
        <v>3</v>
      </c>
      <c r="J303">
        <v>0</v>
      </c>
      <c r="K303">
        <v>0</v>
      </c>
      <c r="L303" t="s">
        <v>3</v>
      </c>
      <c r="M303" t="s">
        <v>3</v>
      </c>
      <c r="N303">
        <v>0</v>
      </c>
    </row>
    <row r="304" spans="1:14">
      <c r="A304">
        <v>70</v>
      </c>
      <c r="B304">
        <v>1</v>
      </c>
      <c r="D304">
        <v>8</v>
      </c>
      <c r="E304" t="s">
        <v>248</v>
      </c>
      <c r="F304" t="s">
        <v>249</v>
      </c>
      <c r="G304">
        <v>0.7</v>
      </c>
      <c r="H304">
        <v>0</v>
      </c>
      <c r="I304" t="s">
        <v>3</v>
      </c>
      <c r="J304">
        <v>0</v>
      </c>
      <c r="K304">
        <v>0</v>
      </c>
      <c r="L304" t="s">
        <v>3</v>
      </c>
      <c r="M304" t="s">
        <v>3</v>
      </c>
      <c r="N304">
        <v>0</v>
      </c>
    </row>
    <row r="305" spans="1:40">
      <c r="A305">
        <v>70</v>
      </c>
      <c r="B305">
        <v>1</v>
      </c>
      <c r="D305">
        <v>9</v>
      </c>
      <c r="E305" t="s">
        <v>250</v>
      </c>
      <c r="F305" t="s">
        <v>251</v>
      </c>
      <c r="G305">
        <v>0.9</v>
      </c>
      <c r="H305">
        <v>0</v>
      </c>
      <c r="I305" t="s">
        <v>3</v>
      </c>
      <c r="J305">
        <v>0</v>
      </c>
      <c r="K305">
        <v>0</v>
      </c>
      <c r="L305" t="s">
        <v>3</v>
      </c>
      <c r="M305" t="s">
        <v>3</v>
      </c>
      <c r="N305">
        <v>0</v>
      </c>
    </row>
    <row r="306" spans="1:40">
      <c r="A306">
        <v>70</v>
      </c>
      <c r="B306">
        <v>1</v>
      </c>
      <c r="D306">
        <v>10</v>
      </c>
      <c r="E306" t="s">
        <v>252</v>
      </c>
      <c r="F306" t="s">
        <v>253</v>
      </c>
      <c r="G306">
        <v>0.6</v>
      </c>
      <c r="H306">
        <v>0</v>
      </c>
      <c r="I306" t="s">
        <v>3</v>
      </c>
      <c r="J306">
        <v>0</v>
      </c>
      <c r="K306">
        <v>0</v>
      </c>
      <c r="L306" t="s">
        <v>3</v>
      </c>
      <c r="M306" t="s">
        <v>3</v>
      </c>
      <c r="N306">
        <v>0</v>
      </c>
    </row>
    <row r="307" spans="1:40">
      <c r="A307">
        <v>70</v>
      </c>
      <c r="B307">
        <v>1</v>
      </c>
      <c r="D307">
        <v>11</v>
      </c>
      <c r="E307" t="s">
        <v>254</v>
      </c>
      <c r="F307" t="s">
        <v>255</v>
      </c>
      <c r="G307">
        <v>1.2</v>
      </c>
      <c r="H307">
        <v>0</v>
      </c>
      <c r="I307" t="s">
        <v>3</v>
      </c>
      <c r="J307">
        <v>0</v>
      </c>
      <c r="K307">
        <v>0</v>
      </c>
      <c r="L307" t="s">
        <v>3</v>
      </c>
      <c r="M307" t="s">
        <v>3</v>
      </c>
      <c r="N307">
        <v>0</v>
      </c>
    </row>
    <row r="308" spans="1:40">
      <c r="A308">
        <v>70</v>
      </c>
      <c r="B308">
        <v>1</v>
      </c>
      <c r="D308">
        <v>12</v>
      </c>
      <c r="E308" t="s">
        <v>256</v>
      </c>
      <c r="F308" t="s">
        <v>257</v>
      </c>
      <c r="G308">
        <v>0</v>
      </c>
      <c r="H308">
        <v>0</v>
      </c>
      <c r="I308" t="s">
        <v>3</v>
      </c>
      <c r="J308">
        <v>0</v>
      </c>
      <c r="K308">
        <v>0</v>
      </c>
      <c r="L308" t="s">
        <v>3</v>
      </c>
      <c r="M308" t="s">
        <v>3</v>
      </c>
      <c r="N308">
        <v>0</v>
      </c>
    </row>
    <row r="309" spans="1:40">
      <c r="A309">
        <v>70</v>
      </c>
      <c r="B309">
        <v>1</v>
      </c>
      <c r="D309">
        <v>13</v>
      </c>
      <c r="E309" t="s">
        <v>258</v>
      </c>
      <c r="F309" t="s">
        <v>259</v>
      </c>
      <c r="G309">
        <v>1</v>
      </c>
      <c r="H309">
        <v>0</v>
      </c>
      <c r="I309" t="s">
        <v>3</v>
      </c>
      <c r="J309">
        <v>0</v>
      </c>
      <c r="K309">
        <v>0</v>
      </c>
      <c r="L309" t="s">
        <v>3</v>
      </c>
      <c r="M309" t="s">
        <v>3</v>
      </c>
      <c r="N309">
        <v>0</v>
      </c>
    </row>
    <row r="311" spans="1:40">
      <c r="A311">
        <v>-1</v>
      </c>
    </row>
    <row r="313" spans="1:40">
      <c r="A313" s="3">
        <v>75</v>
      </c>
      <c r="B313" s="3" t="s">
        <v>260</v>
      </c>
      <c r="C313" s="3">
        <v>2021</v>
      </c>
      <c r="D313" s="3">
        <v>0</v>
      </c>
      <c r="E313" s="3">
        <v>1</v>
      </c>
      <c r="F313" s="3"/>
      <c r="G313" s="3">
        <v>0</v>
      </c>
      <c r="H313" s="3">
        <v>1</v>
      </c>
      <c r="I313" s="3">
        <v>0</v>
      </c>
      <c r="J313" s="3">
        <v>3</v>
      </c>
      <c r="K313" s="3">
        <v>0</v>
      </c>
      <c r="L313" s="3">
        <v>0</v>
      </c>
      <c r="M313" s="3">
        <v>0</v>
      </c>
      <c r="N313" s="3">
        <v>33806715</v>
      </c>
      <c r="O313" s="3">
        <v>1</v>
      </c>
    </row>
    <row r="314" spans="1:40">
      <c r="A314" s="5">
        <v>1</v>
      </c>
      <c r="B314" s="5" t="s">
        <v>261</v>
      </c>
      <c r="C314" s="5" t="s">
        <v>262</v>
      </c>
      <c r="D314" s="5">
        <v>2021</v>
      </c>
      <c r="E314" s="5">
        <v>1</v>
      </c>
      <c r="F314" s="5">
        <v>1</v>
      </c>
      <c r="G314" s="5">
        <v>1</v>
      </c>
      <c r="H314" s="5">
        <v>0</v>
      </c>
      <c r="I314" s="5">
        <v>2</v>
      </c>
      <c r="J314" s="5">
        <v>1</v>
      </c>
      <c r="K314" s="5">
        <v>1</v>
      </c>
      <c r="L314" s="5">
        <v>1</v>
      </c>
      <c r="M314" s="5">
        <v>1</v>
      </c>
      <c r="N314" s="5">
        <v>1</v>
      </c>
      <c r="O314" s="5">
        <v>1</v>
      </c>
      <c r="P314" s="5">
        <v>1</v>
      </c>
      <c r="Q314" s="5">
        <v>1</v>
      </c>
      <c r="R314" s="5" t="s">
        <v>3</v>
      </c>
      <c r="S314" s="5" t="s">
        <v>3</v>
      </c>
      <c r="T314" s="5" t="s">
        <v>3</v>
      </c>
      <c r="U314" s="5" t="s">
        <v>3</v>
      </c>
      <c r="V314" s="5" t="s">
        <v>3</v>
      </c>
      <c r="W314" s="5" t="s">
        <v>3</v>
      </c>
      <c r="X314" s="5" t="s">
        <v>3</v>
      </c>
      <c r="Y314" s="5" t="s">
        <v>3</v>
      </c>
      <c r="Z314" s="5" t="s">
        <v>3</v>
      </c>
      <c r="AA314" s="5" t="s">
        <v>3</v>
      </c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>
        <v>33806716</v>
      </c>
    </row>
    <row r="315" spans="1:40">
      <c r="A315" s="5">
        <v>2</v>
      </c>
      <c r="B315" s="5" t="s">
        <v>263</v>
      </c>
      <c r="C315" s="5" t="s">
        <v>264</v>
      </c>
      <c r="D315" s="5">
        <v>0</v>
      </c>
      <c r="E315" s="5">
        <v>0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>
        <v>33806717</v>
      </c>
    </row>
    <row r="319" spans="1:40">
      <c r="A319">
        <v>65</v>
      </c>
      <c r="C319">
        <v>1</v>
      </c>
      <c r="D319">
        <v>0</v>
      </c>
      <c r="E31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265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33806715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(Source!F239)/1000</f>
        <v>61.826480000000004</v>
      </c>
      <c r="F16" s="7">
        <f>(Source!F240)/1000</f>
        <v>2.4430800000000001</v>
      </c>
      <c r="G16" s="7">
        <f>(Source!F231)/1000</f>
        <v>0</v>
      </c>
      <c r="H16" s="7">
        <f>(Source!F241)/1000+(Source!F242)/1000</f>
        <v>0</v>
      </c>
      <c r="I16" s="7">
        <f>E16+F16+G16+H16</f>
        <v>64.269559999999998</v>
      </c>
      <c r="J16" s="7">
        <f>(Source!F237)/1000</f>
        <v>14.46424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41206.449999999997</v>
      </c>
      <c r="AU16" s="7">
        <v>25211.99</v>
      </c>
      <c r="AV16" s="7">
        <v>0</v>
      </c>
      <c r="AW16" s="7">
        <v>0</v>
      </c>
      <c r="AX16" s="7">
        <v>0</v>
      </c>
      <c r="AY16" s="7">
        <v>1530.22</v>
      </c>
      <c r="AZ16" s="7">
        <v>446.67</v>
      </c>
      <c r="BA16" s="7">
        <v>14464.24</v>
      </c>
      <c r="BB16" s="7">
        <v>61826.48</v>
      </c>
      <c r="BC16" s="7">
        <v>2443.08</v>
      </c>
      <c r="BD16" s="7">
        <v>0</v>
      </c>
      <c r="BE16" s="7">
        <v>0</v>
      </c>
      <c r="BF16" s="7">
        <v>47.461090000000006</v>
      </c>
      <c r="BG16" s="7">
        <v>1.2644629999999999</v>
      </c>
      <c r="BH16" s="7">
        <v>32.200000000000003</v>
      </c>
      <c r="BI16" s="7">
        <v>14998.97</v>
      </c>
      <c r="BJ16" s="7">
        <v>8064.14</v>
      </c>
      <c r="BK16" s="7">
        <v>64269.56</v>
      </c>
    </row>
    <row r="18" spans="1:19">
      <c r="A18">
        <v>51</v>
      </c>
      <c r="E18" s="8">
        <f>SUMIF(A16:A17,3,E16:E17)</f>
        <v>61.826480000000004</v>
      </c>
      <c r="F18" s="8">
        <f>SUMIF(A16:A17,3,F16:F17)</f>
        <v>2.4430800000000001</v>
      </c>
      <c r="G18" s="8">
        <f>SUMIF(A16:A17,3,G16:G17)</f>
        <v>0</v>
      </c>
      <c r="H18" s="8">
        <f>SUMIF(A16:A17,3,H16:H17)</f>
        <v>0</v>
      </c>
      <c r="I18" s="8">
        <f>SUMIF(A16:A17,3,I16:I17)</f>
        <v>64.269559999999998</v>
      </c>
      <c r="J18" s="8">
        <f>SUMIF(A16:A17,3,J16:J17)</f>
        <v>14.46424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41206.449999999997</v>
      </c>
      <c r="G20" s="4" t="s">
        <v>15</v>
      </c>
      <c r="H20" s="4" t="s">
        <v>16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25211.99</v>
      </c>
      <c r="G21" s="4" t="s">
        <v>17</v>
      </c>
      <c r="H21" s="4" t="s">
        <v>18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19</v>
      </c>
      <c r="H22" s="4" t="s">
        <v>20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25211.99</v>
      </c>
      <c r="G23" s="4" t="s">
        <v>21</v>
      </c>
      <c r="H23" s="4" t="s">
        <v>22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25211.99</v>
      </c>
      <c r="G24" s="4" t="s">
        <v>23</v>
      </c>
      <c r="H24" s="4" t="s">
        <v>24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25</v>
      </c>
      <c r="H25" s="4" t="s">
        <v>26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25211.99</v>
      </c>
      <c r="G26" s="4" t="s">
        <v>27</v>
      </c>
      <c r="H26" s="4" t="s">
        <v>28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29</v>
      </c>
      <c r="H27" s="4" t="s">
        <v>30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31</v>
      </c>
      <c r="H28" s="4" t="s">
        <v>32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33</v>
      </c>
      <c r="H29" s="4" t="s">
        <v>34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1530.22</v>
      </c>
      <c r="G30" s="4" t="s">
        <v>35</v>
      </c>
      <c r="H30" s="4" t="s">
        <v>36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37</v>
      </c>
      <c r="H31" s="4" t="s">
        <v>38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446.67</v>
      </c>
      <c r="G32" s="4" t="s">
        <v>39</v>
      </c>
      <c r="H32" s="4" t="s">
        <v>40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14464.24</v>
      </c>
      <c r="G33" s="4" t="s">
        <v>41</v>
      </c>
      <c r="H33" s="4" t="s">
        <v>42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43</v>
      </c>
      <c r="H34" s="4" t="s">
        <v>44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61826.48</v>
      </c>
      <c r="G35" s="4" t="s">
        <v>45</v>
      </c>
      <c r="H35" s="4" t="s">
        <v>46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2443.08</v>
      </c>
      <c r="G36" s="4" t="s">
        <v>47</v>
      </c>
      <c r="H36" s="4" t="s">
        <v>48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49</v>
      </c>
      <c r="H37" s="4" t="s">
        <v>50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51</v>
      </c>
      <c r="H38" s="4" t="s">
        <v>52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53</v>
      </c>
      <c r="H39" s="4" t="s">
        <v>54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47.461090000000006</v>
      </c>
      <c r="G40" s="4" t="s">
        <v>55</v>
      </c>
      <c r="H40" s="4" t="s">
        <v>56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1.2644629999999999</v>
      </c>
      <c r="G41" s="4" t="s">
        <v>57</v>
      </c>
      <c r="H41" s="4" t="s">
        <v>58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32.200000000000003</v>
      </c>
      <c r="G42" s="4" t="s">
        <v>59</v>
      </c>
      <c r="H42" s="4" t="s">
        <v>60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61</v>
      </c>
      <c r="H43" s="4" t="s">
        <v>62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14998.97</v>
      </c>
      <c r="G44" s="4" t="s">
        <v>63</v>
      </c>
      <c r="H44" s="4" t="s">
        <v>64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8064.14</v>
      </c>
      <c r="G45" s="4" t="s">
        <v>65</v>
      </c>
      <c r="H45" s="4" t="s">
        <v>66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64269.56</v>
      </c>
      <c r="G46" s="4" t="s">
        <v>67</v>
      </c>
      <c r="H46" s="4" t="s">
        <v>68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12853.91</v>
      </c>
      <c r="G47" s="4" t="s">
        <v>195</v>
      </c>
      <c r="H47" s="4" t="s">
        <v>196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77123.47</v>
      </c>
      <c r="G48" s="4" t="s">
        <v>197</v>
      </c>
      <c r="H48" s="4" t="s">
        <v>198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260</v>
      </c>
      <c r="C53" s="3">
        <v>2021</v>
      </c>
      <c r="D53" s="3">
        <v>0</v>
      </c>
      <c r="E53" s="3">
        <v>1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33806715</v>
      </c>
      <c r="O53" s="3">
        <v>1</v>
      </c>
    </row>
    <row r="54" spans="1:40">
      <c r="A54" s="5">
        <v>1</v>
      </c>
      <c r="B54" s="5" t="s">
        <v>261</v>
      </c>
      <c r="C54" s="5" t="s">
        <v>262</v>
      </c>
      <c r="D54" s="5">
        <v>2021</v>
      </c>
      <c r="E54" s="5">
        <v>1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33806716</v>
      </c>
    </row>
    <row r="55" spans="1:40">
      <c r="A55" s="5">
        <v>2</v>
      </c>
      <c r="B55" s="5" t="s">
        <v>263</v>
      </c>
      <c r="C55" s="5" t="s">
        <v>264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33806717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42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ROW(Source!A62)</f>
        <v>62</v>
      </c>
      <c r="B1">
        <v>33806715</v>
      </c>
      <c r="C1">
        <v>33893378</v>
      </c>
      <c r="D1">
        <v>18410631</v>
      </c>
      <c r="E1">
        <v>1</v>
      </c>
      <c r="F1">
        <v>1</v>
      </c>
      <c r="G1">
        <v>1</v>
      </c>
      <c r="H1">
        <v>1</v>
      </c>
      <c r="I1" t="s">
        <v>266</v>
      </c>
      <c r="J1" t="s">
        <v>3</v>
      </c>
      <c r="K1" t="s">
        <v>267</v>
      </c>
      <c r="L1">
        <v>1369</v>
      </c>
      <c r="N1">
        <v>1013</v>
      </c>
      <c r="O1" t="s">
        <v>268</v>
      </c>
      <c r="P1" t="s">
        <v>268</v>
      </c>
      <c r="Q1">
        <v>1</v>
      </c>
      <c r="W1">
        <v>0</v>
      </c>
      <c r="X1">
        <v>-1896518065</v>
      </c>
      <c r="Y1">
        <v>6.8309999999999995</v>
      </c>
      <c r="AA1">
        <v>0</v>
      </c>
      <c r="AB1">
        <v>0</v>
      </c>
      <c r="AC1">
        <v>0</v>
      </c>
      <c r="AD1">
        <v>276.22000000000003</v>
      </c>
      <c r="AE1">
        <v>0</v>
      </c>
      <c r="AF1">
        <v>0</v>
      </c>
      <c r="AG1">
        <v>0</v>
      </c>
      <c r="AH1">
        <v>276.22000000000003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5.94</v>
      </c>
      <c r="AU1" t="s">
        <v>75</v>
      </c>
      <c r="AV1">
        <v>1</v>
      </c>
      <c r="AW1">
        <v>2</v>
      </c>
      <c r="AX1">
        <v>33893388</v>
      </c>
      <c r="AY1">
        <v>2</v>
      </c>
      <c r="AZ1">
        <v>131072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Y1*Source!I62</f>
        <v>2.59578</v>
      </c>
      <c r="CY1">
        <f>AD1</f>
        <v>276.22000000000003</v>
      </c>
      <c r="CZ1">
        <f>AH1</f>
        <v>276.22000000000003</v>
      </c>
      <c r="DA1">
        <f>AL1</f>
        <v>1</v>
      </c>
      <c r="DB1">
        <f>ROUND((ROUND(AT1*CZ1,2)*1.15),6)</f>
        <v>1886.8625</v>
      </c>
      <c r="DC1">
        <f>ROUND((ROUND(AT1*AG1,2)*1.15),6)</f>
        <v>0</v>
      </c>
    </row>
    <row r="2" spans="1:107">
      <c r="A2">
        <f>ROW(Source!A62)</f>
        <v>62</v>
      </c>
      <c r="B2">
        <v>33806715</v>
      </c>
      <c r="C2">
        <v>33893378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86</v>
      </c>
      <c r="J2" t="s">
        <v>3</v>
      </c>
      <c r="K2" t="s">
        <v>269</v>
      </c>
      <c r="L2">
        <v>608254</v>
      </c>
      <c r="N2">
        <v>1013</v>
      </c>
      <c r="O2" t="s">
        <v>270</v>
      </c>
      <c r="P2" t="s">
        <v>270</v>
      </c>
      <c r="Q2">
        <v>1</v>
      </c>
      <c r="W2">
        <v>0</v>
      </c>
      <c r="X2">
        <v>-185737400</v>
      </c>
      <c r="Y2">
        <v>0.05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0.04</v>
      </c>
      <c r="AU2" t="s">
        <v>74</v>
      </c>
      <c r="AV2">
        <v>2</v>
      </c>
      <c r="AW2">
        <v>2</v>
      </c>
      <c r="AX2">
        <v>33893389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Y2*Source!I62</f>
        <v>1.9000000000000003E-2</v>
      </c>
      <c r="CY2">
        <f>AD2</f>
        <v>0</v>
      </c>
      <c r="CZ2">
        <f>AH2</f>
        <v>0</v>
      </c>
      <c r="DA2">
        <f>AL2</f>
        <v>1</v>
      </c>
      <c r="DB2">
        <f>ROUND((ROUND(AT2*CZ2,2)*1.25),6)</f>
        <v>0</v>
      </c>
      <c r="DC2">
        <f>ROUND((ROUND(AT2*AG2,2)*1.25),6)</f>
        <v>0</v>
      </c>
    </row>
    <row r="3" spans="1:107">
      <c r="A3">
        <f>ROW(Source!A62)</f>
        <v>62</v>
      </c>
      <c r="B3">
        <v>33806715</v>
      </c>
      <c r="C3">
        <v>33893378</v>
      </c>
      <c r="D3">
        <v>29172554</v>
      </c>
      <c r="E3">
        <v>1</v>
      </c>
      <c r="F3">
        <v>1</v>
      </c>
      <c r="G3">
        <v>1</v>
      </c>
      <c r="H3">
        <v>2</v>
      </c>
      <c r="I3" t="s">
        <v>271</v>
      </c>
      <c r="J3" t="s">
        <v>272</v>
      </c>
      <c r="K3" t="s">
        <v>273</v>
      </c>
      <c r="L3">
        <v>1368</v>
      </c>
      <c r="N3">
        <v>1011</v>
      </c>
      <c r="O3" t="s">
        <v>274</v>
      </c>
      <c r="P3" t="s">
        <v>274</v>
      </c>
      <c r="Q3">
        <v>1</v>
      </c>
      <c r="W3">
        <v>0</v>
      </c>
      <c r="X3">
        <v>-227040401</v>
      </c>
      <c r="Y3">
        <v>0.05</v>
      </c>
      <c r="AA3">
        <v>0</v>
      </c>
      <c r="AB3">
        <v>416.84</v>
      </c>
      <c r="AC3">
        <v>381.76</v>
      </c>
      <c r="AD3">
        <v>0</v>
      </c>
      <c r="AE3">
        <v>0</v>
      </c>
      <c r="AF3">
        <v>27.66</v>
      </c>
      <c r="AG3">
        <v>11.6</v>
      </c>
      <c r="AH3">
        <v>0</v>
      </c>
      <c r="AI3">
        <v>1</v>
      </c>
      <c r="AJ3">
        <v>15.07</v>
      </c>
      <c r="AK3">
        <v>32.909999999999997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0.04</v>
      </c>
      <c r="AU3" t="s">
        <v>74</v>
      </c>
      <c r="AV3">
        <v>0</v>
      </c>
      <c r="AW3">
        <v>2</v>
      </c>
      <c r="AX3">
        <v>33893390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Y3*Source!I62</f>
        <v>1.9000000000000003E-2</v>
      </c>
      <c r="CY3">
        <f>AB3</f>
        <v>416.84</v>
      </c>
      <c r="CZ3">
        <f>AF3</f>
        <v>27.66</v>
      </c>
      <c r="DA3">
        <f>AJ3</f>
        <v>15.07</v>
      </c>
      <c r="DB3">
        <f>ROUND((ROUND(AT3*CZ3,2)*1.25),6)</f>
        <v>1.3875</v>
      </c>
      <c r="DC3">
        <f>ROUND((ROUND(AT3*AG3,2)*1.25),6)</f>
        <v>0.57499999999999996</v>
      </c>
    </row>
    <row r="4" spans="1:107">
      <c r="A4">
        <f>ROW(Source!A62)</f>
        <v>62</v>
      </c>
      <c r="B4">
        <v>33806715</v>
      </c>
      <c r="C4">
        <v>33893378</v>
      </c>
      <c r="D4">
        <v>29174653</v>
      </c>
      <c r="E4">
        <v>1</v>
      </c>
      <c r="F4">
        <v>1</v>
      </c>
      <c r="G4">
        <v>1</v>
      </c>
      <c r="H4">
        <v>2</v>
      </c>
      <c r="I4" t="s">
        <v>275</v>
      </c>
      <c r="J4" t="s">
        <v>276</v>
      </c>
      <c r="K4" t="s">
        <v>277</v>
      </c>
      <c r="L4">
        <v>1368</v>
      </c>
      <c r="N4">
        <v>1011</v>
      </c>
      <c r="O4" t="s">
        <v>274</v>
      </c>
      <c r="P4" t="s">
        <v>274</v>
      </c>
      <c r="Q4">
        <v>1</v>
      </c>
      <c r="W4">
        <v>0</v>
      </c>
      <c r="X4">
        <v>964885584</v>
      </c>
      <c r="Y4">
        <v>6.4</v>
      </c>
      <c r="AA4">
        <v>0</v>
      </c>
      <c r="AB4">
        <v>31.51</v>
      </c>
      <c r="AC4">
        <v>0</v>
      </c>
      <c r="AD4">
        <v>0</v>
      </c>
      <c r="AE4">
        <v>0</v>
      </c>
      <c r="AF4">
        <v>6.82</v>
      </c>
      <c r="AG4">
        <v>0</v>
      </c>
      <c r="AH4">
        <v>0</v>
      </c>
      <c r="AI4">
        <v>1</v>
      </c>
      <c r="AJ4">
        <v>4.62</v>
      </c>
      <c r="AK4">
        <v>32.909999999999997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5.12</v>
      </c>
      <c r="AU4" t="s">
        <v>74</v>
      </c>
      <c r="AV4">
        <v>0</v>
      </c>
      <c r="AW4">
        <v>2</v>
      </c>
      <c r="AX4">
        <v>33893391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Y4*Source!I62</f>
        <v>2.4320000000000004</v>
      </c>
      <c r="CY4">
        <f>AB4</f>
        <v>31.51</v>
      </c>
      <c r="CZ4">
        <f>AF4</f>
        <v>6.82</v>
      </c>
      <c r="DA4">
        <f>AJ4</f>
        <v>4.62</v>
      </c>
      <c r="DB4">
        <f>ROUND((ROUND(AT4*CZ4,2)*1.25),6)</f>
        <v>43.65</v>
      </c>
      <c r="DC4">
        <f>ROUND((ROUND(AT4*AG4,2)*1.25),6)</f>
        <v>0</v>
      </c>
    </row>
    <row r="5" spans="1:107">
      <c r="A5">
        <f>ROW(Source!A62)</f>
        <v>62</v>
      </c>
      <c r="B5">
        <v>33806715</v>
      </c>
      <c r="C5">
        <v>33893378</v>
      </c>
      <c r="D5">
        <v>29174913</v>
      </c>
      <c r="E5">
        <v>1</v>
      </c>
      <c r="F5">
        <v>1</v>
      </c>
      <c r="G5">
        <v>1</v>
      </c>
      <c r="H5">
        <v>2</v>
      </c>
      <c r="I5" t="s">
        <v>278</v>
      </c>
      <c r="J5" t="s">
        <v>279</v>
      </c>
      <c r="K5" t="s">
        <v>280</v>
      </c>
      <c r="L5">
        <v>1368</v>
      </c>
      <c r="N5">
        <v>1011</v>
      </c>
      <c r="O5" t="s">
        <v>274</v>
      </c>
      <c r="P5" t="s">
        <v>274</v>
      </c>
      <c r="Q5">
        <v>1</v>
      </c>
      <c r="W5">
        <v>0</v>
      </c>
      <c r="X5">
        <v>458544584</v>
      </c>
      <c r="Y5">
        <v>0.125</v>
      </c>
      <c r="AA5">
        <v>0</v>
      </c>
      <c r="AB5">
        <v>918.77</v>
      </c>
      <c r="AC5">
        <v>381.76</v>
      </c>
      <c r="AD5">
        <v>0</v>
      </c>
      <c r="AE5">
        <v>0</v>
      </c>
      <c r="AF5">
        <v>87.17</v>
      </c>
      <c r="AG5">
        <v>11.6</v>
      </c>
      <c r="AH5">
        <v>0</v>
      </c>
      <c r="AI5">
        <v>1</v>
      </c>
      <c r="AJ5">
        <v>10.54</v>
      </c>
      <c r="AK5">
        <v>32.909999999999997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0.1</v>
      </c>
      <c r="AU5" t="s">
        <v>74</v>
      </c>
      <c r="AV5">
        <v>0</v>
      </c>
      <c r="AW5">
        <v>2</v>
      </c>
      <c r="AX5">
        <v>33893392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Y5*Source!I62</f>
        <v>4.7500000000000001E-2</v>
      </c>
      <c r="CY5">
        <f>AB5</f>
        <v>918.77</v>
      </c>
      <c r="CZ5">
        <f>AF5</f>
        <v>87.17</v>
      </c>
      <c r="DA5">
        <f>AJ5</f>
        <v>10.54</v>
      </c>
      <c r="DB5">
        <f>ROUND((ROUND(AT5*CZ5,2)*1.25),6)</f>
        <v>10.9</v>
      </c>
      <c r="DC5">
        <f>ROUND((ROUND(AT5*AG5,2)*1.25),6)</f>
        <v>1.45</v>
      </c>
    </row>
    <row r="6" spans="1:107">
      <c r="A6">
        <f>ROW(Source!A62)</f>
        <v>62</v>
      </c>
      <c r="B6">
        <v>33806715</v>
      </c>
      <c r="C6">
        <v>33893378</v>
      </c>
      <c r="D6">
        <v>29107800</v>
      </c>
      <c r="E6">
        <v>1</v>
      </c>
      <c r="F6">
        <v>1</v>
      </c>
      <c r="G6">
        <v>1</v>
      </c>
      <c r="H6">
        <v>3</v>
      </c>
      <c r="I6" t="s">
        <v>281</v>
      </c>
      <c r="J6" t="s">
        <v>282</v>
      </c>
      <c r="K6" t="s">
        <v>283</v>
      </c>
      <c r="L6">
        <v>1346</v>
      </c>
      <c r="N6">
        <v>1009</v>
      </c>
      <c r="O6" t="s">
        <v>84</v>
      </c>
      <c r="P6" t="s">
        <v>84</v>
      </c>
      <c r="Q6">
        <v>1</v>
      </c>
      <c r="W6">
        <v>0</v>
      </c>
      <c r="X6">
        <v>-1570619850</v>
      </c>
      <c r="Y6">
        <v>1</v>
      </c>
      <c r="AA6">
        <v>46.61</v>
      </c>
      <c r="AB6">
        <v>0</v>
      </c>
      <c r="AC6">
        <v>0</v>
      </c>
      <c r="AD6">
        <v>0</v>
      </c>
      <c r="AE6">
        <v>1.81</v>
      </c>
      <c r="AF6">
        <v>0</v>
      </c>
      <c r="AG6">
        <v>0</v>
      </c>
      <c r="AH6">
        <v>0</v>
      </c>
      <c r="AI6">
        <v>25.75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</v>
      </c>
      <c r="AU6" t="s">
        <v>3</v>
      </c>
      <c r="AV6">
        <v>0</v>
      </c>
      <c r="AW6">
        <v>2</v>
      </c>
      <c r="AX6">
        <v>33893393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Y6*Source!I62</f>
        <v>0.38</v>
      </c>
      <c r="CY6">
        <f>AA6</f>
        <v>46.61</v>
      </c>
      <c r="CZ6">
        <f>AE6</f>
        <v>1.81</v>
      </c>
      <c r="DA6">
        <f>AI6</f>
        <v>25.75</v>
      </c>
      <c r="DB6">
        <f t="shared" ref="DB6:DB18" si="0">ROUND(ROUND(AT6*CZ6,2),6)</f>
        <v>1.81</v>
      </c>
      <c r="DC6">
        <f t="shared" ref="DC6:DC18" si="1">ROUND(ROUND(AT6*AG6,2),6)</f>
        <v>0</v>
      </c>
    </row>
    <row r="7" spans="1:107">
      <c r="A7">
        <f>ROW(Source!A62)</f>
        <v>62</v>
      </c>
      <c r="B7">
        <v>33806715</v>
      </c>
      <c r="C7">
        <v>33893378</v>
      </c>
      <c r="D7">
        <v>29122063</v>
      </c>
      <c r="E7">
        <v>1</v>
      </c>
      <c r="F7">
        <v>1</v>
      </c>
      <c r="G7">
        <v>1</v>
      </c>
      <c r="H7">
        <v>3</v>
      </c>
      <c r="I7" t="s">
        <v>284</v>
      </c>
      <c r="J7" t="s">
        <v>285</v>
      </c>
      <c r="K7" t="s">
        <v>286</v>
      </c>
      <c r="L7">
        <v>1346</v>
      </c>
      <c r="N7">
        <v>1009</v>
      </c>
      <c r="O7" t="s">
        <v>84</v>
      </c>
      <c r="P7" t="s">
        <v>84</v>
      </c>
      <c r="Q7">
        <v>1</v>
      </c>
      <c r="W7">
        <v>0</v>
      </c>
      <c r="X7">
        <v>-455905810</v>
      </c>
      <c r="Y7">
        <v>9.1999999999999993</v>
      </c>
      <c r="AA7">
        <v>155.61000000000001</v>
      </c>
      <c r="AB7">
        <v>0</v>
      </c>
      <c r="AC7">
        <v>0</v>
      </c>
      <c r="AD7">
        <v>0</v>
      </c>
      <c r="AE7">
        <v>16.59</v>
      </c>
      <c r="AF7">
        <v>0</v>
      </c>
      <c r="AG7">
        <v>0</v>
      </c>
      <c r="AH7">
        <v>0</v>
      </c>
      <c r="AI7">
        <v>9.3800000000000008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9.1999999999999993</v>
      </c>
      <c r="AU7" t="s">
        <v>3</v>
      </c>
      <c r="AV7">
        <v>0</v>
      </c>
      <c r="AW7">
        <v>2</v>
      </c>
      <c r="AX7">
        <v>33893394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Y7*Source!I62</f>
        <v>3.4959999999999996</v>
      </c>
      <c r="CY7">
        <f>AA7</f>
        <v>155.61000000000001</v>
      </c>
      <c r="CZ7">
        <f>AE7</f>
        <v>16.59</v>
      </c>
      <c r="DA7">
        <f>AI7</f>
        <v>9.3800000000000008</v>
      </c>
      <c r="DB7">
        <f t="shared" si="0"/>
        <v>152.63</v>
      </c>
      <c r="DC7">
        <f t="shared" si="1"/>
        <v>0</v>
      </c>
    </row>
    <row r="8" spans="1:107">
      <c r="A8">
        <f>ROW(Source!A62)</f>
        <v>62</v>
      </c>
      <c r="B8">
        <v>33806715</v>
      </c>
      <c r="C8">
        <v>33893378</v>
      </c>
      <c r="D8">
        <v>29122064</v>
      </c>
      <c r="E8">
        <v>1</v>
      </c>
      <c r="F8">
        <v>1</v>
      </c>
      <c r="G8">
        <v>1</v>
      </c>
      <c r="H8">
        <v>3</v>
      </c>
      <c r="I8" t="s">
        <v>82</v>
      </c>
      <c r="J8" t="s">
        <v>85</v>
      </c>
      <c r="K8" t="s">
        <v>83</v>
      </c>
      <c r="L8">
        <v>1346</v>
      </c>
      <c r="N8">
        <v>1009</v>
      </c>
      <c r="O8" t="s">
        <v>84</v>
      </c>
      <c r="P8" t="s">
        <v>84</v>
      </c>
      <c r="Q8">
        <v>1</v>
      </c>
      <c r="W8">
        <v>0</v>
      </c>
      <c r="X8">
        <v>534029189</v>
      </c>
      <c r="Y8">
        <v>14.634145999999999</v>
      </c>
      <c r="AA8">
        <v>155.55000000000001</v>
      </c>
      <c r="AB8">
        <v>0</v>
      </c>
      <c r="AC8">
        <v>0</v>
      </c>
      <c r="AD8">
        <v>0</v>
      </c>
      <c r="AE8">
        <v>16.78</v>
      </c>
      <c r="AF8">
        <v>0</v>
      </c>
      <c r="AG8">
        <v>0</v>
      </c>
      <c r="AH8">
        <v>0</v>
      </c>
      <c r="AI8">
        <v>9.27</v>
      </c>
      <c r="AJ8">
        <v>1</v>
      </c>
      <c r="AK8">
        <v>1</v>
      </c>
      <c r="AL8">
        <v>1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3</v>
      </c>
      <c r="AT8">
        <v>14.634145999999999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Y8*Source!I62</f>
        <v>5.5609754799999997</v>
      </c>
      <c r="CY8">
        <f>AA8</f>
        <v>155.55000000000001</v>
      </c>
      <c r="CZ8">
        <f>AE8</f>
        <v>16.78</v>
      </c>
      <c r="DA8">
        <f>AI8</f>
        <v>9.27</v>
      </c>
      <c r="DB8">
        <f t="shared" si="0"/>
        <v>245.56</v>
      </c>
      <c r="DC8">
        <f t="shared" si="1"/>
        <v>0</v>
      </c>
    </row>
    <row r="9" spans="1:107">
      <c r="A9">
        <f>ROW(Source!A62)</f>
        <v>62</v>
      </c>
      <c r="B9">
        <v>33806715</v>
      </c>
      <c r="C9">
        <v>33893378</v>
      </c>
      <c r="D9">
        <v>29150040</v>
      </c>
      <c r="E9">
        <v>1</v>
      </c>
      <c r="F9">
        <v>1</v>
      </c>
      <c r="G9">
        <v>1</v>
      </c>
      <c r="H9">
        <v>3</v>
      </c>
      <c r="I9" t="s">
        <v>287</v>
      </c>
      <c r="J9" t="s">
        <v>288</v>
      </c>
      <c r="K9" t="s">
        <v>289</v>
      </c>
      <c r="L9">
        <v>1339</v>
      </c>
      <c r="N9">
        <v>1007</v>
      </c>
      <c r="O9" t="s">
        <v>290</v>
      </c>
      <c r="P9" t="s">
        <v>290</v>
      </c>
      <c r="Q9">
        <v>1</v>
      </c>
      <c r="W9">
        <v>0</v>
      </c>
      <c r="X9">
        <v>693153122</v>
      </c>
      <c r="Y9">
        <v>0.01</v>
      </c>
      <c r="AA9">
        <v>22.2</v>
      </c>
      <c r="AB9">
        <v>0</v>
      </c>
      <c r="AC9">
        <v>0</v>
      </c>
      <c r="AD9">
        <v>0</v>
      </c>
      <c r="AE9">
        <v>2.44</v>
      </c>
      <c r="AF9">
        <v>0</v>
      </c>
      <c r="AG9">
        <v>0</v>
      </c>
      <c r="AH9">
        <v>0</v>
      </c>
      <c r="AI9">
        <v>9.1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0.01</v>
      </c>
      <c r="AU9" t="s">
        <v>3</v>
      </c>
      <c r="AV9">
        <v>0</v>
      </c>
      <c r="AW9">
        <v>2</v>
      </c>
      <c r="AX9">
        <v>33893395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Y9*Source!I62</f>
        <v>3.8E-3</v>
      </c>
      <c r="CY9">
        <f>AA9</f>
        <v>22.2</v>
      </c>
      <c r="CZ9">
        <f>AE9</f>
        <v>2.44</v>
      </c>
      <c r="DA9">
        <f>AI9</f>
        <v>9.1</v>
      </c>
      <c r="DB9">
        <f t="shared" si="0"/>
        <v>0.02</v>
      </c>
      <c r="DC9">
        <f t="shared" si="1"/>
        <v>0</v>
      </c>
    </row>
    <row r="10" spans="1:107">
      <c r="A10">
        <f>ROW(Source!A64)</f>
        <v>64</v>
      </c>
      <c r="B10">
        <v>33806715</v>
      </c>
      <c r="C10">
        <v>33890515</v>
      </c>
      <c r="D10">
        <v>18413627</v>
      </c>
      <c r="E10">
        <v>1</v>
      </c>
      <c r="F10">
        <v>1</v>
      </c>
      <c r="G10">
        <v>1</v>
      </c>
      <c r="H10">
        <v>1</v>
      </c>
      <c r="I10" t="s">
        <v>291</v>
      </c>
      <c r="J10" t="s">
        <v>3</v>
      </c>
      <c r="K10" t="s">
        <v>292</v>
      </c>
      <c r="L10">
        <v>1369</v>
      </c>
      <c r="N10">
        <v>1013</v>
      </c>
      <c r="O10" t="s">
        <v>268</v>
      </c>
      <c r="P10" t="s">
        <v>268</v>
      </c>
      <c r="Q10">
        <v>1</v>
      </c>
      <c r="W10">
        <v>0</v>
      </c>
      <c r="X10">
        <v>-1366182279</v>
      </c>
      <c r="Y10">
        <v>61.9</v>
      </c>
      <c r="AA10">
        <v>0</v>
      </c>
      <c r="AB10">
        <v>0</v>
      </c>
      <c r="AC10">
        <v>0</v>
      </c>
      <c r="AD10">
        <v>323.88</v>
      </c>
      <c r="AE10">
        <v>0</v>
      </c>
      <c r="AF10">
        <v>0</v>
      </c>
      <c r="AG10">
        <v>0</v>
      </c>
      <c r="AH10">
        <v>323.88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61.9</v>
      </c>
      <c r="AU10" t="s">
        <v>3</v>
      </c>
      <c r="AV10">
        <v>1</v>
      </c>
      <c r="AW10">
        <v>2</v>
      </c>
      <c r="AX10">
        <v>33890525</v>
      </c>
      <c r="AY10">
        <v>2</v>
      </c>
      <c r="AZ10">
        <v>131072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Y10*Source!I64</f>
        <v>3.0950000000000002</v>
      </c>
      <c r="CY10">
        <f>AD10</f>
        <v>323.88</v>
      </c>
      <c r="CZ10">
        <f>AH10</f>
        <v>323.88</v>
      </c>
      <c r="DA10">
        <f>AL10</f>
        <v>1</v>
      </c>
      <c r="DB10">
        <f t="shared" si="0"/>
        <v>20048.169999999998</v>
      </c>
      <c r="DC10">
        <f t="shared" si="1"/>
        <v>0</v>
      </c>
    </row>
    <row r="11" spans="1:107">
      <c r="A11">
        <f>ROW(Source!A64)</f>
        <v>64</v>
      </c>
      <c r="B11">
        <v>33806715</v>
      </c>
      <c r="C11">
        <v>33890515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86</v>
      </c>
      <c r="J11" t="s">
        <v>3</v>
      </c>
      <c r="K11" t="s">
        <v>269</v>
      </c>
      <c r="L11">
        <v>608254</v>
      </c>
      <c r="N11">
        <v>1013</v>
      </c>
      <c r="O11" t="s">
        <v>270</v>
      </c>
      <c r="P11" t="s">
        <v>270</v>
      </c>
      <c r="Q11">
        <v>1</v>
      </c>
      <c r="W11">
        <v>0</v>
      </c>
      <c r="X11">
        <v>-185737400</v>
      </c>
      <c r="Y11">
        <v>0.2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0.2</v>
      </c>
      <c r="AU11" t="s">
        <v>3</v>
      </c>
      <c r="AV11">
        <v>2</v>
      </c>
      <c r="AW11">
        <v>2</v>
      </c>
      <c r="AX11">
        <v>33890526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Y11*Source!I64</f>
        <v>1.0000000000000002E-2</v>
      </c>
      <c r="CY11">
        <f>AD11</f>
        <v>0</v>
      </c>
      <c r="CZ11">
        <f>AH11</f>
        <v>0</v>
      </c>
      <c r="DA11">
        <f>AL11</f>
        <v>1</v>
      </c>
      <c r="DB11">
        <f t="shared" si="0"/>
        <v>0</v>
      </c>
      <c r="DC11">
        <f t="shared" si="1"/>
        <v>0</v>
      </c>
    </row>
    <row r="12" spans="1:107">
      <c r="A12">
        <f>ROW(Source!A64)</f>
        <v>64</v>
      </c>
      <c r="B12">
        <v>33806715</v>
      </c>
      <c r="C12">
        <v>33890515</v>
      </c>
      <c r="D12">
        <v>29172556</v>
      </c>
      <c r="E12">
        <v>1</v>
      </c>
      <c r="F12">
        <v>1</v>
      </c>
      <c r="G12">
        <v>1</v>
      </c>
      <c r="H12">
        <v>2</v>
      </c>
      <c r="I12" t="s">
        <v>293</v>
      </c>
      <c r="J12" t="s">
        <v>294</v>
      </c>
      <c r="K12" t="s">
        <v>295</v>
      </c>
      <c r="L12">
        <v>1368</v>
      </c>
      <c r="N12">
        <v>1011</v>
      </c>
      <c r="O12" t="s">
        <v>274</v>
      </c>
      <c r="P12" t="s">
        <v>274</v>
      </c>
      <c r="Q12">
        <v>1</v>
      </c>
      <c r="W12">
        <v>0</v>
      </c>
      <c r="X12">
        <v>-1302720870</v>
      </c>
      <c r="Y12">
        <v>0.2</v>
      </c>
      <c r="AA12">
        <v>0</v>
      </c>
      <c r="AB12">
        <v>451.71</v>
      </c>
      <c r="AC12">
        <v>444.29</v>
      </c>
      <c r="AD12">
        <v>0</v>
      </c>
      <c r="AE12">
        <v>0</v>
      </c>
      <c r="AF12">
        <v>31.26</v>
      </c>
      <c r="AG12">
        <v>13.5</v>
      </c>
      <c r="AH12">
        <v>0</v>
      </c>
      <c r="AI12">
        <v>1</v>
      </c>
      <c r="AJ12">
        <v>14.45</v>
      </c>
      <c r="AK12">
        <v>32.909999999999997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0.2</v>
      </c>
      <c r="AU12" t="s">
        <v>3</v>
      </c>
      <c r="AV12">
        <v>0</v>
      </c>
      <c r="AW12">
        <v>2</v>
      </c>
      <c r="AX12">
        <v>33890527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Y12*Source!I64</f>
        <v>1.0000000000000002E-2</v>
      </c>
      <c r="CY12">
        <f>AB12</f>
        <v>451.71</v>
      </c>
      <c r="CZ12">
        <f>AF12</f>
        <v>31.26</v>
      </c>
      <c r="DA12">
        <f>AJ12</f>
        <v>14.45</v>
      </c>
      <c r="DB12">
        <f t="shared" si="0"/>
        <v>6.25</v>
      </c>
      <c r="DC12">
        <f t="shared" si="1"/>
        <v>2.7</v>
      </c>
    </row>
    <row r="13" spans="1:107">
      <c r="A13">
        <f>ROW(Source!A64)</f>
        <v>64</v>
      </c>
      <c r="B13">
        <v>33806715</v>
      </c>
      <c r="C13">
        <v>33890515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278</v>
      </c>
      <c r="J13" t="s">
        <v>279</v>
      </c>
      <c r="K13" t="s">
        <v>280</v>
      </c>
      <c r="L13">
        <v>1368</v>
      </c>
      <c r="N13">
        <v>1011</v>
      </c>
      <c r="O13" t="s">
        <v>274</v>
      </c>
      <c r="P13" t="s">
        <v>274</v>
      </c>
      <c r="Q13">
        <v>1</v>
      </c>
      <c r="W13">
        <v>0</v>
      </c>
      <c r="X13">
        <v>458544584</v>
      </c>
      <c r="Y13">
        <v>0.2</v>
      </c>
      <c r="AA13">
        <v>0</v>
      </c>
      <c r="AB13">
        <v>918.77</v>
      </c>
      <c r="AC13">
        <v>381.76</v>
      </c>
      <c r="AD13">
        <v>0</v>
      </c>
      <c r="AE13">
        <v>0</v>
      </c>
      <c r="AF13">
        <v>87.17</v>
      </c>
      <c r="AG13">
        <v>11.6</v>
      </c>
      <c r="AH13">
        <v>0</v>
      </c>
      <c r="AI13">
        <v>1</v>
      </c>
      <c r="AJ13">
        <v>10.54</v>
      </c>
      <c r="AK13">
        <v>32.909999999999997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0.2</v>
      </c>
      <c r="AU13" t="s">
        <v>3</v>
      </c>
      <c r="AV13">
        <v>0</v>
      </c>
      <c r="AW13">
        <v>2</v>
      </c>
      <c r="AX13">
        <v>33890528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Y13*Source!I64</f>
        <v>1.0000000000000002E-2</v>
      </c>
      <c r="CY13">
        <f>AB13</f>
        <v>918.77</v>
      </c>
      <c r="CZ13">
        <f>AF13</f>
        <v>87.17</v>
      </c>
      <c r="DA13">
        <f>AJ13</f>
        <v>10.54</v>
      </c>
      <c r="DB13">
        <f t="shared" si="0"/>
        <v>17.43</v>
      </c>
      <c r="DC13">
        <f t="shared" si="1"/>
        <v>2.3199999999999998</v>
      </c>
    </row>
    <row r="14" spans="1:107">
      <c r="A14">
        <f>ROW(Source!A64)</f>
        <v>64</v>
      </c>
      <c r="B14">
        <v>33806715</v>
      </c>
      <c r="C14">
        <v>33890515</v>
      </c>
      <c r="D14">
        <v>29110103</v>
      </c>
      <c r="E14">
        <v>1</v>
      </c>
      <c r="F14">
        <v>1</v>
      </c>
      <c r="G14">
        <v>1</v>
      </c>
      <c r="H14">
        <v>3</v>
      </c>
      <c r="I14" t="s">
        <v>296</v>
      </c>
      <c r="J14" t="s">
        <v>297</v>
      </c>
      <c r="K14" t="s">
        <v>298</v>
      </c>
      <c r="L14">
        <v>1346</v>
      </c>
      <c r="N14">
        <v>1009</v>
      </c>
      <c r="O14" t="s">
        <v>84</v>
      </c>
      <c r="P14" t="s">
        <v>84</v>
      </c>
      <c r="Q14">
        <v>1</v>
      </c>
      <c r="W14">
        <v>0</v>
      </c>
      <c r="X14">
        <v>1702120335</v>
      </c>
      <c r="Y14">
        <v>4</v>
      </c>
      <c r="AA14">
        <v>456.22</v>
      </c>
      <c r="AB14">
        <v>0</v>
      </c>
      <c r="AC14">
        <v>0</v>
      </c>
      <c r="AD14">
        <v>0</v>
      </c>
      <c r="AE14">
        <v>24.41</v>
      </c>
      <c r="AF14">
        <v>0</v>
      </c>
      <c r="AG14">
        <v>0</v>
      </c>
      <c r="AH14">
        <v>0</v>
      </c>
      <c r="AI14">
        <v>18.690000000000001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4</v>
      </c>
      <c r="AU14" t="s">
        <v>3</v>
      </c>
      <c r="AV14">
        <v>0</v>
      </c>
      <c r="AW14">
        <v>2</v>
      </c>
      <c r="AX14">
        <v>33890529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Y14*Source!I64</f>
        <v>0.2</v>
      </c>
      <c r="CY14">
        <f>AA14</f>
        <v>456.22</v>
      </c>
      <c r="CZ14">
        <f>AE14</f>
        <v>24.41</v>
      </c>
      <c r="DA14">
        <f>AI14</f>
        <v>18.690000000000001</v>
      </c>
      <c r="DB14">
        <f t="shared" si="0"/>
        <v>97.64</v>
      </c>
      <c r="DC14">
        <f t="shared" si="1"/>
        <v>0</v>
      </c>
    </row>
    <row r="15" spans="1:107">
      <c r="A15">
        <f>ROW(Source!A64)</f>
        <v>64</v>
      </c>
      <c r="B15">
        <v>33806715</v>
      </c>
      <c r="C15">
        <v>33890515</v>
      </c>
      <c r="D15">
        <v>29114240</v>
      </c>
      <c r="E15">
        <v>1</v>
      </c>
      <c r="F15">
        <v>1</v>
      </c>
      <c r="G15">
        <v>1</v>
      </c>
      <c r="H15">
        <v>3</v>
      </c>
      <c r="I15" t="s">
        <v>299</v>
      </c>
      <c r="J15" t="s">
        <v>300</v>
      </c>
      <c r="K15" t="s">
        <v>301</v>
      </c>
      <c r="L15">
        <v>1348</v>
      </c>
      <c r="N15">
        <v>1009</v>
      </c>
      <c r="O15" t="s">
        <v>101</v>
      </c>
      <c r="P15" t="s">
        <v>101</v>
      </c>
      <c r="Q15">
        <v>1000</v>
      </c>
      <c r="W15">
        <v>0</v>
      </c>
      <c r="X15">
        <v>-272186177</v>
      </c>
      <c r="Y15">
        <v>2.7000000000000001E-3</v>
      </c>
      <c r="AA15">
        <v>74298.3</v>
      </c>
      <c r="AB15">
        <v>0</v>
      </c>
      <c r="AC15">
        <v>0</v>
      </c>
      <c r="AD15">
        <v>0</v>
      </c>
      <c r="AE15">
        <v>14830</v>
      </c>
      <c r="AF15">
        <v>0</v>
      </c>
      <c r="AG15">
        <v>0</v>
      </c>
      <c r="AH15">
        <v>0</v>
      </c>
      <c r="AI15">
        <v>5.01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2.7000000000000001E-3</v>
      </c>
      <c r="AU15" t="s">
        <v>3</v>
      </c>
      <c r="AV15">
        <v>0</v>
      </c>
      <c r="AW15">
        <v>2</v>
      </c>
      <c r="AX15">
        <v>33890530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Y15*Source!I64</f>
        <v>1.35E-4</v>
      </c>
      <c r="CY15">
        <f>AA15</f>
        <v>74298.3</v>
      </c>
      <c r="CZ15">
        <f>AE15</f>
        <v>14830</v>
      </c>
      <c r="DA15">
        <f>AI15</f>
        <v>5.01</v>
      </c>
      <c r="DB15">
        <f t="shared" si="0"/>
        <v>40.04</v>
      </c>
      <c r="DC15">
        <f t="shared" si="1"/>
        <v>0</v>
      </c>
    </row>
    <row r="16" spans="1:107">
      <c r="A16">
        <f>ROW(Source!A64)</f>
        <v>64</v>
      </c>
      <c r="B16">
        <v>33806715</v>
      </c>
      <c r="C16">
        <v>33890515</v>
      </c>
      <c r="D16">
        <v>29139870</v>
      </c>
      <c r="E16">
        <v>1</v>
      </c>
      <c r="F16">
        <v>1</v>
      </c>
      <c r="G16">
        <v>1</v>
      </c>
      <c r="H16">
        <v>3</v>
      </c>
      <c r="I16" t="s">
        <v>95</v>
      </c>
      <c r="J16" t="s">
        <v>97</v>
      </c>
      <c r="K16" t="s">
        <v>96</v>
      </c>
      <c r="L16">
        <v>1346</v>
      </c>
      <c r="N16">
        <v>1009</v>
      </c>
      <c r="O16" t="s">
        <v>84</v>
      </c>
      <c r="P16" t="s">
        <v>84</v>
      </c>
      <c r="Q16">
        <v>1</v>
      </c>
      <c r="W16">
        <v>1</v>
      </c>
      <c r="X16">
        <v>1481869091</v>
      </c>
      <c r="Y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1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0</v>
      </c>
      <c r="AU16" t="s">
        <v>3</v>
      </c>
      <c r="AV16">
        <v>0</v>
      </c>
      <c r="AW16">
        <v>2</v>
      </c>
      <c r="AX16">
        <v>33890531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Y16*Source!I64</f>
        <v>0</v>
      </c>
      <c r="CY16">
        <f>AA16</f>
        <v>0</v>
      </c>
      <c r="CZ16">
        <f>AE16</f>
        <v>0</v>
      </c>
      <c r="DA16">
        <f>AI16</f>
        <v>1</v>
      </c>
      <c r="DB16">
        <f t="shared" si="0"/>
        <v>0</v>
      </c>
      <c r="DC16">
        <f t="shared" si="1"/>
        <v>0</v>
      </c>
    </row>
    <row r="17" spans="1:107">
      <c r="A17">
        <f>ROW(Source!A64)</f>
        <v>64</v>
      </c>
      <c r="B17">
        <v>33806715</v>
      </c>
      <c r="C17">
        <v>33890515</v>
      </c>
      <c r="D17">
        <v>29144276</v>
      </c>
      <c r="E17">
        <v>1</v>
      </c>
      <c r="F17">
        <v>1</v>
      </c>
      <c r="G17">
        <v>1</v>
      </c>
      <c r="H17">
        <v>3</v>
      </c>
      <c r="I17" t="s">
        <v>302</v>
      </c>
      <c r="J17" t="s">
        <v>303</v>
      </c>
      <c r="K17" t="s">
        <v>304</v>
      </c>
      <c r="L17">
        <v>1301</v>
      </c>
      <c r="N17">
        <v>1003</v>
      </c>
      <c r="O17" t="s">
        <v>126</v>
      </c>
      <c r="P17" t="s">
        <v>126</v>
      </c>
      <c r="Q17">
        <v>1</v>
      </c>
      <c r="W17">
        <v>0</v>
      </c>
      <c r="X17">
        <v>-1930547177</v>
      </c>
      <c r="Y17">
        <v>99.8</v>
      </c>
      <c r="AA17">
        <v>373.61</v>
      </c>
      <c r="AB17">
        <v>0</v>
      </c>
      <c r="AC17">
        <v>0</v>
      </c>
      <c r="AD17">
        <v>0</v>
      </c>
      <c r="AE17">
        <v>104.07</v>
      </c>
      <c r="AF17">
        <v>0</v>
      </c>
      <c r="AG17">
        <v>0</v>
      </c>
      <c r="AH17">
        <v>0</v>
      </c>
      <c r="AI17">
        <v>3.59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99.8</v>
      </c>
      <c r="AU17" t="s">
        <v>3</v>
      </c>
      <c r="AV17">
        <v>0</v>
      </c>
      <c r="AW17">
        <v>2</v>
      </c>
      <c r="AX17">
        <v>33890532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Y17*Source!I64</f>
        <v>4.99</v>
      </c>
      <c r="CY17">
        <f>AA17</f>
        <v>373.61</v>
      </c>
      <c r="CZ17">
        <f>AE17</f>
        <v>104.07</v>
      </c>
      <c r="DA17">
        <f>AI17</f>
        <v>3.59</v>
      </c>
      <c r="DB17">
        <f t="shared" si="0"/>
        <v>10386.19</v>
      </c>
      <c r="DC17">
        <f t="shared" si="1"/>
        <v>0</v>
      </c>
    </row>
    <row r="18" spans="1:107">
      <c r="A18">
        <f>ROW(Source!A64)</f>
        <v>64</v>
      </c>
      <c r="B18">
        <v>33806715</v>
      </c>
      <c r="C18">
        <v>33890515</v>
      </c>
      <c r="D18">
        <v>29164349</v>
      </c>
      <c r="E18">
        <v>1</v>
      </c>
      <c r="F18">
        <v>1</v>
      </c>
      <c r="G18">
        <v>1</v>
      </c>
      <c r="H18">
        <v>3</v>
      </c>
      <c r="I18" t="s">
        <v>99</v>
      </c>
      <c r="J18" t="s">
        <v>102</v>
      </c>
      <c r="K18" t="s">
        <v>100</v>
      </c>
      <c r="L18">
        <v>1348</v>
      </c>
      <c r="N18">
        <v>1009</v>
      </c>
      <c r="O18" t="s">
        <v>101</v>
      </c>
      <c r="P18" t="s">
        <v>101</v>
      </c>
      <c r="Q18">
        <v>1000</v>
      </c>
      <c r="W18">
        <v>0</v>
      </c>
      <c r="X18">
        <v>-304821490</v>
      </c>
      <c r="Y18">
        <v>0.11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0.11</v>
      </c>
      <c r="AU18" t="s">
        <v>3</v>
      </c>
      <c r="AV18">
        <v>0</v>
      </c>
      <c r="AW18">
        <v>2</v>
      </c>
      <c r="AX18">
        <v>33890533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Y18*Source!I64</f>
        <v>5.5000000000000005E-3</v>
      </c>
      <c r="CY18">
        <f>AA18</f>
        <v>0</v>
      </c>
      <c r="CZ18">
        <f>AE18</f>
        <v>0</v>
      </c>
      <c r="DA18">
        <f>AI18</f>
        <v>1</v>
      </c>
      <c r="DB18">
        <f t="shared" si="0"/>
        <v>0</v>
      </c>
      <c r="DC18">
        <f t="shared" si="1"/>
        <v>0</v>
      </c>
    </row>
    <row r="19" spans="1:107">
      <c r="A19">
        <f>ROW(Source!A67)</f>
        <v>67</v>
      </c>
      <c r="B19">
        <v>33806715</v>
      </c>
      <c r="C19">
        <v>33889541</v>
      </c>
      <c r="D19">
        <v>18411117</v>
      </c>
      <c r="E19">
        <v>1</v>
      </c>
      <c r="F19">
        <v>1</v>
      </c>
      <c r="G19">
        <v>1</v>
      </c>
      <c r="H19">
        <v>1</v>
      </c>
      <c r="I19" t="s">
        <v>305</v>
      </c>
      <c r="J19" t="s">
        <v>3</v>
      </c>
      <c r="K19" t="s">
        <v>306</v>
      </c>
      <c r="L19">
        <v>1369</v>
      </c>
      <c r="N19">
        <v>1013</v>
      </c>
      <c r="O19" t="s">
        <v>268</v>
      </c>
      <c r="P19" t="s">
        <v>268</v>
      </c>
      <c r="Q19">
        <v>1</v>
      </c>
      <c r="W19">
        <v>0</v>
      </c>
      <c r="X19">
        <v>-1739886638</v>
      </c>
      <c r="Y19">
        <v>10.3385</v>
      </c>
      <c r="AA19">
        <v>0</v>
      </c>
      <c r="AB19">
        <v>0</v>
      </c>
      <c r="AC19">
        <v>0</v>
      </c>
      <c r="AD19">
        <v>314.08999999999997</v>
      </c>
      <c r="AE19">
        <v>0</v>
      </c>
      <c r="AF19">
        <v>0</v>
      </c>
      <c r="AG19">
        <v>0</v>
      </c>
      <c r="AH19">
        <v>314.08999999999997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8.99</v>
      </c>
      <c r="AU19" t="s">
        <v>75</v>
      </c>
      <c r="AV19">
        <v>1</v>
      </c>
      <c r="AW19">
        <v>2</v>
      </c>
      <c r="AX19">
        <v>33889542</v>
      </c>
      <c r="AY19">
        <v>2</v>
      </c>
      <c r="AZ19">
        <v>131072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Y19*Source!I67</f>
        <v>1.0338499999999999</v>
      </c>
      <c r="CY19">
        <f>AD19</f>
        <v>314.08999999999997</v>
      </c>
      <c r="CZ19">
        <f>AH19</f>
        <v>314.08999999999997</v>
      </c>
      <c r="DA19">
        <f>AL19</f>
        <v>1</v>
      </c>
      <c r="DB19">
        <f>ROUND((ROUND(AT19*CZ19,2)*1.15),6)</f>
        <v>3247.2204999999999</v>
      </c>
      <c r="DC19">
        <f>ROUND((ROUND(AT19*AG19,2)*1.15),6)</f>
        <v>0</v>
      </c>
    </row>
    <row r="20" spans="1:107">
      <c r="A20">
        <f>ROW(Source!A67)</f>
        <v>67</v>
      </c>
      <c r="B20">
        <v>33806715</v>
      </c>
      <c r="C20">
        <v>33889541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86</v>
      </c>
      <c r="J20" t="s">
        <v>3</v>
      </c>
      <c r="K20" t="s">
        <v>269</v>
      </c>
      <c r="L20">
        <v>608254</v>
      </c>
      <c r="N20">
        <v>1013</v>
      </c>
      <c r="O20" t="s">
        <v>270</v>
      </c>
      <c r="P20" t="s">
        <v>270</v>
      </c>
      <c r="Q20">
        <v>1</v>
      </c>
      <c r="W20">
        <v>0</v>
      </c>
      <c r="X20">
        <v>-185737400</v>
      </c>
      <c r="Y20">
        <v>8.7500000000000008E-2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7.0000000000000007E-2</v>
      </c>
      <c r="AU20" t="s">
        <v>74</v>
      </c>
      <c r="AV20">
        <v>2</v>
      </c>
      <c r="AW20">
        <v>2</v>
      </c>
      <c r="AX20">
        <v>33889543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Y20*Source!I67</f>
        <v>8.7500000000000008E-3</v>
      </c>
      <c r="CY20">
        <f>AD20</f>
        <v>0</v>
      </c>
      <c r="CZ20">
        <f>AH20</f>
        <v>0</v>
      </c>
      <c r="DA20">
        <f>AL20</f>
        <v>1</v>
      </c>
      <c r="DB20">
        <f>ROUND((ROUND(AT20*CZ20,2)*1.25),6)</f>
        <v>0</v>
      </c>
      <c r="DC20">
        <f>ROUND((ROUND(AT20*AG20,2)*1.25),6)</f>
        <v>0</v>
      </c>
    </row>
    <row r="21" spans="1:107">
      <c r="A21">
        <f>ROW(Source!A67)</f>
        <v>67</v>
      </c>
      <c r="B21">
        <v>33806715</v>
      </c>
      <c r="C21">
        <v>33889541</v>
      </c>
      <c r="D21">
        <v>29172556</v>
      </c>
      <c r="E21">
        <v>1</v>
      </c>
      <c r="F21">
        <v>1</v>
      </c>
      <c r="G21">
        <v>1</v>
      </c>
      <c r="H21">
        <v>2</v>
      </c>
      <c r="I21" t="s">
        <v>293</v>
      </c>
      <c r="J21" t="s">
        <v>294</v>
      </c>
      <c r="K21" t="s">
        <v>295</v>
      </c>
      <c r="L21">
        <v>1368</v>
      </c>
      <c r="N21">
        <v>1011</v>
      </c>
      <c r="O21" t="s">
        <v>274</v>
      </c>
      <c r="P21" t="s">
        <v>274</v>
      </c>
      <c r="Q21">
        <v>1</v>
      </c>
      <c r="W21">
        <v>0</v>
      </c>
      <c r="X21">
        <v>-1302720870</v>
      </c>
      <c r="Y21">
        <v>8.7500000000000008E-2</v>
      </c>
      <c r="AA21">
        <v>0</v>
      </c>
      <c r="AB21">
        <v>451.71</v>
      </c>
      <c r="AC21">
        <v>444.29</v>
      </c>
      <c r="AD21">
        <v>0</v>
      </c>
      <c r="AE21">
        <v>0</v>
      </c>
      <c r="AF21">
        <v>31.26</v>
      </c>
      <c r="AG21">
        <v>13.5</v>
      </c>
      <c r="AH21">
        <v>0</v>
      </c>
      <c r="AI21">
        <v>1</v>
      </c>
      <c r="AJ21">
        <v>14.45</v>
      </c>
      <c r="AK21">
        <v>32.909999999999997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7.0000000000000007E-2</v>
      </c>
      <c r="AU21" t="s">
        <v>74</v>
      </c>
      <c r="AV21">
        <v>0</v>
      </c>
      <c r="AW21">
        <v>2</v>
      </c>
      <c r="AX21">
        <v>33889544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Y21*Source!I67</f>
        <v>8.7500000000000008E-3</v>
      </c>
      <c r="CY21">
        <f>AB21</f>
        <v>451.71</v>
      </c>
      <c r="CZ21">
        <f>AF21</f>
        <v>31.26</v>
      </c>
      <c r="DA21">
        <f>AJ21</f>
        <v>14.45</v>
      </c>
      <c r="DB21">
        <f>ROUND((ROUND(AT21*CZ21,2)*1.25),6)</f>
        <v>2.7374999999999998</v>
      </c>
      <c r="DC21">
        <f>ROUND((ROUND(AT21*AG21,2)*1.25),6)</f>
        <v>1.1875</v>
      </c>
    </row>
    <row r="22" spans="1:107">
      <c r="A22">
        <f>ROW(Source!A67)</f>
        <v>67</v>
      </c>
      <c r="B22">
        <v>33806715</v>
      </c>
      <c r="C22">
        <v>33889541</v>
      </c>
      <c r="D22">
        <v>29174500</v>
      </c>
      <c r="E22">
        <v>1</v>
      </c>
      <c r="F22">
        <v>1</v>
      </c>
      <c r="G22">
        <v>1</v>
      </c>
      <c r="H22">
        <v>2</v>
      </c>
      <c r="I22" t="s">
        <v>307</v>
      </c>
      <c r="J22" t="s">
        <v>308</v>
      </c>
      <c r="K22" t="s">
        <v>309</v>
      </c>
      <c r="L22">
        <v>1368</v>
      </c>
      <c r="N22">
        <v>1011</v>
      </c>
      <c r="O22" t="s">
        <v>274</v>
      </c>
      <c r="P22" t="s">
        <v>274</v>
      </c>
      <c r="Q22">
        <v>1</v>
      </c>
      <c r="W22">
        <v>0</v>
      </c>
      <c r="X22">
        <v>-239831557</v>
      </c>
      <c r="Y22">
        <v>0.25</v>
      </c>
      <c r="AA22">
        <v>0</v>
      </c>
      <c r="AB22">
        <v>7.33</v>
      </c>
      <c r="AC22">
        <v>0</v>
      </c>
      <c r="AD22">
        <v>0</v>
      </c>
      <c r="AE22">
        <v>0</v>
      </c>
      <c r="AF22">
        <v>1.95</v>
      </c>
      <c r="AG22">
        <v>0</v>
      </c>
      <c r="AH22">
        <v>0</v>
      </c>
      <c r="AI22">
        <v>1</v>
      </c>
      <c r="AJ22">
        <v>3.76</v>
      </c>
      <c r="AK22">
        <v>32.909999999999997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0.2</v>
      </c>
      <c r="AU22" t="s">
        <v>74</v>
      </c>
      <c r="AV22">
        <v>0</v>
      </c>
      <c r="AW22">
        <v>2</v>
      </c>
      <c r="AX22">
        <v>33889545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Y22*Source!I67</f>
        <v>2.5000000000000001E-2</v>
      </c>
      <c r="CY22">
        <f>AB22</f>
        <v>7.33</v>
      </c>
      <c r="CZ22">
        <f>AF22</f>
        <v>1.95</v>
      </c>
      <c r="DA22">
        <f>AJ22</f>
        <v>3.76</v>
      </c>
      <c r="DB22">
        <f>ROUND((ROUND(AT22*CZ22,2)*1.25),6)</f>
        <v>0.48749999999999999</v>
      </c>
      <c r="DC22">
        <f>ROUND((ROUND(AT22*AG22,2)*1.25),6)</f>
        <v>0</v>
      </c>
    </row>
    <row r="23" spans="1:107">
      <c r="A23">
        <f>ROW(Source!A67)</f>
        <v>67</v>
      </c>
      <c r="B23">
        <v>33806715</v>
      </c>
      <c r="C23">
        <v>33889541</v>
      </c>
      <c r="D23">
        <v>29174913</v>
      </c>
      <c r="E23">
        <v>1</v>
      </c>
      <c r="F23">
        <v>1</v>
      </c>
      <c r="G23">
        <v>1</v>
      </c>
      <c r="H23">
        <v>2</v>
      </c>
      <c r="I23" t="s">
        <v>278</v>
      </c>
      <c r="J23" t="s">
        <v>279</v>
      </c>
      <c r="K23" t="s">
        <v>280</v>
      </c>
      <c r="L23">
        <v>1368</v>
      </c>
      <c r="N23">
        <v>1011</v>
      </c>
      <c r="O23" t="s">
        <v>274</v>
      </c>
      <c r="P23" t="s">
        <v>274</v>
      </c>
      <c r="Q23">
        <v>1</v>
      </c>
      <c r="W23">
        <v>0</v>
      </c>
      <c r="X23">
        <v>458544584</v>
      </c>
      <c r="Y23">
        <v>0.17500000000000002</v>
      </c>
      <c r="AA23">
        <v>0</v>
      </c>
      <c r="AB23">
        <v>918.77</v>
      </c>
      <c r="AC23">
        <v>381.76</v>
      </c>
      <c r="AD23">
        <v>0</v>
      </c>
      <c r="AE23">
        <v>0</v>
      </c>
      <c r="AF23">
        <v>87.17</v>
      </c>
      <c r="AG23">
        <v>11.6</v>
      </c>
      <c r="AH23">
        <v>0</v>
      </c>
      <c r="AI23">
        <v>1</v>
      </c>
      <c r="AJ23">
        <v>10.54</v>
      </c>
      <c r="AK23">
        <v>32.909999999999997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0.14000000000000001</v>
      </c>
      <c r="AU23" t="s">
        <v>74</v>
      </c>
      <c r="AV23">
        <v>0</v>
      </c>
      <c r="AW23">
        <v>2</v>
      </c>
      <c r="AX23">
        <v>33889546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Y23*Source!I67</f>
        <v>1.7500000000000002E-2</v>
      </c>
      <c r="CY23">
        <f>AB23</f>
        <v>918.77</v>
      </c>
      <c r="CZ23">
        <f>AF23</f>
        <v>87.17</v>
      </c>
      <c r="DA23">
        <f>AJ23</f>
        <v>10.54</v>
      </c>
      <c r="DB23">
        <f>ROUND((ROUND(AT23*CZ23,2)*1.25),6)</f>
        <v>15.25</v>
      </c>
      <c r="DC23">
        <f>ROUND((ROUND(AT23*AG23,2)*1.25),6)</f>
        <v>2.0249999999999999</v>
      </c>
    </row>
    <row r="24" spans="1:107">
      <c r="A24">
        <f>ROW(Source!A67)</f>
        <v>67</v>
      </c>
      <c r="B24">
        <v>33806715</v>
      </c>
      <c r="C24">
        <v>33889541</v>
      </c>
      <c r="D24">
        <v>29107886</v>
      </c>
      <c r="E24">
        <v>1</v>
      </c>
      <c r="F24">
        <v>1</v>
      </c>
      <c r="G24">
        <v>1</v>
      </c>
      <c r="H24">
        <v>3</v>
      </c>
      <c r="I24" t="s">
        <v>310</v>
      </c>
      <c r="J24" t="s">
        <v>311</v>
      </c>
      <c r="K24" t="s">
        <v>312</v>
      </c>
      <c r="L24">
        <v>1348</v>
      </c>
      <c r="N24">
        <v>1009</v>
      </c>
      <c r="O24" t="s">
        <v>101</v>
      </c>
      <c r="P24" t="s">
        <v>101</v>
      </c>
      <c r="Q24">
        <v>1000</v>
      </c>
      <c r="W24">
        <v>0</v>
      </c>
      <c r="X24">
        <v>-719107976</v>
      </c>
      <c r="Y24">
        <v>1.4E-3</v>
      </c>
      <c r="AA24">
        <v>139038.85</v>
      </c>
      <c r="AB24">
        <v>0</v>
      </c>
      <c r="AC24">
        <v>0</v>
      </c>
      <c r="AD24">
        <v>0</v>
      </c>
      <c r="AE24">
        <v>30029.99</v>
      </c>
      <c r="AF24">
        <v>0</v>
      </c>
      <c r="AG24">
        <v>0</v>
      </c>
      <c r="AH24">
        <v>0</v>
      </c>
      <c r="AI24">
        <v>4.63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1.4E-3</v>
      </c>
      <c r="AU24" t="s">
        <v>3</v>
      </c>
      <c r="AV24">
        <v>0</v>
      </c>
      <c r="AW24">
        <v>2</v>
      </c>
      <c r="AX24">
        <v>33889547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Y24*Source!I67</f>
        <v>1.4000000000000001E-4</v>
      </c>
      <c r="CY24">
        <f t="shared" ref="CY24:CY32" si="2">AA24</f>
        <v>139038.85</v>
      </c>
      <c r="CZ24">
        <f t="shared" ref="CZ24:CZ32" si="3">AE24</f>
        <v>30029.99</v>
      </c>
      <c r="DA24">
        <f t="shared" ref="DA24:DA32" si="4">AI24</f>
        <v>4.63</v>
      </c>
      <c r="DB24">
        <f t="shared" ref="DB24:DB32" si="5">ROUND(ROUND(AT24*CZ24,2),6)</f>
        <v>42.04</v>
      </c>
      <c r="DC24">
        <f t="shared" ref="DC24:DC32" si="6">ROUND(ROUND(AT24*AG24,2),6)</f>
        <v>0</v>
      </c>
    </row>
    <row r="25" spans="1:107">
      <c r="A25">
        <f>ROW(Source!A67)</f>
        <v>67</v>
      </c>
      <c r="B25">
        <v>33806715</v>
      </c>
      <c r="C25">
        <v>33889541</v>
      </c>
      <c r="D25">
        <v>29110398</v>
      </c>
      <c r="E25">
        <v>1</v>
      </c>
      <c r="F25">
        <v>1</v>
      </c>
      <c r="G25">
        <v>1</v>
      </c>
      <c r="H25">
        <v>3</v>
      </c>
      <c r="I25" t="s">
        <v>313</v>
      </c>
      <c r="J25" t="s">
        <v>314</v>
      </c>
      <c r="K25" t="s">
        <v>315</v>
      </c>
      <c r="L25">
        <v>1348</v>
      </c>
      <c r="N25">
        <v>1009</v>
      </c>
      <c r="O25" t="s">
        <v>101</v>
      </c>
      <c r="P25" t="s">
        <v>101</v>
      </c>
      <c r="Q25">
        <v>1000</v>
      </c>
      <c r="W25">
        <v>0</v>
      </c>
      <c r="X25">
        <v>-1693990939</v>
      </c>
      <c r="Y25">
        <v>4.0000000000000002E-4</v>
      </c>
      <c r="AA25">
        <v>51858.14</v>
      </c>
      <c r="AB25">
        <v>0</v>
      </c>
      <c r="AC25">
        <v>0</v>
      </c>
      <c r="AD25">
        <v>0</v>
      </c>
      <c r="AE25">
        <v>15118.99</v>
      </c>
      <c r="AF25">
        <v>0</v>
      </c>
      <c r="AG25">
        <v>0</v>
      </c>
      <c r="AH25">
        <v>0</v>
      </c>
      <c r="AI25">
        <v>3.43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4.0000000000000002E-4</v>
      </c>
      <c r="AU25" t="s">
        <v>3</v>
      </c>
      <c r="AV25">
        <v>0</v>
      </c>
      <c r="AW25">
        <v>2</v>
      </c>
      <c r="AX25">
        <v>33889548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Y25*Source!I67</f>
        <v>4.0000000000000003E-5</v>
      </c>
      <c r="CY25">
        <f t="shared" si="2"/>
        <v>51858.14</v>
      </c>
      <c r="CZ25">
        <f t="shared" si="3"/>
        <v>15118.99</v>
      </c>
      <c r="DA25">
        <f t="shared" si="4"/>
        <v>3.43</v>
      </c>
      <c r="DB25">
        <f t="shared" si="5"/>
        <v>6.05</v>
      </c>
      <c r="DC25">
        <f t="shared" si="6"/>
        <v>0</v>
      </c>
    </row>
    <row r="26" spans="1:107">
      <c r="A26">
        <f>ROW(Source!A67)</f>
        <v>67</v>
      </c>
      <c r="B26">
        <v>33806715</v>
      </c>
      <c r="C26">
        <v>33889541</v>
      </c>
      <c r="D26">
        <v>29110573</v>
      </c>
      <c r="E26">
        <v>1</v>
      </c>
      <c r="F26">
        <v>1</v>
      </c>
      <c r="G26">
        <v>1</v>
      </c>
      <c r="H26">
        <v>3</v>
      </c>
      <c r="I26" t="s">
        <v>316</v>
      </c>
      <c r="J26" t="s">
        <v>317</v>
      </c>
      <c r="K26" t="s">
        <v>318</v>
      </c>
      <c r="L26">
        <v>1348</v>
      </c>
      <c r="N26">
        <v>1009</v>
      </c>
      <c r="O26" t="s">
        <v>101</v>
      </c>
      <c r="P26" t="s">
        <v>101</v>
      </c>
      <c r="Q26">
        <v>1000</v>
      </c>
      <c r="W26">
        <v>0</v>
      </c>
      <c r="X26">
        <v>-1393116995</v>
      </c>
      <c r="Y26">
        <v>2.0000000000000001E-4</v>
      </c>
      <c r="AA26">
        <v>66613.5</v>
      </c>
      <c r="AB26">
        <v>0</v>
      </c>
      <c r="AC26">
        <v>0</v>
      </c>
      <c r="AD26">
        <v>0</v>
      </c>
      <c r="AE26">
        <v>16950</v>
      </c>
      <c r="AF26">
        <v>0</v>
      </c>
      <c r="AG26">
        <v>0</v>
      </c>
      <c r="AH26">
        <v>0</v>
      </c>
      <c r="AI26">
        <v>3.93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33889549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Y26*Source!I67</f>
        <v>2.0000000000000002E-5</v>
      </c>
      <c r="CY26">
        <f t="shared" si="2"/>
        <v>66613.5</v>
      </c>
      <c r="CZ26">
        <f t="shared" si="3"/>
        <v>16950</v>
      </c>
      <c r="DA26">
        <f t="shared" si="4"/>
        <v>3.93</v>
      </c>
      <c r="DB26">
        <f t="shared" si="5"/>
        <v>3.39</v>
      </c>
      <c r="DC26">
        <f t="shared" si="6"/>
        <v>0</v>
      </c>
    </row>
    <row r="27" spans="1:107">
      <c r="A27">
        <f>ROW(Source!A67)</f>
        <v>67</v>
      </c>
      <c r="B27">
        <v>33806715</v>
      </c>
      <c r="C27">
        <v>33889541</v>
      </c>
      <c r="D27">
        <v>29109252</v>
      </c>
      <c r="E27">
        <v>1</v>
      </c>
      <c r="F27">
        <v>1</v>
      </c>
      <c r="G27">
        <v>1</v>
      </c>
      <c r="H27">
        <v>3</v>
      </c>
      <c r="I27" t="s">
        <v>319</v>
      </c>
      <c r="J27" t="s">
        <v>320</v>
      </c>
      <c r="K27" t="s">
        <v>321</v>
      </c>
      <c r="L27">
        <v>1348</v>
      </c>
      <c r="N27">
        <v>1009</v>
      </c>
      <c r="O27" t="s">
        <v>101</v>
      </c>
      <c r="P27" t="s">
        <v>101</v>
      </c>
      <c r="Q27">
        <v>1000</v>
      </c>
      <c r="W27">
        <v>0</v>
      </c>
      <c r="X27">
        <v>-1059240030</v>
      </c>
      <c r="Y27">
        <v>2E-3</v>
      </c>
      <c r="AA27">
        <v>26089.56</v>
      </c>
      <c r="AB27">
        <v>0</v>
      </c>
      <c r="AC27">
        <v>0</v>
      </c>
      <c r="AD27">
        <v>0</v>
      </c>
      <c r="AE27">
        <v>1836</v>
      </c>
      <c r="AF27">
        <v>0</v>
      </c>
      <c r="AG27">
        <v>0</v>
      </c>
      <c r="AH27">
        <v>0</v>
      </c>
      <c r="AI27">
        <v>14.21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33889550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Y27*Source!I67</f>
        <v>2.0000000000000001E-4</v>
      </c>
      <c r="CY27">
        <f t="shared" si="2"/>
        <v>26089.56</v>
      </c>
      <c r="CZ27">
        <f t="shared" si="3"/>
        <v>1836</v>
      </c>
      <c r="DA27">
        <f t="shared" si="4"/>
        <v>14.21</v>
      </c>
      <c r="DB27">
        <f t="shared" si="5"/>
        <v>3.67</v>
      </c>
      <c r="DC27">
        <f t="shared" si="6"/>
        <v>0</v>
      </c>
    </row>
    <row r="28" spans="1:107">
      <c r="A28">
        <f>ROW(Source!A67)</f>
        <v>67</v>
      </c>
      <c r="B28">
        <v>33806715</v>
      </c>
      <c r="C28">
        <v>33889541</v>
      </c>
      <c r="D28">
        <v>29107963</v>
      </c>
      <c r="E28">
        <v>1</v>
      </c>
      <c r="F28">
        <v>1</v>
      </c>
      <c r="G28">
        <v>1</v>
      </c>
      <c r="H28">
        <v>3</v>
      </c>
      <c r="I28" t="s">
        <v>322</v>
      </c>
      <c r="J28" t="s">
        <v>323</v>
      </c>
      <c r="K28" t="s">
        <v>324</v>
      </c>
      <c r="L28">
        <v>1346</v>
      </c>
      <c r="N28">
        <v>1009</v>
      </c>
      <c r="O28" t="s">
        <v>84</v>
      </c>
      <c r="P28" t="s">
        <v>84</v>
      </c>
      <c r="Q28">
        <v>1</v>
      </c>
      <c r="W28">
        <v>0</v>
      </c>
      <c r="X28">
        <v>-319904754</v>
      </c>
      <c r="Y28">
        <v>0.02</v>
      </c>
      <c r="AA28">
        <v>77.56</v>
      </c>
      <c r="AB28">
        <v>0</v>
      </c>
      <c r="AC28">
        <v>0</v>
      </c>
      <c r="AD28">
        <v>0</v>
      </c>
      <c r="AE28">
        <v>37.29</v>
      </c>
      <c r="AF28">
        <v>0</v>
      </c>
      <c r="AG28">
        <v>0</v>
      </c>
      <c r="AH28">
        <v>0</v>
      </c>
      <c r="AI28">
        <v>2.08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0.02</v>
      </c>
      <c r="AU28" t="s">
        <v>3</v>
      </c>
      <c r="AV28">
        <v>0</v>
      </c>
      <c r="AW28">
        <v>2</v>
      </c>
      <c r="AX28">
        <v>33889551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Y28*Source!I67</f>
        <v>2E-3</v>
      </c>
      <c r="CY28">
        <f t="shared" si="2"/>
        <v>77.56</v>
      </c>
      <c r="CZ28">
        <f t="shared" si="3"/>
        <v>37.29</v>
      </c>
      <c r="DA28">
        <f t="shared" si="4"/>
        <v>2.08</v>
      </c>
      <c r="DB28">
        <f t="shared" si="5"/>
        <v>0.75</v>
      </c>
      <c r="DC28">
        <f t="shared" si="6"/>
        <v>0</v>
      </c>
    </row>
    <row r="29" spans="1:107">
      <c r="A29">
        <f>ROW(Source!A67)</f>
        <v>67</v>
      </c>
      <c r="B29">
        <v>33806715</v>
      </c>
      <c r="C29">
        <v>33889541</v>
      </c>
      <c r="D29">
        <v>29107847</v>
      </c>
      <c r="E29">
        <v>1</v>
      </c>
      <c r="F29">
        <v>1</v>
      </c>
      <c r="G29">
        <v>1</v>
      </c>
      <c r="H29">
        <v>3</v>
      </c>
      <c r="I29" t="s">
        <v>325</v>
      </c>
      <c r="J29" t="s">
        <v>326</v>
      </c>
      <c r="K29" t="s">
        <v>327</v>
      </c>
      <c r="L29">
        <v>1346</v>
      </c>
      <c r="N29">
        <v>1009</v>
      </c>
      <c r="O29" t="s">
        <v>84</v>
      </c>
      <c r="P29" t="s">
        <v>84</v>
      </c>
      <c r="Q29">
        <v>1</v>
      </c>
      <c r="W29">
        <v>0</v>
      </c>
      <c r="X29">
        <v>557101164</v>
      </c>
      <c r="Y29">
        <v>2</v>
      </c>
      <c r="AA29">
        <v>43.82</v>
      </c>
      <c r="AB29">
        <v>0</v>
      </c>
      <c r="AC29">
        <v>0</v>
      </c>
      <c r="AD29">
        <v>0</v>
      </c>
      <c r="AE29">
        <v>9.61</v>
      </c>
      <c r="AF29">
        <v>0</v>
      </c>
      <c r="AG29">
        <v>0</v>
      </c>
      <c r="AH29">
        <v>0</v>
      </c>
      <c r="AI29">
        <v>4.5599999999999996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2</v>
      </c>
      <c r="AU29" t="s">
        <v>3</v>
      </c>
      <c r="AV29">
        <v>0</v>
      </c>
      <c r="AW29">
        <v>2</v>
      </c>
      <c r="AX29">
        <v>33889552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Y29*Source!I67</f>
        <v>0.2</v>
      </c>
      <c r="CY29">
        <f t="shared" si="2"/>
        <v>43.82</v>
      </c>
      <c r="CZ29">
        <f t="shared" si="3"/>
        <v>9.61</v>
      </c>
      <c r="DA29">
        <f t="shared" si="4"/>
        <v>4.5599999999999996</v>
      </c>
      <c r="DB29">
        <f t="shared" si="5"/>
        <v>19.22</v>
      </c>
      <c r="DC29">
        <f t="shared" si="6"/>
        <v>0</v>
      </c>
    </row>
    <row r="30" spans="1:107">
      <c r="A30">
        <f>ROW(Source!A67)</f>
        <v>67</v>
      </c>
      <c r="B30">
        <v>33806715</v>
      </c>
      <c r="C30">
        <v>33889541</v>
      </c>
      <c r="D30">
        <v>29114696</v>
      </c>
      <c r="E30">
        <v>1</v>
      </c>
      <c r="F30">
        <v>1</v>
      </c>
      <c r="G30">
        <v>1</v>
      </c>
      <c r="H30">
        <v>3</v>
      </c>
      <c r="I30" t="s">
        <v>328</v>
      </c>
      <c r="J30" t="s">
        <v>329</v>
      </c>
      <c r="K30" t="s">
        <v>330</v>
      </c>
      <c r="L30">
        <v>1348</v>
      </c>
      <c r="N30">
        <v>1009</v>
      </c>
      <c r="O30" t="s">
        <v>101</v>
      </c>
      <c r="P30" t="s">
        <v>101</v>
      </c>
      <c r="Q30">
        <v>1000</v>
      </c>
      <c r="W30">
        <v>0</v>
      </c>
      <c r="X30">
        <v>780798500</v>
      </c>
      <c r="Y30">
        <v>6.9999999999999999E-4</v>
      </c>
      <c r="AA30">
        <v>102717.5</v>
      </c>
      <c r="AB30">
        <v>0</v>
      </c>
      <c r="AC30">
        <v>0</v>
      </c>
      <c r="AD30">
        <v>0</v>
      </c>
      <c r="AE30">
        <v>11350</v>
      </c>
      <c r="AF30">
        <v>0</v>
      </c>
      <c r="AG30">
        <v>0</v>
      </c>
      <c r="AH30">
        <v>0</v>
      </c>
      <c r="AI30">
        <v>9.0500000000000007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6.9999999999999999E-4</v>
      </c>
      <c r="AU30" t="s">
        <v>3</v>
      </c>
      <c r="AV30">
        <v>0</v>
      </c>
      <c r="AW30">
        <v>2</v>
      </c>
      <c r="AX30">
        <v>33889553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Y30*Source!I67</f>
        <v>7.0000000000000007E-5</v>
      </c>
      <c r="CY30">
        <f t="shared" si="2"/>
        <v>102717.5</v>
      </c>
      <c r="CZ30">
        <f t="shared" si="3"/>
        <v>11350</v>
      </c>
      <c r="DA30">
        <f t="shared" si="4"/>
        <v>9.0500000000000007</v>
      </c>
      <c r="DB30">
        <f t="shared" si="5"/>
        <v>7.95</v>
      </c>
      <c r="DC30">
        <f t="shared" si="6"/>
        <v>0</v>
      </c>
    </row>
    <row r="31" spans="1:107">
      <c r="A31">
        <f>ROW(Source!A67)</f>
        <v>67</v>
      </c>
      <c r="B31">
        <v>33806715</v>
      </c>
      <c r="C31">
        <v>33889541</v>
      </c>
      <c r="D31">
        <v>29114474</v>
      </c>
      <c r="E31">
        <v>1</v>
      </c>
      <c r="F31">
        <v>1</v>
      </c>
      <c r="G31">
        <v>1</v>
      </c>
      <c r="H31">
        <v>3</v>
      </c>
      <c r="I31" t="s">
        <v>331</v>
      </c>
      <c r="J31" t="s">
        <v>332</v>
      </c>
      <c r="K31" t="s">
        <v>333</v>
      </c>
      <c r="L31">
        <v>1358</v>
      </c>
      <c r="N31">
        <v>1010</v>
      </c>
      <c r="O31" t="s">
        <v>113</v>
      </c>
      <c r="P31" t="s">
        <v>113</v>
      </c>
      <c r="Q31">
        <v>10</v>
      </c>
      <c r="W31">
        <v>0</v>
      </c>
      <c r="X31">
        <v>-937517064</v>
      </c>
      <c r="Y31">
        <v>4</v>
      </c>
      <c r="AA31">
        <v>2.46</v>
      </c>
      <c r="AB31">
        <v>0</v>
      </c>
      <c r="AC31">
        <v>0</v>
      </c>
      <c r="AD31">
        <v>0</v>
      </c>
      <c r="AE31">
        <v>2</v>
      </c>
      <c r="AF31">
        <v>0</v>
      </c>
      <c r="AG31">
        <v>0</v>
      </c>
      <c r="AH31">
        <v>0</v>
      </c>
      <c r="AI31">
        <v>1.23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4</v>
      </c>
      <c r="AU31" t="s">
        <v>3</v>
      </c>
      <c r="AV31">
        <v>0</v>
      </c>
      <c r="AW31">
        <v>2</v>
      </c>
      <c r="AX31">
        <v>33889554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Y31*Source!I67</f>
        <v>0.4</v>
      </c>
      <c r="CY31">
        <f t="shared" si="2"/>
        <v>2.46</v>
      </c>
      <c r="CZ31">
        <f t="shared" si="3"/>
        <v>2</v>
      </c>
      <c r="DA31">
        <f t="shared" si="4"/>
        <v>1.23</v>
      </c>
      <c r="DB31">
        <f t="shared" si="5"/>
        <v>8</v>
      </c>
      <c r="DC31">
        <f t="shared" si="6"/>
        <v>0</v>
      </c>
    </row>
    <row r="32" spans="1:107">
      <c r="A32">
        <f>ROW(Source!A67)</f>
        <v>67</v>
      </c>
      <c r="B32">
        <v>33806715</v>
      </c>
      <c r="C32">
        <v>33889541</v>
      </c>
      <c r="D32">
        <v>29142382</v>
      </c>
      <c r="E32">
        <v>1</v>
      </c>
      <c r="F32">
        <v>1</v>
      </c>
      <c r="G32">
        <v>1</v>
      </c>
      <c r="H32">
        <v>3</v>
      </c>
      <c r="I32" t="s">
        <v>334</v>
      </c>
      <c r="J32" t="s">
        <v>335</v>
      </c>
      <c r="K32" t="s">
        <v>336</v>
      </c>
      <c r="L32">
        <v>1035</v>
      </c>
      <c r="N32">
        <v>1013</v>
      </c>
      <c r="O32" t="s">
        <v>337</v>
      </c>
      <c r="P32" t="s">
        <v>337</v>
      </c>
      <c r="Q32">
        <v>1</v>
      </c>
      <c r="W32">
        <v>0</v>
      </c>
      <c r="X32">
        <v>-1250524407</v>
      </c>
      <c r="Y32">
        <v>10</v>
      </c>
      <c r="AA32">
        <v>585.79</v>
      </c>
      <c r="AB32">
        <v>0</v>
      </c>
      <c r="AC32">
        <v>0</v>
      </c>
      <c r="AD32">
        <v>0</v>
      </c>
      <c r="AE32">
        <v>101.7</v>
      </c>
      <c r="AF32">
        <v>0</v>
      </c>
      <c r="AG32">
        <v>0</v>
      </c>
      <c r="AH32">
        <v>0</v>
      </c>
      <c r="AI32">
        <v>5.76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10</v>
      </c>
      <c r="AU32" t="s">
        <v>3</v>
      </c>
      <c r="AV32">
        <v>0</v>
      </c>
      <c r="AW32">
        <v>2</v>
      </c>
      <c r="AX32">
        <v>33889555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Y32*Source!I67</f>
        <v>1</v>
      </c>
      <c r="CY32">
        <f t="shared" si="2"/>
        <v>585.79</v>
      </c>
      <c r="CZ32">
        <f t="shared" si="3"/>
        <v>101.7</v>
      </c>
      <c r="DA32">
        <f t="shared" si="4"/>
        <v>5.76</v>
      </c>
      <c r="DB32">
        <f t="shared" si="5"/>
        <v>1017</v>
      </c>
      <c r="DC32">
        <f t="shared" si="6"/>
        <v>0</v>
      </c>
    </row>
    <row r="33" spans="1:107">
      <c r="A33">
        <f>ROW(Source!A68)</f>
        <v>68</v>
      </c>
      <c r="B33">
        <v>33806715</v>
      </c>
      <c r="C33">
        <v>33889659</v>
      </c>
      <c r="D33">
        <v>18411117</v>
      </c>
      <c r="E33">
        <v>1</v>
      </c>
      <c r="F33">
        <v>1</v>
      </c>
      <c r="G33">
        <v>1</v>
      </c>
      <c r="H33">
        <v>1</v>
      </c>
      <c r="I33" t="s">
        <v>305</v>
      </c>
      <c r="J33" t="s">
        <v>3</v>
      </c>
      <c r="K33" t="s">
        <v>306</v>
      </c>
      <c r="L33">
        <v>1369</v>
      </c>
      <c r="N33">
        <v>1013</v>
      </c>
      <c r="O33" t="s">
        <v>268</v>
      </c>
      <c r="P33" t="s">
        <v>268</v>
      </c>
      <c r="Q33">
        <v>1</v>
      </c>
      <c r="W33">
        <v>0</v>
      </c>
      <c r="X33">
        <v>-1739886638</v>
      </c>
      <c r="Y33">
        <v>8.0499999999999989</v>
      </c>
      <c r="AA33">
        <v>0</v>
      </c>
      <c r="AB33">
        <v>0</v>
      </c>
      <c r="AC33">
        <v>0</v>
      </c>
      <c r="AD33">
        <v>314.08999999999997</v>
      </c>
      <c r="AE33">
        <v>0</v>
      </c>
      <c r="AF33">
        <v>0</v>
      </c>
      <c r="AG33">
        <v>0</v>
      </c>
      <c r="AH33">
        <v>314.08999999999997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7</v>
      </c>
      <c r="AU33" t="s">
        <v>75</v>
      </c>
      <c r="AV33">
        <v>1</v>
      </c>
      <c r="AW33">
        <v>2</v>
      </c>
      <c r="AX33">
        <v>33889660</v>
      </c>
      <c r="AY33">
        <v>2</v>
      </c>
      <c r="AZ33">
        <v>131072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Y33*Source!I68</f>
        <v>0.80499999999999994</v>
      </c>
      <c r="CY33">
        <f>AD33</f>
        <v>314.08999999999997</v>
      </c>
      <c r="CZ33">
        <f>AH33</f>
        <v>314.08999999999997</v>
      </c>
      <c r="DA33">
        <f>AL33</f>
        <v>1</v>
      </c>
      <c r="DB33">
        <f>ROUND((ROUND(AT33*CZ33,2)*1.15),6)</f>
        <v>2528.4245000000001</v>
      </c>
      <c r="DC33">
        <f>ROUND((ROUND(AT33*AG33,2)*1.15),6)</f>
        <v>0</v>
      </c>
    </row>
    <row r="34" spans="1:107">
      <c r="A34">
        <f>ROW(Source!A68)</f>
        <v>68</v>
      </c>
      <c r="B34">
        <v>33806715</v>
      </c>
      <c r="C34">
        <v>33889659</v>
      </c>
      <c r="D34">
        <v>29174500</v>
      </c>
      <c r="E34">
        <v>1</v>
      </c>
      <c r="F34">
        <v>1</v>
      </c>
      <c r="G34">
        <v>1</v>
      </c>
      <c r="H34">
        <v>2</v>
      </c>
      <c r="I34" t="s">
        <v>307</v>
      </c>
      <c r="J34" t="s">
        <v>308</v>
      </c>
      <c r="K34" t="s">
        <v>309</v>
      </c>
      <c r="L34">
        <v>1368</v>
      </c>
      <c r="N34">
        <v>1011</v>
      </c>
      <c r="O34" t="s">
        <v>274</v>
      </c>
      <c r="P34" t="s">
        <v>274</v>
      </c>
      <c r="Q34">
        <v>1</v>
      </c>
      <c r="W34">
        <v>0</v>
      </c>
      <c r="X34">
        <v>-239831557</v>
      </c>
      <c r="Y34">
        <v>0.125</v>
      </c>
      <c r="AA34">
        <v>0</v>
      </c>
      <c r="AB34">
        <v>7.33</v>
      </c>
      <c r="AC34">
        <v>0</v>
      </c>
      <c r="AD34">
        <v>0</v>
      </c>
      <c r="AE34">
        <v>0</v>
      </c>
      <c r="AF34">
        <v>1.95</v>
      </c>
      <c r="AG34">
        <v>0</v>
      </c>
      <c r="AH34">
        <v>0</v>
      </c>
      <c r="AI34">
        <v>1</v>
      </c>
      <c r="AJ34">
        <v>3.76</v>
      </c>
      <c r="AK34">
        <v>32.909999999999997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0.1</v>
      </c>
      <c r="AU34" t="s">
        <v>74</v>
      </c>
      <c r="AV34">
        <v>0</v>
      </c>
      <c r="AW34">
        <v>2</v>
      </c>
      <c r="AX34">
        <v>33889661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Y34*Source!I68</f>
        <v>1.2500000000000001E-2</v>
      </c>
      <c r="CY34">
        <f>AB34</f>
        <v>7.33</v>
      </c>
      <c r="CZ34">
        <f>AF34</f>
        <v>1.95</v>
      </c>
      <c r="DA34">
        <f>AJ34</f>
        <v>3.76</v>
      </c>
      <c r="DB34">
        <f>ROUND((ROUND(AT34*CZ34,2)*1.25),6)</f>
        <v>0.25</v>
      </c>
      <c r="DC34">
        <f>ROUND((ROUND(AT34*AG34,2)*1.25),6)</f>
        <v>0</v>
      </c>
    </row>
    <row r="35" spans="1:107">
      <c r="A35">
        <f>ROW(Source!A68)</f>
        <v>68</v>
      </c>
      <c r="B35">
        <v>33806715</v>
      </c>
      <c r="C35">
        <v>33889659</v>
      </c>
      <c r="D35">
        <v>29110398</v>
      </c>
      <c r="E35">
        <v>1</v>
      </c>
      <c r="F35">
        <v>1</v>
      </c>
      <c r="G35">
        <v>1</v>
      </c>
      <c r="H35">
        <v>3</v>
      </c>
      <c r="I35" t="s">
        <v>313</v>
      </c>
      <c r="J35" t="s">
        <v>314</v>
      </c>
      <c r="K35" t="s">
        <v>315</v>
      </c>
      <c r="L35">
        <v>1348</v>
      </c>
      <c r="N35">
        <v>1009</v>
      </c>
      <c r="O35" t="s">
        <v>101</v>
      </c>
      <c r="P35" t="s">
        <v>101</v>
      </c>
      <c r="Q35">
        <v>1000</v>
      </c>
      <c r="W35">
        <v>0</v>
      </c>
      <c r="X35">
        <v>-1693990939</v>
      </c>
      <c r="Y35">
        <v>2.5999999999999998E-4</v>
      </c>
      <c r="AA35">
        <v>51858.14</v>
      </c>
      <c r="AB35">
        <v>0</v>
      </c>
      <c r="AC35">
        <v>0</v>
      </c>
      <c r="AD35">
        <v>0</v>
      </c>
      <c r="AE35">
        <v>15118.99</v>
      </c>
      <c r="AF35">
        <v>0</v>
      </c>
      <c r="AG35">
        <v>0</v>
      </c>
      <c r="AH35">
        <v>0</v>
      </c>
      <c r="AI35">
        <v>3.43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2.5999999999999998E-4</v>
      </c>
      <c r="AU35" t="s">
        <v>3</v>
      </c>
      <c r="AV35">
        <v>0</v>
      </c>
      <c r="AW35">
        <v>2</v>
      </c>
      <c r="AX35">
        <v>33889662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Y35*Source!I68</f>
        <v>2.5999999999999998E-5</v>
      </c>
      <c r="CY35">
        <f t="shared" ref="CY35:CY40" si="7">AA35</f>
        <v>51858.14</v>
      </c>
      <c r="CZ35">
        <f t="shared" ref="CZ35:CZ40" si="8">AE35</f>
        <v>15118.99</v>
      </c>
      <c r="DA35">
        <f t="shared" ref="DA35:DA40" si="9">AI35</f>
        <v>3.43</v>
      </c>
      <c r="DB35">
        <f t="shared" ref="DB35:DB49" si="10">ROUND(ROUND(AT35*CZ35,2),6)</f>
        <v>3.93</v>
      </c>
      <c r="DC35">
        <f t="shared" ref="DC35:DC49" si="11">ROUND(ROUND(AT35*AG35,2),6)</f>
        <v>0</v>
      </c>
    </row>
    <row r="36" spans="1:107">
      <c r="A36">
        <f>ROW(Source!A68)</f>
        <v>68</v>
      </c>
      <c r="B36">
        <v>33806715</v>
      </c>
      <c r="C36">
        <v>33889659</v>
      </c>
      <c r="D36">
        <v>29110573</v>
      </c>
      <c r="E36">
        <v>1</v>
      </c>
      <c r="F36">
        <v>1</v>
      </c>
      <c r="G36">
        <v>1</v>
      </c>
      <c r="H36">
        <v>3</v>
      </c>
      <c r="I36" t="s">
        <v>316</v>
      </c>
      <c r="J36" t="s">
        <v>317</v>
      </c>
      <c r="K36" t="s">
        <v>318</v>
      </c>
      <c r="L36">
        <v>1348</v>
      </c>
      <c r="N36">
        <v>1009</v>
      </c>
      <c r="O36" t="s">
        <v>101</v>
      </c>
      <c r="P36" t="s">
        <v>101</v>
      </c>
      <c r="Q36">
        <v>1000</v>
      </c>
      <c r="W36">
        <v>0</v>
      </c>
      <c r="X36">
        <v>-1393116995</v>
      </c>
      <c r="Y36">
        <v>1.2999999999999999E-4</v>
      </c>
      <c r="AA36">
        <v>66613.5</v>
      </c>
      <c r="AB36">
        <v>0</v>
      </c>
      <c r="AC36">
        <v>0</v>
      </c>
      <c r="AD36">
        <v>0</v>
      </c>
      <c r="AE36">
        <v>16950</v>
      </c>
      <c r="AF36">
        <v>0</v>
      </c>
      <c r="AG36">
        <v>0</v>
      </c>
      <c r="AH36">
        <v>0</v>
      </c>
      <c r="AI36">
        <v>3.93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1.2999999999999999E-4</v>
      </c>
      <c r="AU36" t="s">
        <v>3</v>
      </c>
      <c r="AV36">
        <v>0</v>
      </c>
      <c r="AW36">
        <v>2</v>
      </c>
      <c r="AX36">
        <v>33889663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Y36*Source!I68</f>
        <v>1.2999999999999999E-5</v>
      </c>
      <c r="CY36">
        <f t="shared" si="7"/>
        <v>66613.5</v>
      </c>
      <c r="CZ36">
        <f t="shared" si="8"/>
        <v>16950</v>
      </c>
      <c r="DA36">
        <f t="shared" si="9"/>
        <v>3.93</v>
      </c>
      <c r="DB36">
        <f t="shared" si="10"/>
        <v>2.2000000000000002</v>
      </c>
      <c r="DC36">
        <f t="shared" si="11"/>
        <v>0</v>
      </c>
    </row>
    <row r="37" spans="1:107">
      <c r="A37">
        <f>ROW(Source!A68)</f>
        <v>68</v>
      </c>
      <c r="B37">
        <v>33806715</v>
      </c>
      <c r="C37">
        <v>33889659</v>
      </c>
      <c r="D37">
        <v>29107963</v>
      </c>
      <c r="E37">
        <v>1</v>
      </c>
      <c r="F37">
        <v>1</v>
      </c>
      <c r="G37">
        <v>1</v>
      </c>
      <c r="H37">
        <v>3</v>
      </c>
      <c r="I37" t="s">
        <v>322</v>
      </c>
      <c r="J37" t="s">
        <v>323</v>
      </c>
      <c r="K37" t="s">
        <v>324</v>
      </c>
      <c r="L37">
        <v>1346</v>
      </c>
      <c r="N37">
        <v>1009</v>
      </c>
      <c r="O37" t="s">
        <v>84</v>
      </c>
      <c r="P37" t="s">
        <v>84</v>
      </c>
      <c r="Q37">
        <v>1</v>
      </c>
      <c r="W37">
        <v>0</v>
      </c>
      <c r="X37">
        <v>-319904754</v>
      </c>
      <c r="Y37">
        <v>0.13</v>
      </c>
      <c r="AA37">
        <v>77.56</v>
      </c>
      <c r="AB37">
        <v>0</v>
      </c>
      <c r="AC37">
        <v>0</v>
      </c>
      <c r="AD37">
        <v>0</v>
      </c>
      <c r="AE37">
        <v>37.29</v>
      </c>
      <c r="AF37">
        <v>0</v>
      </c>
      <c r="AG37">
        <v>0</v>
      </c>
      <c r="AH37">
        <v>0</v>
      </c>
      <c r="AI37">
        <v>2.08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0.13</v>
      </c>
      <c r="AU37" t="s">
        <v>3</v>
      </c>
      <c r="AV37">
        <v>0</v>
      </c>
      <c r="AW37">
        <v>2</v>
      </c>
      <c r="AX37">
        <v>33889664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Y37*Source!I68</f>
        <v>1.3000000000000001E-2</v>
      </c>
      <c r="CY37">
        <f t="shared" si="7"/>
        <v>77.56</v>
      </c>
      <c r="CZ37">
        <f t="shared" si="8"/>
        <v>37.29</v>
      </c>
      <c r="DA37">
        <f t="shared" si="9"/>
        <v>2.08</v>
      </c>
      <c r="DB37">
        <f t="shared" si="10"/>
        <v>4.8499999999999996</v>
      </c>
      <c r="DC37">
        <f t="shared" si="11"/>
        <v>0</v>
      </c>
    </row>
    <row r="38" spans="1:107">
      <c r="A38">
        <f>ROW(Source!A68)</f>
        <v>68</v>
      </c>
      <c r="B38">
        <v>33806715</v>
      </c>
      <c r="C38">
        <v>33889659</v>
      </c>
      <c r="D38">
        <v>29114689</v>
      </c>
      <c r="E38">
        <v>1</v>
      </c>
      <c r="F38">
        <v>1</v>
      </c>
      <c r="G38">
        <v>1</v>
      </c>
      <c r="H38">
        <v>3</v>
      </c>
      <c r="I38" t="s">
        <v>338</v>
      </c>
      <c r="J38" t="s">
        <v>339</v>
      </c>
      <c r="K38" t="s">
        <v>340</v>
      </c>
      <c r="L38">
        <v>1348</v>
      </c>
      <c r="N38">
        <v>1009</v>
      </c>
      <c r="O38" t="s">
        <v>101</v>
      </c>
      <c r="P38" t="s">
        <v>101</v>
      </c>
      <c r="Q38">
        <v>1000</v>
      </c>
      <c r="W38">
        <v>0</v>
      </c>
      <c r="X38">
        <v>-900326152</v>
      </c>
      <c r="Y38">
        <v>1E-4</v>
      </c>
      <c r="AA38">
        <v>99191.32</v>
      </c>
      <c r="AB38">
        <v>0</v>
      </c>
      <c r="AC38">
        <v>0</v>
      </c>
      <c r="AD38">
        <v>0</v>
      </c>
      <c r="AE38">
        <v>12429.99</v>
      </c>
      <c r="AF38">
        <v>0</v>
      </c>
      <c r="AG38">
        <v>0</v>
      </c>
      <c r="AH38">
        <v>0</v>
      </c>
      <c r="AI38">
        <v>7.98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1E-4</v>
      </c>
      <c r="AU38" t="s">
        <v>3</v>
      </c>
      <c r="AV38">
        <v>0</v>
      </c>
      <c r="AW38">
        <v>2</v>
      </c>
      <c r="AX38">
        <v>33889665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Y38*Source!I68</f>
        <v>1.0000000000000001E-5</v>
      </c>
      <c r="CY38">
        <f t="shared" si="7"/>
        <v>99191.32</v>
      </c>
      <c r="CZ38">
        <f t="shared" si="8"/>
        <v>12429.99</v>
      </c>
      <c r="DA38">
        <f t="shared" si="9"/>
        <v>7.98</v>
      </c>
      <c r="DB38">
        <f t="shared" si="10"/>
        <v>1.24</v>
      </c>
      <c r="DC38">
        <f t="shared" si="11"/>
        <v>0</v>
      </c>
    </row>
    <row r="39" spans="1:107">
      <c r="A39">
        <f>ROW(Source!A68)</f>
        <v>68</v>
      </c>
      <c r="B39">
        <v>33806715</v>
      </c>
      <c r="C39">
        <v>33889659</v>
      </c>
      <c r="D39">
        <v>29114471</v>
      </c>
      <c r="E39">
        <v>1</v>
      </c>
      <c r="F39">
        <v>1</v>
      </c>
      <c r="G39">
        <v>1</v>
      </c>
      <c r="H39">
        <v>3</v>
      </c>
      <c r="I39" t="s">
        <v>341</v>
      </c>
      <c r="J39" t="s">
        <v>342</v>
      </c>
      <c r="K39" t="s">
        <v>343</v>
      </c>
      <c r="L39">
        <v>1358</v>
      </c>
      <c r="N39">
        <v>1010</v>
      </c>
      <c r="O39" t="s">
        <v>113</v>
      </c>
      <c r="P39" t="s">
        <v>113</v>
      </c>
      <c r="Q39">
        <v>10</v>
      </c>
      <c r="W39">
        <v>0</v>
      </c>
      <c r="X39">
        <v>610395517</v>
      </c>
      <c r="Y39">
        <v>2</v>
      </c>
      <c r="AA39">
        <v>1.55</v>
      </c>
      <c r="AB39">
        <v>0</v>
      </c>
      <c r="AC39">
        <v>0</v>
      </c>
      <c r="AD39">
        <v>0</v>
      </c>
      <c r="AE39">
        <v>1.6</v>
      </c>
      <c r="AF39">
        <v>0</v>
      </c>
      <c r="AG39">
        <v>0</v>
      </c>
      <c r="AH39">
        <v>0</v>
      </c>
      <c r="AI39">
        <v>0.97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2</v>
      </c>
      <c r="AU39" t="s">
        <v>3</v>
      </c>
      <c r="AV39">
        <v>0</v>
      </c>
      <c r="AW39">
        <v>2</v>
      </c>
      <c r="AX39">
        <v>33889666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Y39*Source!I68</f>
        <v>0.2</v>
      </c>
      <c r="CY39">
        <f t="shared" si="7"/>
        <v>1.55</v>
      </c>
      <c r="CZ39">
        <f t="shared" si="8"/>
        <v>1.6</v>
      </c>
      <c r="DA39">
        <f t="shared" si="9"/>
        <v>0.97</v>
      </c>
      <c r="DB39">
        <f t="shared" si="10"/>
        <v>3.2</v>
      </c>
      <c r="DC39">
        <f t="shared" si="11"/>
        <v>0</v>
      </c>
    </row>
    <row r="40" spans="1:107">
      <c r="A40">
        <f>ROW(Source!A68)</f>
        <v>68</v>
      </c>
      <c r="B40">
        <v>33806715</v>
      </c>
      <c r="C40">
        <v>33889659</v>
      </c>
      <c r="D40">
        <v>29142422</v>
      </c>
      <c r="E40">
        <v>1</v>
      </c>
      <c r="F40">
        <v>1</v>
      </c>
      <c r="G40">
        <v>1</v>
      </c>
      <c r="H40">
        <v>3</v>
      </c>
      <c r="I40" t="s">
        <v>344</v>
      </c>
      <c r="J40" t="s">
        <v>345</v>
      </c>
      <c r="K40" t="s">
        <v>346</v>
      </c>
      <c r="L40">
        <v>1354</v>
      </c>
      <c r="N40">
        <v>1010</v>
      </c>
      <c r="O40" t="s">
        <v>347</v>
      </c>
      <c r="P40" t="s">
        <v>347</v>
      </c>
      <c r="Q40">
        <v>1</v>
      </c>
      <c r="W40">
        <v>0</v>
      </c>
      <c r="X40">
        <v>-837193999</v>
      </c>
      <c r="Y40">
        <v>10</v>
      </c>
      <c r="AA40">
        <v>561.99</v>
      </c>
      <c r="AB40">
        <v>0</v>
      </c>
      <c r="AC40">
        <v>0</v>
      </c>
      <c r="AD40">
        <v>0</v>
      </c>
      <c r="AE40">
        <v>143</v>
      </c>
      <c r="AF40">
        <v>0</v>
      </c>
      <c r="AG40">
        <v>0</v>
      </c>
      <c r="AH40">
        <v>0</v>
      </c>
      <c r="AI40">
        <v>3.93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10</v>
      </c>
      <c r="AU40" t="s">
        <v>3</v>
      </c>
      <c r="AV40">
        <v>0</v>
      </c>
      <c r="AW40">
        <v>2</v>
      </c>
      <c r="AX40">
        <v>33889667</v>
      </c>
      <c r="AY40">
        <v>1</v>
      </c>
      <c r="AZ40">
        <v>0</v>
      </c>
      <c r="BA40">
        <v>39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Y40*Source!I68</f>
        <v>1</v>
      </c>
      <c r="CY40">
        <f t="shared" si="7"/>
        <v>561.99</v>
      </c>
      <c r="CZ40">
        <f t="shared" si="8"/>
        <v>143</v>
      </c>
      <c r="DA40">
        <f t="shared" si="9"/>
        <v>3.93</v>
      </c>
      <c r="DB40">
        <f t="shared" si="10"/>
        <v>1430</v>
      </c>
      <c r="DC40">
        <f t="shared" si="11"/>
        <v>0</v>
      </c>
    </row>
    <row r="41" spans="1:107">
      <c r="A41">
        <f>ROW(Source!A69)</f>
        <v>69</v>
      </c>
      <c r="B41">
        <v>33806715</v>
      </c>
      <c r="C41">
        <v>33893397</v>
      </c>
      <c r="D41">
        <v>18410280</v>
      </c>
      <c r="E41">
        <v>1</v>
      </c>
      <c r="F41">
        <v>1</v>
      </c>
      <c r="G41">
        <v>1</v>
      </c>
      <c r="H41">
        <v>1</v>
      </c>
      <c r="I41" t="s">
        <v>348</v>
      </c>
      <c r="J41" t="s">
        <v>3</v>
      </c>
      <c r="K41" t="s">
        <v>349</v>
      </c>
      <c r="L41">
        <v>1369</v>
      </c>
      <c r="N41">
        <v>1013</v>
      </c>
      <c r="O41" t="s">
        <v>268</v>
      </c>
      <c r="P41" t="s">
        <v>268</v>
      </c>
      <c r="Q41">
        <v>1</v>
      </c>
      <c r="W41">
        <v>0</v>
      </c>
      <c r="X41">
        <v>-464685602</v>
      </c>
      <c r="Y41">
        <v>16.29</v>
      </c>
      <c r="AA41">
        <v>0</v>
      </c>
      <c r="AB41">
        <v>0</v>
      </c>
      <c r="AC41">
        <v>0</v>
      </c>
      <c r="AD41">
        <v>310.5</v>
      </c>
      <c r="AE41">
        <v>0</v>
      </c>
      <c r="AF41">
        <v>0</v>
      </c>
      <c r="AG41">
        <v>0</v>
      </c>
      <c r="AH41">
        <v>310.5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16.29</v>
      </c>
      <c r="AU41" t="s">
        <v>3</v>
      </c>
      <c r="AV41">
        <v>1</v>
      </c>
      <c r="AW41">
        <v>2</v>
      </c>
      <c r="AX41">
        <v>33893407</v>
      </c>
      <c r="AY41">
        <v>2</v>
      </c>
      <c r="AZ41">
        <v>131072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Y41*Source!I69</f>
        <v>1.3031999999999999</v>
      </c>
      <c r="CY41">
        <f>AD41</f>
        <v>310.5</v>
      </c>
      <c r="CZ41">
        <f>AH41</f>
        <v>310.5</v>
      </c>
      <c r="DA41">
        <f>AL41</f>
        <v>1</v>
      </c>
      <c r="DB41">
        <f t="shared" si="10"/>
        <v>5058.05</v>
      </c>
      <c r="DC41">
        <f t="shared" si="11"/>
        <v>0</v>
      </c>
    </row>
    <row r="42" spans="1:107">
      <c r="A42">
        <f>ROW(Source!A69)</f>
        <v>69</v>
      </c>
      <c r="B42">
        <v>33806715</v>
      </c>
      <c r="C42">
        <v>33893397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86</v>
      </c>
      <c r="J42" t="s">
        <v>3</v>
      </c>
      <c r="K42" t="s">
        <v>269</v>
      </c>
      <c r="L42">
        <v>608254</v>
      </c>
      <c r="N42">
        <v>1013</v>
      </c>
      <c r="O42" t="s">
        <v>270</v>
      </c>
      <c r="P42" t="s">
        <v>270</v>
      </c>
      <c r="Q42">
        <v>1</v>
      </c>
      <c r="W42">
        <v>0</v>
      </c>
      <c r="X42">
        <v>-185737400</v>
      </c>
      <c r="Y42">
        <v>0.01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0.01</v>
      </c>
      <c r="AU42" t="s">
        <v>3</v>
      </c>
      <c r="AV42">
        <v>2</v>
      </c>
      <c r="AW42">
        <v>2</v>
      </c>
      <c r="AX42">
        <v>33893408</v>
      </c>
      <c r="AY42">
        <v>1</v>
      </c>
      <c r="AZ42">
        <v>0</v>
      </c>
      <c r="BA42">
        <v>41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Y42*Source!I69</f>
        <v>8.0000000000000004E-4</v>
      </c>
      <c r="CY42">
        <f>AD42</f>
        <v>0</v>
      </c>
      <c r="CZ42">
        <f>AH42</f>
        <v>0</v>
      </c>
      <c r="DA42">
        <f>AL42</f>
        <v>1</v>
      </c>
      <c r="DB42">
        <f t="shared" si="10"/>
        <v>0</v>
      </c>
      <c r="DC42">
        <f t="shared" si="11"/>
        <v>0</v>
      </c>
    </row>
    <row r="43" spans="1:107">
      <c r="A43">
        <f>ROW(Source!A69)</f>
        <v>69</v>
      </c>
      <c r="B43">
        <v>33806715</v>
      </c>
      <c r="C43">
        <v>33893397</v>
      </c>
      <c r="D43">
        <v>29172556</v>
      </c>
      <c r="E43">
        <v>1</v>
      </c>
      <c r="F43">
        <v>1</v>
      </c>
      <c r="G43">
        <v>1</v>
      </c>
      <c r="H43">
        <v>2</v>
      </c>
      <c r="I43" t="s">
        <v>293</v>
      </c>
      <c r="J43" t="s">
        <v>294</v>
      </c>
      <c r="K43" t="s">
        <v>295</v>
      </c>
      <c r="L43">
        <v>1368</v>
      </c>
      <c r="N43">
        <v>1011</v>
      </c>
      <c r="O43" t="s">
        <v>274</v>
      </c>
      <c r="P43" t="s">
        <v>274</v>
      </c>
      <c r="Q43">
        <v>1</v>
      </c>
      <c r="W43">
        <v>0</v>
      </c>
      <c r="X43">
        <v>-1302720870</v>
      </c>
      <c r="Y43">
        <v>0.01</v>
      </c>
      <c r="AA43">
        <v>0</v>
      </c>
      <c r="AB43">
        <v>451.71</v>
      </c>
      <c r="AC43">
        <v>444.29</v>
      </c>
      <c r="AD43">
        <v>0</v>
      </c>
      <c r="AE43">
        <v>0</v>
      </c>
      <c r="AF43">
        <v>31.26</v>
      </c>
      <c r="AG43">
        <v>13.5</v>
      </c>
      <c r="AH43">
        <v>0</v>
      </c>
      <c r="AI43">
        <v>1</v>
      </c>
      <c r="AJ43">
        <v>14.45</v>
      </c>
      <c r="AK43">
        <v>32.909999999999997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0.01</v>
      </c>
      <c r="AU43" t="s">
        <v>3</v>
      </c>
      <c r="AV43">
        <v>0</v>
      </c>
      <c r="AW43">
        <v>2</v>
      </c>
      <c r="AX43">
        <v>33893409</v>
      </c>
      <c r="AY43">
        <v>1</v>
      </c>
      <c r="AZ43">
        <v>0</v>
      </c>
      <c r="BA43">
        <v>42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Y43*Source!I69</f>
        <v>8.0000000000000004E-4</v>
      </c>
      <c r="CY43">
        <f>AB43</f>
        <v>451.71</v>
      </c>
      <c r="CZ43">
        <f>AF43</f>
        <v>31.26</v>
      </c>
      <c r="DA43">
        <f>AJ43</f>
        <v>14.45</v>
      </c>
      <c r="DB43">
        <f t="shared" si="10"/>
        <v>0.31</v>
      </c>
      <c r="DC43">
        <f t="shared" si="11"/>
        <v>0.14000000000000001</v>
      </c>
    </row>
    <row r="44" spans="1:107">
      <c r="A44">
        <f>ROW(Source!A69)</f>
        <v>69</v>
      </c>
      <c r="B44">
        <v>33806715</v>
      </c>
      <c r="C44">
        <v>33893397</v>
      </c>
      <c r="D44">
        <v>29173472</v>
      </c>
      <c r="E44">
        <v>1</v>
      </c>
      <c r="F44">
        <v>1</v>
      </c>
      <c r="G44">
        <v>1</v>
      </c>
      <c r="H44">
        <v>2</v>
      </c>
      <c r="I44" t="s">
        <v>350</v>
      </c>
      <c r="J44" t="s">
        <v>351</v>
      </c>
      <c r="K44" t="s">
        <v>352</v>
      </c>
      <c r="L44">
        <v>1368</v>
      </c>
      <c r="N44">
        <v>1011</v>
      </c>
      <c r="O44" t="s">
        <v>274</v>
      </c>
      <c r="P44" t="s">
        <v>274</v>
      </c>
      <c r="Q44">
        <v>1</v>
      </c>
      <c r="W44">
        <v>0</v>
      </c>
      <c r="X44">
        <v>275932499</v>
      </c>
      <c r="Y44">
        <v>6.08</v>
      </c>
      <c r="AA44">
        <v>0</v>
      </c>
      <c r="AB44">
        <v>12.75</v>
      </c>
      <c r="AC44">
        <v>0</v>
      </c>
      <c r="AD44">
        <v>0</v>
      </c>
      <c r="AE44">
        <v>0</v>
      </c>
      <c r="AF44">
        <v>3</v>
      </c>
      <c r="AG44">
        <v>0</v>
      </c>
      <c r="AH44">
        <v>0</v>
      </c>
      <c r="AI44">
        <v>1</v>
      </c>
      <c r="AJ44">
        <v>4.25</v>
      </c>
      <c r="AK44">
        <v>32.909999999999997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6.08</v>
      </c>
      <c r="AU44" t="s">
        <v>3</v>
      </c>
      <c r="AV44">
        <v>0</v>
      </c>
      <c r="AW44">
        <v>2</v>
      </c>
      <c r="AX44">
        <v>33893410</v>
      </c>
      <c r="AY44">
        <v>1</v>
      </c>
      <c r="AZ44">
        <v>0</v>
      </c>
      <c r="BA44">
        <v>43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Y44*Source!I69</f>
        <v>0.4864</v>
      </c>
      <c r="CY44">
        <f>AB44</f>
        <v>12.75</v>
      </c>
      <c r="CZ44">
        <f>AF44</f>
        <v>3</v>
      </c>
      <c r="DA44">
        <f>AJ44</f>
        <v>4.25</v>
      </c>
      <c r="DB44">
        <f t="shared" si="10"/>
        <v>18.239999999999998</v>
      </c>
      <c r="DC44">
        <f t="shared" si="11"/>
        <v>0</v>
      </c>
    </row>
    <row r="45" spans="1:107">
      <c r="A45">
        <f>ROW(Source!A69)</f>
        <v>69</v>
      </c>
      <c r="B45">
        <v>33806715</v>
      </c>
      <c r="C45">
        <v>33893397</v>
      </c>
      <c r="D45">
        <v>29174580</v>
      </c>
      <c r="E45">
        <v>1</v>
      </c>
      <c r="F45">
        <v>1</v>
      </c>
      <c r="G45">
        <v>1</v>
      </c>
      <c r="H45">
        <v>2</v>
      </c>
      <c r="I45" t="s">
        <v>353</v>
      </c>
      <c r="J45" t="s">
        <v>354</v>
      </c>
      <c r="K45" t="s">
        <v>355</v>
      </c>
      <c r="L45">
        <v>1368</v>
      </c>
      <c r="N45">
        <v>1011</v>
      </c>
      <c r="O45" t="s">
        <v>274</v>
      </c>
      <c r="P45" t="s">
        <v>274</v>
      </c>
      <c r="Q45">
        <v>1</v>
      </c>
      <c r="W45">
        <v>0</v>
      </c>
      <c r="X45">
        <v>-169468834</v>
      </c>
      <c r="Y45">
        <v>6.08</v>
      </c>
      <c r="AA45">
        <v>0</v>
      </c>
      <c r="AB45">
        <v>31.87</v>
      </c>
      <c r="AC45">
        <v>0</v>
      </c>
      <c r="AD45">
        <v>0</v>
      </c>
      <c r="AE45">
        <v>0</v>
      </c>
      <c r="AF45">
        <v>2.08</v>
      </c>
      <c r="AG45">
        <v>0</v>
      </c>
      <c r="AH45">
        <v>0</v>
      </c>
      <c r="AI45">
        <v>1</v>
      </c>
      <c r="AJ45">
        <v>15.32</v>
      </c>
      <c r="AK45">
        <v>32.909999999999997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6.08</v>
      </c>
      <c r="AU45" t="s">
        <v>3</v>
      </c>
      <c r="AV45">
        <v>0</v>
      </c>
      <c r="AW45">
        <v>2</v>
      </c>
      <c r="AX45">
        <v>33893411</v>
      </c>
      <c r="AY45">
        <v>1</v>
      </c>
      <c r="AZ45">
        <v>0</v>
      </c>
      <c r="BA45">
        <v>44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Y45*Source!I69</f>
        <v>0.4864</v>
      </c>
      <c r="CY45">
        <f>AB45</f>
        <v>31.87</v>
      </c>
      <c r="CZ45">
        <f>AF45</f>
        <v>2.08</v>
      </c>
      <c r="DA45">
        <f>AJ45</f>
        <v>15.32</v>
      </c>
      <c r="DB45">
        <f t="shared" si="10"/>
        <v>12.65</v>
      </c>
      <c r="DC45">
        <f t="shared" si="11"/>
        <v>0</v>
      </c>
    </row>
    <row r="46" spans="1:107">
      <c r="A46">
        <f>ROW(Source!A69)</f>
        <v>69</v>
      </c>
      <c r="B46">
        <v>33806715</v>
      </c>
      <c r="C46">
        <v>33893397</v>
      </c>
      <c r="D46">
        <v>29114688</v>
      </c>
      <c r="E46">
        <v>1</v>
      </c>
      <c r="F46">
        <v>1</v>
      </c>
      <c r="G46">
        <v>1</v>
      </c>
      <c r="H46">
        <v>3</v>
      </c>
      <c r="I46" t="s">
        <v>356</v>
      </c>
      <c r="J46" t="s">
        <v>357</v>
      </c>
      <c r="K46" t="s">
        <v>358</v>
      </c>
      <c r="L46">
        <v>1348</v>
      </c>
      <c r="N46">
        <v>1009</v>
      </c>
      <c r="O46" t="s">
        <v>101</v>
      </c>
      <c r="P46" t="s">
        <v>101</v>
      </c>
      <c r="Q46">
        <v>1000</v>
      </c>
      <c r="W46">
        <v>0</v>
      </c>
      <c r="X46">
        <v>1008226964</v>
      </c>
      <c r="Y46">
        <v>1E-3</v>
      </c>
      <c r="AA46">
        <v>98197</v>
      </c>
      <c r="AB46">
        <v>0</v>
      </c>
      <c r="AC46">
        <v>0</v>
      </c>
      <c r="AD46">
        <v>0</v>
      </c>
      <c r="AE46">
        <v>12430</v>
      </c>
      <c r="AF46">
        <v>0</v>
      </c>
      <c r="AG46">
        <v>0</v>
      </c>
      <c r="AH46">
        <v>0</v>
      </c>
      <c r="AI46">
        <v>7.9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1E-3</v>
      </c>
      <c r="AU46" t="s">
        <v>3</v>
      </c>
      <c r="AV46">
        <v>0</v>
      </c>
      <c r="AW46">
        <v>2</v>
      </c>
      <c r="AX46">
        <v>33893412</v>
      </c>
      <c r="AY46">
        <v>1</v>
      </c>
      <c r="AZ46">
        <v>0</v>
      </c>
      <c r="BA46">
        <v>45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Y46*Source!I69</f>
        <v>8.0000000000000007E-5</v>
      </c>
      <c r="CY46">
        <f>AA46</f>
        <v>98197</v>
      </c>
      <c r="CZ46">
        <f>AE46</f>
        <v>12430</v>
      </c>
      <c r="DA46">
        <f>AI46</f>
        <v>7.9</v>
      </c>
      <c r="DB46">
        <f t="shared" si="10"/>
        <v>12.43</v>
      </c>
      <c r="DC46">
        <f t="shared" si="11"/>
        <v>0</v>
      </c>
    </row>
    <row r="47" spans="1:107">
      <c r="A47">
        <f>ROW(Source!A69)</f>
        <v>69</v>
      </c>
      <c r="B47">
        <v>33806715</v>
      </c>
      <c r="C47">
        <v>33893397</v>
      </c>
      <c r="D47">
        <v>29114472</v>
      </c>
      <c r="E47">
        <v>1</v>
      </c>
      <c r="F47">
        <v>1</v>
      </c>
      <c r="G47">
        <v>1</v>
      </c>
      <c r="H47">
        <v>3</v>
      </c>
      <c r="I47" t="s">
        <v>359</v>
      </c>
      <c r="J47" t="s">
        <v>360</v>
      </c>
      <c r="K47" t="s">
        <v>361</v>
      </c>
      <c r="L47">
        <v>1358</v>
      </c>
      <c r="N47">
        <v>1010</v>
      </c>
      <c r="O47" t="s">
        <v>113</v>
      </c>
      <c r="P47" t="s">
        <v>113</v>
      </c>
      <c r="Q47">
        <v>10</v>
      </c>
      <c r="W47">
        <v>0</v>
      </c>
      <c r="X47">
        <v>2117263208</v>
      </c>
      <c r="Y47">
        <v>20</v>
      </c>
      <c r="AA47">
        <v>1.84</v>
      </c>
      <c r="AB47">
        <v>0</v>
      </c>
      <c r="AC47">
        <v>0</v>
      </c>
      <c r="AD47">
        <v>0</v>
      </c>
      <c r="AE47">
        <v>1.79</v>
      </c>
      <c r="AF47">
        <v>0</v>
      </c>
      <c r="AG47">
        <v>0</v>
      </c>
      <c r="AH47">
        <v>0</v>
      </c>
      <c r="AI47">
        <v>1.03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20</v>
      </c>
      <c r="AU47" t="s">
        <v>3</v>
      </c>
      <c r="AV47">
        <v>0</v>
      </c>
      <c r="AW47">
        <v>2</v>
      </c>
      <c r="AX47">
        <v>33893413</v>
      </c>
      <c r="AY47">
        <v>1</v>
      </c>
      <c r="AZ47">
        <v>0</v>
      </c>
      <c r="BA47">
        <v>46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Y47*Source!I69</f>
        <v>1.6</v>
      </c>
      <c r="CY47">
        <f>AA47</f>
        <v>1.84</v>
      </c>
      <c r="CZ47">
        <f>AE47</f>
        <v>1.79</v>
      </c>
      <c r="DA47">
        <f>AI47</f>
        <v>1.03</v>
      </c>
      <c r="DB47">
        <f t="shared" si="10"/>
        <v>35.799999999999997</v>
      </c>
      <c r="DC47">
        <f t="shared" si="11"/>
        <v>0</v>
      </c>
    </row>
    <row r="48" spans="1:107">
      <c r="A48">
        <f>ROW(Source!A69)</f>
        <v>69</v>
      </c>
      <c r="B48">
        <v>33806715</v>
      </c>
      <c r="C48">
        <v>33893397</v>
      </c>
      <c r="D48">
        <v>29170773</v>
      </c>
      <c r="E48">
        <v>1</v>
      </c>
      <c r="F48">
        <v>1</v>
      </c>
      <c r="G48">
        <v>1</v>
      </c>
      <c r="H48">
        <v>3</v>
      </c>
      <c r="I48" t="s">
        <v>124</v>
      </c>
      <c r="J48" t="s">
        <v>127</v>
      </c>
      <c r="K48" t="s">
        <v>125</v>
      </c>
      <c r="L48">
        <v>1301</v>
      </c>
      <c r="N48">
        <v>1003</v>
      </c>
      <c r="O48" t="s">
        <v>126</v>
      </c>
      <c r="P48" t="s">
        <v>126</v>
      </c>
      <c r="Q48">
        <v>1</v>
      </c>
      <c r="W48">
        <v>0</v>
      </c>
      <c r="X48">
        <v>-1065891271</v>
      </c>
      <c r="Y48">
        <v>100</v>
      </c>
      <c r="AA48">
        <v>5.83</v>
      </c>
      <c r="AB48">
        <v>0</v>
      </c>
      <c r="AC48">
        <v>0</v>
      </c>
      <c r="AD48">
        <v>0</v>
      </c>
      <c r="AE48">
        <v>1.2</v>
      </c>
      <c r="AF48">
        <v>0</v>
      </c>
      <c r="AG48">
        <v>0</v>
      </c>
      <c r="AH48">
        <v>0</v>
      </c>
      <c r="AI48">
        <v>4.8600000000000003</v>
      </c>
      <c r="AJ48">
        <v>1</v>
      </c>
      <c r="AK48">
        <v>1</v>
      </c>
      <c r="AL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100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Y48*Source!I69</f>
        <v>8</v>
      </c>
      <c r="CY48">
        <f>AA48</f>
        <v>5.83</v>
      </c>
      <c r="CZ48">
        <f>AE48</f>
        <v>1.2</v>
      </c>
      <c r="DA48">
        <f>AI48</f>
        <v>4.8600000000000003</v>
      </c>
      <c r="DB48">
        <f t="shared" si="10"/>
        <v>120</v>
      </c>
      <c r="DC48">
        <f t="shared" si="11"/>
        <v>0</v>
      </c>
    </row>
    <row r="49" spans="1:107">
      <c r="A49">
        <f>ROW(Source!A69)</f>
        <v>69</v>
      </c>
      <c r="B49">
        <v>33806715</v>
      </c>
      <c r="C49">
        <v>33893397</v>
      </c>
      <c r="D49">
        <v>29171808</v>
      </c>
      <c r="E49">
        <v>1</v>
      </c>
      <c r="F49">
        <v>1</v>
      </c>
      <c r="G49">
        <v>1</v>
      </c>
      <c r="H49">
        <v>3</v>
      </c>
      <c r="I49" t="s">
        <v>362</v>
      </c>
      <c r="J49" t="s">
        <v>363</v>
      </c>
      <c r="K49" t="s">
        <v>364</v>
      </c>
      <c r="L49">
        <v>1374</v>
      </c>
      <c r="N49">
        <v>1013</v>
      </c>
      <c r="O49" t="s">
        <v>365</v>
      </c>
      <c r="P49" t="s">
        <v>365</v>
      </c>
      <c r="Q49">
        <v>1</v>
      </c>
      <c r="W49">
        <v>0</v>
      </c>
      <c r="X49">
        <v>-915781824</v>
      </c>
      <c r="Y49">
        <v>3.1</v>
      </c>
      <c r="AA49">
        <v>1</v>
      </c>
      <c r="AB49">
        <v>0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3.1</v>
      </c>
      <c r="AU49" t="s">
        <v>3</v>
      </c>
      <c r="AV49">
        <v>0</v>
      </c>
      <c r="AW49">
        <v>2</v>
      </c>
      <c r="AX49">
        <v>33893414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Y49*Source!I69</f>
        <v>0.24800000000000003</v>
      </c>
      <c r="CY49">
        <f>AA49</f>
        <v>1</v>
      </c>
      <c r="CZ49">
        <f>AE49</f>
        <v>1</v>
      </c>
      <c r="DA49">
        <f>AI49</f>
        <v>1</v>
      </c>
      <c r="DB49">
        <f t="shared" si="10"/>
        <v>3.1</v>
      </c>
      <c r="DC49">
        <f t="shared" si="11"/>
        <v>0</v>
      </c>
    </row>
    <row r="50" spans="1:107">
      <c r="A50">
        <f>ROW(Source!A76)</f>
        <v>76</v>
      </c>
      <c r="B50">
        <v>33806715</v>
      </c>
      <c r="C50">
        <v>33891201</v>
      </c>
      <c r="D50">
        <v>18411117</v>
      </c>
      <c r="E50">
        <v>1</v>
      </c>
      <c r="F50">
        <v>1</v>
      </c>
      <c r="G50">
        <v>1</v>
      </c>
      <c r="H50">
        <v>1</v>
      </c>
      <c r="I50" t="s">
        <v>305</v>
      </c>
      <c r="J50" t="s">
        <v>3</v>
      </c>
      <c r="K50" t="s">
        <v>306</v>
      </c>
      <c r="L50">
        <v>1369</v>
      </c>
      <c r="N50">
        <v>1013</v>
      </c>
      <c r="O50" t="s">
        <v>268</v>
      </c>
      <c r="P50" t="s">
        <v>268</v>
      </c>
      <c r="Q50">
        <v>1</v>
      </c>
      <c r="W50">
        <v>0</v>
      </c>
      <c r="X50">
        <v>-1739886638</v>
      </c>
      <c r="Y50">
        <v>91.781499999999994</v>
      </c>
      <c r="AA50">
        <v>0</v>
      </c>
      <c r="AB50">
        <v>0</v>
      </c>
      <c r="AC50">
        <v>0</v>
      </c>
      <c r="AD50">
        <v>314.08999999999997</v>
      </c>
      <c r="AE50">
        <v>0</v>
      </c>
      <c r="AF50">
        <v>0</v>
      </c>
      <c r="AG50">
        <v>0</v>
      </c>
      <c r="AH50">
        <v>314.08999999999997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79.81</v>
      </c>
      <c r="AU50" t="s">
        <v>75</v>
      </c>
      <c r="AV50">
        <v>1</v>
      </c>
      <c r="AW50">
        <v>2</v>
      </c>
      <c r="AX50">
        <v>33891214</v>
      </c>
      <c r="AY50">
        <v>2</v>
      </c>
      <c r="AZ50">
        <v>131072</v>
      </c>
      <c r="BA50">
        <v>48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Y50*Source!I76</f>
        <v>4.5890750000000002</v>
      </c>
      <c r="CY50">
        <f>AD50</f>
        <v>314.08999999999997</v>
      </c>
      <c r="CZ50">
        <f>AH50</f>
        <v>314.08999999999997</v>
      </c>
      <c r="DA50">
        <f>AL50</f>
        <v>1</v>
      </c>
      <c r="DB50">
        <f>ROUND((ROUND(AT50*CZ50,2)*1.15),6)</f>
        <v>28827.648000000001</v>
      </c>
      <c r="DC50">
        <f>ROUND((ROUND(AT50*AG50,2)*1.15),6)</f>
        <v>0</v>
      </c>
    </row>
    <row r="51" spans="1:107">
      <c r="A51">
        <f>ROW(Source!A76)</f>
        <v>76</v>
      </c>
      <c r="B51">
        <v>33806715</v>
      </c>
      <c r="C51">
        <v>33891201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86</v>
      </c>
      <c r="J51" t="s">
        <v>3</v>
      </c>
      <c r="K51" t="s">
        <v>269</v>
      </c>
      <c r="L51">
        <v>608254</v>
      </c>
      <c r="N51">
        <v>1013</v>
      </c>
      <c r="O51" t="s">
        <v>270</v>
      </c>
      <c r="P51" t="s">
        <v>270</v>
      </c>
      <c r="Q51">
        <v>1</v>
      </c>
      <c r="W51">
        <v>0</v>
      </c>
      <c r="X51">
        <v>-185737400</v>
      </c>
      <c r="Y51">
        <v>17.3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13.84</v>
      </c>
      <c r="AU51" t="s">
        <v>74</v>
      </c>
      <c r="AV51">
        <v>2</v>
      </c>
      <c r="AW51">
        <v>2</v>
      </c>
      <c r="AX51">
        <v>33891215</v>
      </c>
      <c r="AY51">
        <v>1</v>
      </c>
      <c r="AZ51">
        <v>0</v>
      </c>
      <c r="BA51">
        <v>49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Y51*Source!I76</f>
        <v>0.8650000000000001</v>
      </c>
      <c r="CY51">
        <f>AD51</f>
        <v>0</v>
      </c>
      <c r="CZ51">
        <f>AH51</f>
        <v>0</v>
      </c>
      <c r="DA51">
        <f>AL51</f>
        <v>1</v>
      </c>
      <c r="DB51">
        <f t="shared" ref="DB51:DB56" si="12">ROUND((ROUND(AT51*CZ51,2)*1.25),6)</f>
        <v>0</v>
      </c>
      <c r="DC51">
        <f t="shared" ref="DC51:DC56" si="13">ROUND((ROUND(AT51*AG51,2)*1.25),6)</f>
        <v>0</v>
      </c>
    </row>
    <row r="52" spans="1:107">
      <c r="A52">
        <f>ROW(Source!A76)</f>
        <v>76</v>
      </c>
      <c r="B52">
        <v>33806715</v>
      </c>
      <c r="C52">
        <v>33891201</v>
      </c>
      <c r="D52">
        <v>29172556</v>
      </c>
      <c r="E52">
        <v>1</v>
      </c>
      <c r="F52">
        <v>1</v>
      </c>
      <c r="G52">
        <v>1</v>
      </c>
      <c r="H52">
        <v>2</v>
      </c>
      <c r="I52" t="s">
        <v>293</v>
      </c>
      <c r="J52" t="s">
        <v>294</v>
      </c>
      <c r="K52" t="s">
        <v>295</v>
      </c>
      <c r="L52">
        <v>1368</v>
      </c>
      <c r="N52">
        <v>1011</v>
      </c>
      <c r="O52" t="s">
        <v>274</v>
      </c>
      <c r="P52" t="s">
        <v>274</v>
      </c>
      <c r="Q52">
        <v>1</v>
      </c>
      <c r="W52">
        <v>0</v>
      </c>
      <c r="X52">
        <v>-1302720870</v>
      </c>
      <c r="Y52">
        <v>1.1500000000000001</v>
      </c>
      <c r="AA52">
        <v>0</v>
      </c>
      <c r="AB52">
        <v>451.71</v>
      </c>
      <c r="AC52">
        <v>444.29</v>
      </c>
      <c r="AD52">
        <v>0</v>
      </c>
      <c r="AE52">
        <v>0</v>
      </c>
      <c r="AF52">
        <v>31.26</v>
      </c>
      <c r="AG52">
        <v>13.5</v>
      </c>
      <c r="AH52">
        <v>0</v>
      </c>
      <c r="AI52">
        <v>1</v>
      </c>
      <c r="AJ52">
        <v>14.45</v>
      </c>
      <c r="AK52">
        <v>32.909999999999997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0.92</v>
      </c>
      <c r="AU52" t="s">
        <v>74</v>
      </c>
      <c r="AV52">
        <v>0</v>
      </c>
      <c r="AW52">
        <v>2</v>
      </c>
      <c r="AX52">
        <v>33891216</v>
      </c>
      <c r="AY52">
        <v>1</v>
      </c>
      <c r="AZ52">
        <v>0</v>
      </c>
      <c r="BA52">
        <v>50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Y52*Source!I76</f>
        <v>5.7500000000000009E-2</v>
      </c>
      <c r="CY52">
        <f>AB52</f>
        <v>451.71</v>
      </c>
      <c r="CZ52">
        <f>AF52</f>
        <v>31.26</v>
      </c>
      <c r="DA52">
        <f>AJ52</f>
        <v>14.45</v>
      </c>
      <c r="DB52">
        <f t="shared" si="12"/>
        <v>35.950000000000003</v>
      </c>
      <c r="DC52">
        <f t="shared" si="13"/>
        <v>15.525</v>
      </c>
    </row>
    <row r="53" spans="1:107">
      <c r="A53">
        <f>ROW(Source!A76)</f>
        <v>76</v>
      </c>
      <c r="B53">
        <v>33806715</v>
      </c>
      <c r="C53">
        <v>33891201</v>
      </c>
      <c r="D53">
        <v>29172710</v>
      </c>
      <c r="E53">
        <v>1</v>
      </c>
      <c r="F53">
        <v>1</v>
      </c>
      <c r="G53">
        <v>1</v>
      </c>
      <c r="H53">
        <v>2</v>
      </c>
      <c r="I53" t="s">
        <v>366</v>
      </c>
      <c r="J53" t="s">
        <v>367</v>
      </c>
      <c r="K53" t="s">
        <v>368</v>
      </c>
      <c r="L53">
        <v>1368</v>
      </c>
      <c r="N53">
        <v>1011</v>
      </c>
      <c r="O53" t="s">
        <v>274</v>
      </c>
      <c r="P53" t="s">
        <v>274</v>
      </c>
      <c r="Q53">
        <v>1</v>
      </c>
      <c r="W53">
        <v>0</v>
      </c>
      <c r="X53">
        <v>-1676841219</v>
      </c>
      <c r="Y53">
        <v>12.4125</v>
      </c>
      <c r="AA53">
        <v>0</v>
      </c>
      <c r="AB53">
        <v>527.99</v>
      </c>
      <c r="AC53">
        <v>331.07</v>
      </c>
      <c r="AD53">
        <v>0</v>
      </c>
      <c r="AE53">
        <v>0</v>
      </c>
      <c r="AF53">
        <v>46.56</v>
      </c>
      <c r="AG53">
        <v>10.06</v>
      </c>
      <c r="AH53">
        <v>0</v>
      </c>
      <c r="AI53">
        <v>1</v>
      </c>
      <c r="AJ53">
        <v>11.34</v>
      </c>
      <c r="AK53">
        <v>32.909999999999997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9.93</v>
      </c>
      <c r="AU53" t="s">
        <v>74</v>
      </c>
      <c r="AV53">
        <v>0</v>
      </c>
      <c r="AW53">
        <v>2</v>
      </c>
      <c r="AX53">
        <v>33891217</v>
      </c>
      <c r="AY53">
        <v>1</v>
      </c>
      <c r="AZ53">
        <v>0</v>
      </c>
      <c r="BA53">
        <v>51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Y53*Source!I76</f>
        <v>0.62062499999999998</v>
      </c>
      <c r="CY53">
        <f>AB53</f>
        <v>527.99</v>
      </c>
      <c r="CZ53">
        <f>AF53</f>
        <v>46.56</v>
      </c>
      <c r="DA53">
        <f>AJ53</f>
        <v>11.34</v>
      </c>
      <c r="DB53">
        <f t="shared" si="12"/>
        <v>577.92499999999995</v>
      </c>
      <c r="DC53">
        <f t="shared" si="13"/>
        <v>124.875</v>
      </c>
    </row>
    <row r="54" spans="1:107">
      <c r="A54">
        <f>ROW(Source!A76)</f>
        <v>76</v>
      </c>
      <c r="B54">
        <v>33806715</v>
      </c>
      <c r="C54">
        <v>33891201</v>
      </c>
      <c r="D54">
        <v>29173142</v>
      </c>
      <c r="E54">
        <v>1</v>
      </c>
      <c r="F54">
        <v>1</v>
      </c>
      <c r="G54">
        <v>1</v>
      </c>
      <c r="H54">
        <v>2</v>
      </c>
      <c r="I54" t="s">
        <v>369</v>
      </c>
      <c r="J54" t="s">
        <v>370</v>
      </c>
      <c r="K54" t="s">
        <v>371</v>
      </c>
      <c r="L54">
        <v>1368</v>
      </c>
      <c r="N54">
        <v>1011</v>
      </c>
      <c r="O54" t="s">
        <v>274</v>
      </c>
      <c r="P54" t="s">
        <v>274</v>
      </c>
      <c r="Q54">
        <v>1</v>
      </c>
      <c r="W54">
        <v>0</v>
      </c>
      <c r="X54">
        <v>1457722446</v>
      </c>
      <c r="Y54">
        <v>3.7375000000000003</v>
      </c>
      <c r="AA54">
        <v>0</v>
      </c>
      <c r="AB54">
        <v>387.94</v>
      </c>
      <c r="AC54">
        <v>331.07</v>
      </c>
      <c r="AD54">
        <v>0</v>
      </c>
      <c r="AE54">
        <v>0</v>
      </c>
      <c r="AF54">
        <v>16.3</v>
      </c>
      <c r="AG54">
        <v>10.06</v>
      </c>
      <c r="AH54">
        <v>0</v>
      </c>
      <c r="AI54">
        <v>1</v>
      </c>
      <c r="AJ54">
        <v>23.8</v>
      </c>
      <c r="AK54">
        <v>32.909999999999997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2.99</v>
      </c>
      <c r="AU54" t="s">
        <v>74</v>
      </c>
      <c r="AV54">
        <v>0</v>
      </c>
      <c r="AW54">
        <v>2</v>
      </c>
      <c r="AX54">
        <v>33891218</v>
      </c>
      <c r="AY54">
        <v>1</v>
      </c>
      <c r="AZ54">
        <v>0</v>
      </c>
      <c r="BA54">
        <v>52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Y54*Source!I76</f>
        <v>0.18687500000000001</v>
      </c>
      <c r="CY54">
        <f>AB54</f>
        <v>387.94</v>
      </c>
      <c r="CZ54">
        <f>AF54</f>
        <v>16.3</v>
      </c>
      <c r="DA54">
        <f>AJ54</f>
        <v>23.8</v>
      </c>
      <c r="DB54">
        <f t="shared" si="12"/>
        <v>60.924999999999997</v>
      </c>
      <c r="DC54">
        <f t="shared" si="13"/>
        <v>37.6</v>
      </c>
    </row>
    <row r="55" spans="1:107">
      <c r="A55">
        <f>ROW(Source!A76)</f>
        <v>76</v>
      </c>
      <c r="B55">
        <v>33806715</v>
      </c>
      <c r="C55">
        <v>33891201</v>
      </c>
      <c r="D55">
        <v>29174145</v>
      </c>
      <c r="E55">
        <v>1</v>
      </c>
      <c r="F55">
        <v>1</v>
      </c>
      <c r="G55">
        <v>1</v>
      </c>
      <c r="H55">
        <v>2</v>
      </c>
      <c r="I55" t="s">
        <v>372</v>
      </c>
      <c r="J55" t="s">
        <v>373</v>
      </c>
      <c r="K55" t="s">
        <v>374</v>
      </c>
      <c r="L55">
        <v>1368</v>
      </c>
      <c r="N55">
        <v>1011</v>
      </c>
      <c r="O55" t="s">
        <v>274</v>
      </c>
      <c r="P55" t="s">
        <v>274</v>
      </c>
      <c r="Q55">
        <v>1</v>
      </c>
      <c r="W55">
        <v>0</v>
      </c>
      <c r="X55">
        <v>524901310</v>
      </c>
      <c r="Y55">
        <v>12.4125</v>
      </c>
      <c r="AA55">
        <v>0</v>
      </c>
      <c r="AB55">
        <v>46.9</v>
      </c>
      <c r="AC55">
        <v>0</v>
      </c>
      <c r="AD55">
        <v>0</v>
      </c>
      <c r="AE55">
        <v>0</v>
      </c>
      <c r="AF55">
        <v>7.54</v>
      </c>
      <c r="AG55">
        <v>0</v>
      </c>
      <c r="AH55">
        <v>0</v>
      </c>
      <c r="AI55">
        <v>1</v>
      </c>
      <c r="AJ55">
        <v>6.22</v>
      </c>
      <c r="AK55">
        <v>32.909999999999997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9.93</v>
      </c>
      <c r="AU55" t="s">
        <v>74</v>
      </c>
      <c r="AV55">
        <v>0</v>
      </c>
      <c r="AW55">
        <v>2</v>
      </c>
      <c r="AX55">
        <v>33891219</v>
      </c>
      <c r="AY55">
        <v>1</v>
      </c>
      <c r="AZ55">
        <v>0</v>
      </c>
      <c r="BA55">
        <v>53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Y55*Source!I76</f>
        <v>0.62062499999999998</v>
      </c>
      <c r="CY55">
        <f>AB55</f>
        <v>46.9</v>
      </c>
      <c r="CZ55">
        <f>AF55</f>
        <v>7.54</v>
      </c>
      <c r="DA55">
        <f>AJ55</f>
        <v>6.22</v>
      </c>
      <c r="DB55">
        <f t="shared" si="12"/>
        <v>93.587500000000006</v>
      </c>
      <c r="DC55">
        <f t="shared" si="13"/>
        <v>0</v>
      </c>
    </row>
    <row r="56" spans="1:107">
      <c r="A56">
        <f>ROW(Source!A76)</f>
        <v>76</v>
      </c>
      <c r="B56">
        <v>33806715</v>
      </c>
      <c r="C56">
        <v>33891201</v>
      </c>
      <c r="D56">
        <v>29174913</v>
      </c>
      <c r="E56">
        <v>1</v>
      </c>
      <c r="F56">
        <v>1</v>
      </c>
      <c r="G56">
        <v>1</v>
      </c>
      <c r="H56">
        <v>2</v>
      </c>
      <c r="I56" t="s">
        <v>278</v>
      </c>
      <c r="J56" t="s">
        <v>279</v>
      </c>
      <c r="K56" t="s">
        <v>280</v>
      </c>
      <c r="L56">
        <v>1368</v>
      </c>
      <c r="N56">
        <v>1011</v>
      </c>
      <c r="O56" t="s">
        <v>274</v>
      </c>
      <c r="P56" t="s">
        <v>274</v>
      </c>
      <c r="Q56">
        <v>1</v>
      </c>
      <c r="W56">
        <v>0</v>
      </c>
      <c r="X56">
        <v>458544584</v>
      </c>
      <c r="Y56">
        <v>3.3125</v>
      </c>
      <c r="AA56">
        <v>0</v>
      </c>
      <c r="AB56">
        <v>918.77</v>
      </c>
      <c r="AC56">
        <v>381.76</v>
      </c>
      <c r="AD56">
        <v>0</v>
      </c>
      <c r="AE56">
        <v>0</v>
      </c>
      <c r="AF56">
        <v>87.17</v>
      </c>
      <c r="AG56">
        <v>11.6</v>
      </c>
      <c r="AH56">
        <v>0</v>
      </c>
      <c r="AI56">
        <v>1</v>
      </c>
      <c r="AJ56">
        <v>10.54</v>
      </c>
      <c r="AK56">
        <v>32.909999999999997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2.65</v>
      </c>
      <c r="AU56" t="s">
        <v>74</v>
      </c>
      <c r="AV56">
        <v>0</v>
      </c>
      <c r="AW56">
        <v>2</v>
      </c>
      <c r="AX56">
        <v>33891220</v>
      </c>
      <c r="AY56">
        <v>1</v>
      </c>
      <c r="AZ56">
        <v>0</v>
      </c>
      <c r="BA56">
        <v>54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Y56*Source!I76</f>
        <v>0.16562500000000002</v>
      </c>
      <c r="CY56">
        <f>AB56</f>
        <v>918.77</v>
      </c>
      <c r="CZ56">
        <f>AF56</f>
        <v>87.17</v>
      </c>
      <c r="DA56">
        <f>AJ56</f>
        <v>10.54</v>
      </c>
      <c r="DB56">
        <f t="shared" si="12"/>
        <v>288.75</v>
      </c>
      <c r="DC56">
        <f t="shared" si="13"/>
        <v>38.424999999999997</v>
      </c>
    </row>
    <row r="57" spans="1:107">
      <c r="A57">
        <f>ROW(Source!A76)</f>
        <v>76</v>
      </c>
      <c r="B57">
        <v>33806715</v>
      </c>
      <c r="C57">
        <v>33891201</v>
      </c>
      <c r="D57">
        <v>29108452</v>
      </c>
      <c r="E57">
        <v>1</v>
      </c>
      <c r="F57">
        <v>1</v>
      </c>
      <c r="G57">
        <v>1</v>
      </c>
      <c r="H57">
        <v>3</v>
      </c>
      <c r="I57" t="s">
        <v>375</v>
      </c>
      <c r="J57" t="s">
        <v>376</v>
      </c>
      <c r="K57" t="s">
        <v>377</v>
      </c>
      <c r="L57">
        <v>1348</v>
      </c>
      <c r="N57">
        <v>1009</v>
      </c>
      <c r="O57" t="s">
        <v>101</v>
      </c>
      <c r="P57" t="s">
        <v>101</v>
      </c>
      <c r="Q57">
        <v>1000</v>
      </c>
      <c r="W57">
        <v>0</v>
      </c>
      <c r="X57">
        <v>644401374</v>
      </c>
      <c r="Y57">
        <v>0.1</v>
      </c>
      <c r="AA57">
        <v>64927.15</v>
      </c>
      <c r="AB57">
        <v>0</v>
      </c>
      <c r="AC57">
        <v>0</v>
      </c>
      <c r="AD57">
        <v>0</v>
      </c>
      <c r="AE57">
        <v>12485.99</v>
      </c>
      <c r="AF57">
        <v>0</v>
      </c>
      <c r="AG57">
        <v>0</v>
      </c>
      <c r="AH57">
        <v>0</v>
      </c>
      <c r="AI57">
        <v>5.2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0.1</v>
      </c>
      <c r="AU57" t="s">
        <v>3</v>
      </c>
      <c r="AV57">
        <v>0</v>
      </c>
      <c r="AW57">
        <v>2</v>
      </c>
      <c r="AX57">
        <v>33891221</v>
      </c>
      <c r="AY57">
        <v>1</v>
      </c>
      <c r="AZ57">
        <v>0</v>
      </c>
      <c r="BA57">
        <v>55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Y57*Source!I76</f>
        <v>5.000000000000001E-3</v>
      </c>
      <c r="CY57">
        <f>AA57</f>
        <v>64927.15</v>
      </c>
      <c r="CZ57">
        <f>AE57</f>
        <v>12485.99</v>
      </c>
      <c r="DA57">
        <f>AI57</f>
        <v>5.2</v>
      </c>
      <c r="DB57">
        <f>ROUND(ROUND(AT57*CZ57,2),6)</f>
        <v>1248.5999999999999</v>
      </c>
      <c r="DC57">
        <f>ROUND(ROUND(AT57*AG57,2),6)</f>
        <v>0</v>
      </c>
    </row>
    <row r="58" spans="1:107">
      <c r="A58">
        <f>ROW(Source!A76)</f>
        <v>76</v>
      </c>
      <c r="B58">
        <v>33806715</v>
      </c>
      <c r="C58">
        <v>33891201</v>
      </c>
      <c r="D58">
        <v>29109244</v>
      </c>
      <c r="E58">
        <v>1</v>
      </c>
      <c r="F58">
        <v>1</v>
      </c>
      <c r="G58">
        <v>1</v>
      </c>
      <c r="H58">
        <v>3</v>
      </c>
      <c r="I58" t="s">
        <v>378</v>
      </c>
      <c r="J58" t="s">
        <v>379</v>
      </c>
      <c r="K58" t="s">
        <v>380</v>
      </c>
      <c r="L58">
        <v>1348</v>
      </c>
      <c r="N58">
        <v>1009</v>
      </c>
      <c r="O58" t="s">
        <v>101</v>
      </c>
      <c r="P58" t="s">
        <v>101</v>
      </c>
      <c r="Q58">
        <v>1000</v>
      </c>
      <c r="W58">
        <v>0</v>
      </c>
      <c r="X58">
        <v>-84705230</v>
      </c>
      <c r="Y58">
        <v>1.67</v>
      </c>
      <c r="AA58">
        <v>10998</v>
      </c>
      <c r="AB58">
        <v>0</v>
      </c>
      <c r="AC58">
        <v>0</v>
      </c>
      <c r="AD58">
        <v>0</v>
      </c>
      <c r="AE58">
        <v>600</v>
      </c>
      <c r="AF58">
        <v>0</v>
      </c>
      <c r="AG58">
        <v>0</v>
      </c>
      <c r="AH58">
        <v>0</v>
      </c>
      <c r="AI58">
        <v>18.329999999999998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1.67</v>
      </c>
      <c r="AU58" t="s">
        <v>3</v>
      </c>
      <c r="AV58">
        <v>0</v>
      </c>
      <c r="AW58">
        <v>2</v>
      </c>
      <c r="AX58">
        <v>33891222</v>
      </c>
      <c r="AY58">
        <v>1</v>
      </c>
      <c r="AZ58">
        <v>0</v>
      </c>
      <c r="BA58">
        <v>56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Y58*Source!I76</f>
        <v>8.3500000000000005E-2</v>
      </c>
      <c r="CY58">
        <f>AA58</f>
        <v>10998</v>
      </c>
      <c r="CZ58">
        <f>AE58</f>
        <v>600</v>
      </c>
      <c r="DA58">
        <f>AI58</f>
        <v>18.329999999999998</v>
      </c>
      <c r="DB58">
        <f>ROUND(ROUND(AT58*CZ58,2),6)</f>
        <v>1002</v>
      </c>
      <c r="DC58">
        <f>ROUND(ROUND(AT58*AG58,2),6)</f>
        <v>0</v>
      </c>
    </row>
    <row r="59" spans="1:107">
      <c r="A59">
        <f>ROW(Source!A76)</f>
        <v>76</v>
      </c>
      <c r="B59">
        <v>33806715</v>
      </c>
      <c r="C59">
        <v>33891201</v>
      </c>
      <c r="D59">
        <v>29110564</v>
      </c>
      <c r="E59">
        <v>1</v>
      </c>
      <c r="F59">
        <v>1</v>
      </c>
      <c r="G59">
        <v>1</v>
      </c>
      <c r="H59">
        <v>3</v>
      </c>
      <c r="I59" t="s">
        <v>381</v>
      </c>
      <c r="J59" t="s">
        <v>382</v>
      </c>
      <c r="K59" t="s">
        <v>383</v>
      </c>
      <c r="L59">
        <v>1348</v>
      </c>
      <c r="N59">
        <v>1009</v>
      </c>
      <c r="O59" t="s">
        <v>101</v>
      </c>
      <c r="P59" t="s">
        <v>101</v>
      </c>
      <c r="Q59">
        <v>1000</v>
      </c>
      <c r="W59">
        <v>0</v>
      </c>
      <c r="X59">
        <v>2028656298</v>
      </c>
      <c r="Y59">
        <v>3.2000000000000001E-2</v>
      </c>
      <c r="AA59">
        <v>81217.62</v>
      </c>
      <c r="AB59">
        <v>0</v>
      </c>
      <c r="AC59">
        <v>0</v>
      </c>
      <c r="AD59">
        <v>0</v>
      </c>
      <c r="AE59">
        <v>13673</v>
      </c>
      <c r="AF59">
        <v>0</v>
      </c>
      <c r="AG59">
        <v>0</v>
      </c>
      <c r="AH59">
        <v>0</v>
      </c>
      <c r="AI59">
        <v>5.94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3.2000000000000001E-2</v>
      </c>
      <c r="AU59" t="s">
        <v>3</v>
      </c>
      <c r="AV59">
        <v>0</v>
      </c>
      <c r="AW59">
        <v>2</v>
      </c>
      <c r="AX59">
        <v>33891223</v>
      </c>
      <c r="AY59">
        <v>1</v>
      </c>
      <c r="AZ59">
        <v>0</v>
      </c>
      <c r="BA59">
        <v>57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Y59*Source!I76</f>
        <v>1.6000000000000001E-3</v>
      </c>
      <c r="CY59">
        <f>AA59</f>
        <v>81217.62</v>
      </c>
      <c r="CZ59">
        <f>AE59</f>
        <v>13673</v>
      </c>
      <c r="DA59">
        <f>AI59</f>
        <v>5.94</v>
      </c>
      <c r="DB59">
        <f>ROUND(ROUND(AT59*CZ59,2),6)</f>
        <v>437.54</v>
      </c>
      <c r="DC59">
        <f>ROUND(ROUND(AT59*AG59,2),6)</f>
        <v>0</v>
      </c>
    </row>
    <row r="60" spans="1:107">
      <c r="A60">
        <f>ROW(Source!A76)</f>
        <v>76</v>
      </c>
      <c r="B60">
        <v>33806715</v>
      </c>
      <c r="C60">
        <v>33891201</v>
      </c>
      <c r="D60">
        <v>29149608</v>
      </c>
      <c r="E60">
        <v>1</v>
      </c>
      <c r="F60">
        <v>1</v>
      </c>
      <c r="G60">
        <v>1</v>
      </c>
      <c r="H60">
        <v>3</v>
      </c>
      <c r="I60" t="s">
        <v>384</v>
      </c>
      <c r="J60" t="s">
        <v>385</v>
      </c>
      <c r="K60" t="s">
        <v>386</v>
      </c>
      <c r="L60">
        <v>1339</v>
      </c>
      <c r="N60">
        <v>1007</v>
      </c>
      <c r="O60" t="s">
        <v>290</v>
      </c>
      <c r="P60" t="s">
        <v>290</v>
      </c>
      <c r="Q60">
        <v>1</v>
      </c>
      <c r="W60">
        <v>0</v>
      </c>
      <c r="X60">
        <v>-1660702446</v>
      </c>
      <c r="Y60">
        <v>2.3199999999999998</v>
      </c>
      <c r="AA60">
        <v>558.13</v>
      </c>
      <c r="AB60">
        <v>0</v>
      </c>
      <c r="AC60">
        <v>0</v>
      </c>
      <c r="AD60">
        <v>0</v>
      </c>
      <c r="AE60">
        <v>55.26</v>
      </c>
      <c r="AF60">
        <v>0</v>
      </c>
      <c r="AG60">
        <v>0</v>
      </c>
      <c r="AH60">
        <v>0</v>
      </c>
      <c r="AI60">
        <v>10.1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2.3199999999999998</v>
      </c>
      <c r="AU60" t="s">
        <v>3</v>
      </c>
      <c r="AV60">
        <v>0</v>
      </c>
      <c r="AW60">
        <v>2</v>
      </c>
      <c r="AX60">
        <v>33891224</v>
      </c>
      <c r="AY60">
        <v>1</v>
      </c>
      <c r="AZ60">
        <v>0</v>
      </c>
      <c r="BA60">
        <v>58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Y60*Source!I76</f>
        <v>0.11599999999999999</v>
      </c>
      <c r="CY60">
        <f>AA60</f>
        <v>558.13</v>
      </c>
      <c r="CZ60">
        <f>AE60</f>
        <v>55.26</v>
      </c>
      <c r="DA60">
        <f>AI60</f>
        <v>10.1</v>
      </c>
      <c r="DB60">
        <f>ROUND(ROUND(AT60*CZ60,2),6)</f>
        <v>128.19999999999999</v>
      </c>
      <c r="DC60">
        <f>ROUND(ROUND(AT60*AG60,2),6)</f>
        <v>0</v>
      </c>
    </row>
    <row r="61" spans="1:107">
      <c r="A61">
        <f>ROW(Source!A76)</f>
        <v>76</v>
      </c>
      <c r="B61">
        <v>33806715</v>
      </c>
      <c r="C61">
        <v>33891201</v>
      </c>
      <c r="D61">
        <v>29150040</v>
      </c>
      <c r="E61">
        <v>1</v>
      </c>
      <c r="F61">
        <v>1</v>
      </c>
      <c r="G61">
        <v>1</v>
      </c>
      <c r="H61">
        <v>3</v>
      </c>
      <c r="I61" t="s">
        <v>287</v>
      </c>
      <c r="J61" t="s">
        <v>288</v>
      </c>
      <c r="K61" t="s">
        <v>289</v>
      </c>
      <c r="L61">
        <v>1339</v>
      </c>
      <c r="N61">
        <v>1007</v>
      </c>
      <c r="O61" t="s">
        <v>290</v>
      </c>
      <c r="P61" t="s">
        <v>290</v>
      </c>
      <c r="Q61">
        <v>1</v>
      </c>
      <c r="W61">
        <v>0</v>
      </c>
      <c r="X61">
        <v>693153122</v>
      </c>
      <c r="Y61">
        <v>0.73899999999999999</v>
      </c>
      <c r="AA61">
        <v>22.2</v>
      </c>
      <c r="AB61">
        <v>0</v>
      </c>
      <c r="AC61">
        <v>0</v>
      </c>
      <c r="AD61">
        <v>0</v>
      </c>
      <c r="AE61">
        <v>2.44</v>
      </c>
      <c r="AF61">
        <v>0</v>
      </c>
      <c r="AG61">
        <v>0</v>
      </c>
      <c r="AH61">
        <v>0</v>
      </c>
      <c r="AI61">
        <v>9.1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0.73899999999999999</v>
      </c>
      <c r="AU61" t="s">
        <v>3</v>
      </c>
      <c r="AV61">
        <v>0</v>
      </c>
      <c r="AW61">
        <v>2</v>
      </c>
      <c r="AX61">
        <v>33891225</v>
      </c>
      <c r="AY61">
        <v>1</v>
      </c>
      <c r="AZ61">
        <v>0</v>
      </c>
      <c r="BA61">
        <v>59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Y61*Source!I76</f>
        <v>3.6950000000000004E-2</v>
      </c>
      <c r="CY61">
        <f>AA61</f>
        <v>22.2</v>
      </c>
      <c r="CZ61">
        <f>AE61</f>
        <v>2.44</v>
      </c>
      <c r="DA61">
        <f>AI61</f>
        <v>9.1</v>
      </c>
      <c r="DB61">
        <f>ROUND(ROUND(AT61*CZ61,2),6)</f>
        <v>1.8</v>
      </c>
      <c r="DC61">
        <f>ROUND(ROUND(AT61*AG61,2),6)</f>
        <v>0</v>
      </c>
    </row>
    <row r="62" spans="1:107">
      <c r="A62">
        <f>ROW(Source!A77)</f>
        <v>77</v>
      </c>
      <c r="B62">
        <v>33806715</v>
      </c>
      <c r="C62">
        <v>33891331</v>
      </c>
      <c r="D62">
        <v>31427453</v>
      </c>
      <c r="E62">
        <v>1</v>
      </c>
      <c r="F62">
        <v>1</v>
      </c>
      <c r="G62">
        <v>1</v>
      </c>
      <c r="H62">
        <v>1</v>
      </c>
      <c r="I62" t="s">
        <v>387</v>
      </c>
      <c r="J62" t="s">
        <v>3</v>
      </c>
      <c r="K62" t="s">
        <v>388</v>
      </c>
      <c r="L62">
        <v>1369</v>
      </c>
      <c r="N62">
        <v>1013</v>
      </c>
      <c r="O62" t="s">
        <v>268</v>
      </c>
      <c r="P62" t="s">
        <v>268</v>
      </c>
      <c r="Q62">
        <v>1</v>
      </c>
      <c r="W62">
        <v>0</v>
      </c>
      <c r="X62">
        <v>1499813984</v>
      </c>
      <c r="Y62">
        <v>88.124499999999983</v>
      </c>
      <c r="AA62">
        <v>0</v>
      </c>
      <c r="AB62">
        <v>0</v>
      </c>
      <c r="AC62">
        <v>0</v>
      </c>
      <c r="AD62">
        <v>285.36</v>
      </c>
      <c r="AE62">
        <v>0</v>
      </c>
      <c r="AF62">
        <v>0</v>
      </c>
      <c r="AG62">
        <v>0</v>
      </c>
      <c r="AH62">
        <v>285.36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76.63</v>
      </c>
      <c r="AU62" t="s">
        <v>75</v>
      </c>
      <c r="AV62">
        <v>1</v>
      </c>
      <c r="AW62">
        <v>2</v>
      </c>
      <c r="AX62">
        <v>33891345</v>
      </c>
      <c r="AY62">
        <v>2</v>
      </c>
      <c r="AZ62">
        <v>131072</v>
      </c>
      <c r="BA62">
        <v>60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Y62*Source!I77</f>
        <v>4.4062249999999992</v>
      </c>
      <c r="CY62">
        <f>AD62</f>
        <v>285.36</v>
      </c>
      <c r="CZ62">
        <f>AH62</f>
        <v>285.36</v>
      </c>
      <c r="DA62">
        <f>AL62</f>
        <v>1</v>
      </c>
      <c r="DB62">
        <f>ROUND((ROUND(AT62*CZ62,2)*1.15),6)</f>
        <v>25147.210999999999</v>
      </c>
      <c r="DC62">
        <f>ROUND((ROUND(AT62*AG62,2)*1.15),6)</f>
        <v>0</v>
      </c>
    </row>
    <row r="63" spans="1:107">
      <c r="A63">
        <f>ROW(Source!A77)</f>
        <v>77</v>
      </c>
      <c r="B63">
        <v>33806715</v>
      </c>
      <c r="C63">
        <v>33891331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86</v>
      </c>
      <c r="J63" t="s">
        <v>3</v>
      </c>
      <c r="K63" t="s">
        <v>269</v>
      </c>
      <c r="L63">
        <v>608254</v>
      </c>
      <c r="N63">
        <v>1013</v>
      </c>
      <c r="O63" t="s">
        <v>270</v>
      </c>
      <c r="P63" t="s">
        <v>270</v>
      </c>
      <c r="Q63">
        <v>1</v>
      </c>
      <c r="W63">
        <v>0</v>
      </c>
      <c r="X63">
        <v>-185737400</v>
      </c>
      <c r="Y63">
        <v>5.2749999999999995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4.22</v>
      </c>
      <c r="AU63" t="s">
        <v>74</v>
      </c>
      <c r="AV63">
        <v>2</v>
      </c>
      <c r="AW63">
        <v>2</v>
      </c>
      <c r="AX63">
        <v>33891346</v>
      </c>
      <c r="AY63">
        <v>1</v>
      </c>
      <c r="AZ63">
        <v>0</v>
      </c>
      <c r="BA63">
        <v>61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Y63*Source!I77</f>
        <v>0.26374999999999998</v>
      </c>
      <c r="CY63">
        <f>AD63</f>
        <v>0</v>
      </c>
      <c r="CZ63">
        <f>AH63</f>
        <v>0</v>
      </c>
      <c r="DA63">
        <f>AL63</f>
        <v>1</v>
      </c>
      <c r="DB63">
        <f t="shared" ref="DB63:DB68" si="14">ROUND((ROUND(AT63*CZ63,2)*1.25),6)</f>
        <v>0</v>
      </c>
      <c r="DC63">
        <f t="shared" ref="DC63:DC68" si="15">ROUND((ROUND(AT63*AG63,2)*1.25),6)</f>
        <v>0</v>
      </c>
    </row>
    <row r="64" spans="1:107">
      <c r="A64">
        <f>ROW(Source!A77)</f>
        <v>77</v>
      </c>
      <c r="B64">
        <v>33806715</v>
      </c>
      <c r="C64">
        <v>33891331</v>
      </c>
      <c r="D64">
        <v>31425428</v>
      </c>
      <c r="E64">
        <v>1</v>
      </c>
      <c r="F64">
        <v>1</v>
      </c>
      <c r="G64">
        <v>1</v>
      </c>
      <c r="H64">
        <v>2</v>
      </c>
      <c r="I64" t="s">
        <v>389</v>
      </c>
      <c r="J64" t="s">
        <v>390</v>
      </c>
      <c r="K64" t="s">
        <v>391</v>
      </c>
      <c r="L64">
        <v>1368</v>
      </c>
      <c r="N64">
        <v>1011</v>
      </c>
      <c r="O64" t="s">
        <v>274</v>
      </c>
      <c r="P64" t="s">
        <v>274</v>
      </c>
      <c r="Q64">
        <v>1</v>
      </c>
      <c r="W64">
        <v>0</v>
      </c>
      <c r="X64">
        <v>-112483710</v>
      </c>
      <c r="Y64">
        <v>0.44999999999999996</v>
      </c>
      <c r="AA64">
        <v>0</v>
      </c>
      <c r="AB64">
        <v>885.03</v>
      </c>
      <c r="AC64">
        <v>331.07</v>
      </c>
      <c r="AD64">
        <v>0</v>
      </c>
      <c r="AE64">
        <v>0</v>
      </c>
      <c r="AF64">
        <v>99.89</v>
      </c>
      <c r="AG64">
        <v>10.06</v>
      </c>
      <c r="AH64">
        <v>0</v>
      </c>
      <c r="AI64">
        <v>1</v>
      </c>
      <c r="AJ64">
        <v>8.86</v>
      </c>
      <c r="AK64">
        <v>32.909999999999997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0.36</v>
      </c>
      <c r="AU64" t="s">
        <v>74</v>
      </c>
      <c r="AV64">
        <v>0</v>
      </c>
      <c r="AW64">
        <v>2</v>
      </c>
      <c r="AX64">
        <v>33891347</v>
      </c>
      <c r="AY64">
        <v>1</v>
      </c>
      <c r="AZ64">
        <v>0</v>
      </c>
      <c r="BA64">
        <v>62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Y64*Source!I77</f>
        <v>2.2499999999999999E-2</v>
      </c>
      <c r="CY64">
        <f>AB64</f>
        <v>885.03</v>
      </c>
      <c r="CZ64">
        <f>AF64</f>
        <v>99.89</v>
      </c>
      <c r="DA64">
        <f>AJ64</f>
        <v>8.86</v>
      </c>
      <c r="DB64">
        <f t="shared" si="14"/>
        <v>44.95</v>
      </c>
      <c r="DC64">
        <f t="shared" si="15"/>
        <v>4.5250000000000004</v>
      </c>
    </row>
    <row r="65" spans="1:107">
      <c r="A65">
        <f>ROW(Source!A77)</f>
        <v>77</v>
      </c>
      <c r="B65">
        <v>33806715</v>
      </c>
      <c r="C65">
        <v>33891331</v>
      </c>
      <c r="D65">
        <v>31425452</v>
      </c>
      <c r="E65">
        <v>1</v>
      </c>
      <c r="F65">
        <v>1</v>
      </c>
      <c r="G65">
        <v>1</v>
      </c>
      <c r="H65">
        <v>2</v>
      </c>
      <c r="I65" t="s">
        <v>392</v>
      </c>
      <c r="J65" t="s">
        <v>393</v>
      </c>
      <c r="K65" t="s">
        <v>394</v>
      </c>
      <c r="L65">
        <v>1368</v>
      </c>
      <c r="N65">
        <v>1011</v>
      </c>
      <c r="O65" t="s">
        <v>274</v>
      </c>
      <c r="P65" t="s">
        <v>274</v>
      </c>
      <c r="Q65">
        <v>1</v>
      </c>
      <c r="W65">
        <v>0</v>
      </c>
      <c r="X65">
        <v>207395749</v>
      </c>
      <c r="Y65">
        <v>2.875</v>
      </c>
      <c r="AA65">
        <v>0</v>
      </c>
      <c r="AB65">
        <v>423.34</v>
      </c>
      <c r="AC65">
        <v>381.76</v>
      </c>
      <c r="AD65">
        <v>0</v>
      </c>
      <c r="AE65">
        <v>0</v>
      </c>
      <c r="AF65">
        <v>29.46</v>
      </c>
      <c r="AG65">
        <v>11.6</v>
      </c>
      <c r="AH65">
        <v>0</v>
      </c>
      <c r="AI65">
        <v>1</v>
      </c>
      <c r="AJ65">
        <v>14.37</v>
      </c>
      <c r="AK65">
        <v>32.909999999999997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2.2999999999999998</v>
      </c>
      <c r="AU65" t="s">
        <v>74</v>
      </c>
      <c r="AV65">
        <v>0</v>
      </c>
      <c r="AW65">
        <v>2</v>
      </c>
      <c r="AX65">
        <v>33891348</v>
      </c>
      <c r="AY65">
        <v>1</v>
      </c>
      <c r="AZ65">
        <v>0</v>
      </c>
      <c r="BA65">
        <v>63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Y65*Source!I77</f>
        <v>0.14375000000000002</v>
      </c>
      <c r="CY65">
        <f>AB65</f>
        <v>423.34</v>
      </c>
      <c r="CZ65">
        <f>AF65</f>
        <v>29.46</v>
      </c>
      <c r="DA65">
        <f>AJ65</f>
        <v>14.37</v>
      </c>
      <c r="DB65">
        <f t="shared" si="14"/>
        <v>84.7</v>
      </c>
      <c r="DC65">
        <f t="shared" si="15"/>
        <v>33.35</v>
      </c>
    </row>
    <row r="66" spans="1:107">
      <c r="A66">
        <f>ROW(Source!A77)</f>
        <v>77</v>
      </c>
      <c r="B66">
        <v>33806715</v>
      </c>
      <c r="C66">
        <v>33891331</v>
      </c>
      <c r="D66">
        <v>31425505</v>
      </c>
      <c r="E66">
        <v>1</v>
      </c>
      <c r="F66">
        <v>1</v>
      </c>
      <c r="G66">
        <v>1</v>
      </c>
      <c r="H66">
        <v>2</v>
      </c>
      <c r="I66" t="s">
        <v>395</v>
      </c>
      <c r="J66" t="s">
        <v>396</v>
      </c>
      <c r="K66" t="s">
        <v>397</v>
      </c>
      <c r="L66">
        <v>1368</v>
      </c>
      <c r="N66">
        <v>1011</v>
      </c>
      <c r="O66" t="s">
        <v>274</v>
      </c>
      <c r="P66" t="s">
        <v>274</v>
      </c>
      <c r="Q66">
        <v>1</v>
      </c>
      <c r="W66">
        <v>0</v>
      </c>
      <c r="X66">
        <v>-1636209361</v>
      </c>
      <c r="Y66">
        <v>1.9500000000000002</v>
      </c>
      <c r="AA66">
        <v>0</v>
      </c>
      <c r="AB66">
        <v>352.78</v>
      </c>
      <c r="AC66">
        <v>331.07</v>
      </c>
      <c r="AD66">
        <v>0</v>
      </c>
      <c r="AE66">
        <v>0</v>
      </c>
      <c r="AF66">
        <v>12.4</v>
      </c>
      <c r="AG66">
        <v>10.06</v>
      </c>
      <c r="AH66">
        <v>0</v>
      </c>
      <c r="AI66">
        <v>1</v>
      </c>
      <c r="AJ66">
        <v>28.45</v>
      </c>
      <c r="AK66">
        <v>32.909999999999997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1.56</v>
      </c>
      <c r="AU66" t="s">
        <v>74</v>
      </c>
      <c r="AV66">
        <v>0</v>
      </c>
      <c r="AW66">
        <v>2</v>
      </c>
      <c r="AX66">
        <v>33891349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Y66*Source!I77</f>
        <v>9.7500000000000017E-2</v>
      </c>
      <c r="CY66">
        <f>AB66</f>
        <v>352.78</v>
      </c>
      <c r="CZ66">
        <f>AF66</f>
        <v>12.4</v>
      </c>
      <c r="DA66">
        <f>AJ66</f>
        <v>28.45</v>
      </c>
      <c r="DB66">
        <f t="shared" si="14"/>
        <v>24.175000000000001</v>
      </c>
      <c r="DC66">
        <f t="shared" si="15"/>
        <v>19.612500000000001</v>
      </c>
    </row>
    <row r="67" spans="1:107">
      <c r="A67">
        <f>ROW(Source!A77)</f>
        <v>77</v>
      </c>
      <c r="B67">
        <v>33806715</v>
      </c>
      <c r="C67">
        <v>33891331</v>
      </c>
      <c r="D67">
        <v>31425668</v>
      </c>
      <c r="E67">
        <v>1</v>
      </c>
      <c r="F67">
        <v>1</v>
      </c>
      <c r="G67">
        <v>1</v>
      </c>
      <c r="H67">
        <v>2</v>
      </c>
      <c r="I67" t="s">
        <v>398</v>
      </c>
      <c r="J67" t="s">
        <v>399</v>
      </c>
      <c r="K67" t="s">
        <v>400</v>
      </c>
      <c r="L67">
        <v>1368</v>
      </c>
      <c r="N67">
        <v>1011</v>
      </c>
      <c r="O67" t="s">
        <v>274</v>
      </c>
      <c r="P67" t="s">
        <v>274</v>
      </c>
      <c r="Q67">
        <v>1</v>
      </c>
      <c r="W67">
        <v>0</v>
      </c>
      <c r="X67">
        <v>-1084037678</v>
      </c>
      <c r="Y67">
        <v>6.25E-2</v>
      </c>
      <c r="AA67">
        <v>0</v>
      </c>
      <c r="AB67">
        <v>17.45</v>
      </c>
      <c r="AC67">
        <v>0</v>
      </c>
      <c r="AD67">
        <v>0</v>
      </c>
      <c r="AE67">
        <v>0</v>
      </c>
      <c r="AF67">
        <v>9.9700000000000006</v>
      </c>
      <c r="AG67">
        <v>0</v>
      </c>
      <c r="AH67">
        <v>0</v>
      </c>
      <c r="AI67">
        <v>1</v>
      </c>
      <c r="AJ67">
        <v>1.75</v>
      </c>
      <c r="AK67">
        <v>32.909999999999997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0.05</v>
      </c>
      <c r="AU67" t="s">
        <v>74</v>
      </c>
      <c r="AV67">
        <v>0</v>
      </c>
      <c r="AW67">
        <v>2</v>
      </c>
      <c r="AX67">
        <v>33891350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Y67*Source!I77</f>
        <v>3.1250000000000002E-3</v>
      </c>
      <c r="CY67">
        <f>AB67</f>
        <v>17.45</v>
      </c>
      <c r="CZ67">
        <f>AF67</f>
        <v>9.9700000000000006</v>
      </c>
      <c r="DA67">
        <f>AJ67</f>
        <v>1.75</v>
      </c>
      <c r="DB67">
        <f t="shared" si="14"/>
        <v>0.625</v>
      </c>
      <c r="DC67">
        <f t="shared" si="15"/>
        <v>0</v>
      </c>
    </row>
    <row r="68" spans="1:107">
      <c r="A68">
        <f>ROW(Source!A77)</f>
        <v>77</v>
      </c>
      <c r="B68">
        <v>33806715</v>
      </c>
      <c r="C68">
        <v>33891331</v>
      </c>
      <c r="D68">
        <v>31425703</v>
      </c>
      <c r="E68">
        <v>1</v>
      </c>
      <c r="F68">
        <v>1</v>
      </c>
      <c r="G68">
        <v>1</v>
      </c>
      <c r="H68">
        <v>2</v>
      </c>
      <c r="I68" t="s">
        <v>278</v>
      </c>
      <c r="J68" t="s">
        <v>401</v>
      </c>
      <c r="K68" t="s">
        <v>280</v>
      </c>
      <c r="L68">
        <v>1368</v>
      </c>
      <c r="N68">
        <v>1011</v>
      </c>
      <c r="O68" t="s">
        <v>274</v>
      </c>
      <c r="P68" t="s">
        <v>274</v>
      </c>
      <c r="Q68">
        <v>1</v>
      </c>
      <c r="W68">
        <v>0</v>
      </c>
      <c r="X68">
        <v>1062115854</v>
      </c>
      <c r="Y68">
        <v>0.35000000000000003</v>
      </c>
      <c r="AA68">
        <v>0</v>
      </c>
      <c r="AB68">
        <v>918.77</v>
      </c>
      <c r="AC68">
        <v>381.76</v>
      </c>
      <c r="AD68">
        <v>0</v>
      </c>
      <c r="AE68">
        <v>0</v>
      </c>
      <c r="AF68">
        <v>87.17</v>
      </c>
      <c r="AG68">
        <v>11.6</v>
      </c>
      <c r="AH68">
        <v>0</v>
      </c>
      <c r="AI68">
        <v>1</v>
      </c>
      <c r="AJ68">
        <v>10.54</v>
      </c>
      <c r="AK68">
        <v>32.909999999999997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0.28000000000000003</v>
      </c>
      <c r="AU68" t="s">
        <v>74</v>
      </c>
      <c r="AV68">
        <v>0</v>
      </c>
      <c r="AW68">
        <v>2</v>
      </c>
      <c r="AX68">
        <v>33891351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Y68*Source!I77</f>
        <v>1.7500000000000002E-2</v>
      </c>
      <c r="CY68">
        <f>AB68</f>
        <v>918.77</v>
      </c>
      <c r="CZ68">
        <f>AF68</f>
        <v>87.17</v>
      </c>
      <c r="DA68">
        <f>AJ68</f>
        <v>10.54</v>
      </c>
      <c r="DB68">
        <f t="shared" si="14"/>
        <v>30.512499999999999</v>
      </c>
      <c r="DC68">
        <f t="shared" si="15"/>
        <v>4.0625</v>
      </c>
    </row>
    <row r="69" spans="1:107">
      <c r="A69">
        <f>ROW(Source!A77)</f>
        <v>77</v>
      </c>
      <c r="B69">
        <v>33806715</v>
      </c>
      <c r="C69">
        <v>33891331</v>
      </c>
      <c r="D69">
        <v>29110036</v>
      </c>
      <c r="E69">
        <v>1</v>
      </c>
      <c r="F69">
        <v>1</v>
      </c>
      <c r="G69">
        <v>1</v>
      </c>
      <c r="H69">
        <v>3</v>
      </c>
      <c r="I69" t="s">
        <v>141</v>
      </c>
      <c r="J69" t="s">
        <v>144</v>
      </c>
      <c r="K69" t="s">
        <v>142</v>
      </c>
      <c r="L69">
        <v>1327</v>
      </c>
      <c r="N69">
        <v>1005</v>
      </c>
      <c r="O69" t="s">
        <v>143</v>
      </c>
      <c r="P69" t="s">
        <v>143</v>
      </c>
      <c r="Q69">
        <v>1</v>
      </c>
      <c r="W69">
        <v>0</v>
      </c>
      <c r="X69">
        <v>-236491345</v>
      </c>
      <c r="Y69">
        <v>100</v>
      </c>
      <c r="AA69">
        <v>513.25</v>
      </c>
      <c r="AB69">
        <v>0</v>
      </c>
      <c r="AC69">
        <v>0</v>
      </c>
      <c r="AD69">
        <v>0</v>
      </c>
      <c r="AE69">
        <v>67.8</v>
      </c>
      <c r="AF69">
        <v>0</v>
      </c>
      <c r="AG69">
        <v>0</v>
      </c>
      <c r="AH69">
        <v>0</v>
      </c>
      <c r="AI69">
        <v>7.57</v>
      </c>
      <c r="AJ69">
        <v>1</v>
      </c>
      <c r="AK69">
        <v>1</v>
      </c>
      <c r="AL69">
        <v>1</v>
      </c>
      <c r="AN69">
        <v>0</v>
      </c>
      <c r="AO69">
        <v>0</v>
      </c>
      <c r="AP69">
        <v>0</v>
      </c>
      <c r="AQ69">
        <v>0</v>
      </c>
      <c r="AR69">
        <v>0</v>
      </c>
      <c r="AS69" t="s">
        <v>3</v>
      </c>
      <c r="AT69">
        <v>100</v>
      </c>
      <c r="AU69" t="s">
        <v>3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Y69*Source!I77</f>
        <v>5</v>
      </c>
      <c r="CY69">
        <f t="shared" ref="CY69:CY74" si="16">AA69</f>
        <v>513.25</v>
      </c>
      <c r="CZ69">
        <f t="shared" ref="CZ69:CZ74" si="17">AE69</f>
        <v>67.8</v>
      </c>
      <c r="DA69">
        <f t="shared" ref="DA69:DA74" si="18">AI69</f>
        <v>7.57</v>
      </c>
      <c r="DB69">
        <f t="shared" ref="DB69:DB74" si="19">ROUND(ROUND(AT69*CZ69,2),6)</f>
        <v>6780</v>
      </c>
      <c r="DC69">
        <f t="shared" ref="DC69:DC74" si="20">ROUND(ROUND(AT69*AG69,2),6)</f>
        <v>0</v>
      </c>
    </row>
    <row r="70" spans="1:107">
      <c r="A70">
        <f>ROW(Source!A77)</f>
        <v>77</v>
      </c>
      <c r="B70">
        <v>33806715</v>
      </c>
      <c r="C70">
        <v>33891331</v>
      </c>
      <c r="D70">
        <v>31423684</v>
      </c>
      <c r="E70">
        <v>1</v>
      </c>
      <c r="F70">
        <v>1</v>
      </c>
      <c r="G70">
        <v>1</v>
      </c>
      <c r="H70">
        <v>3</v>
      </c>
      <c r="I70" t="s">
        <v>281</v>
      </c>
      <c r="J70" t="s">
        <v>402</v>
      </c>
      <c r="K70" t="s">
        <v>283</v>
      </c>
      <c r="L70">
        <v>1346</v>
      </c>
      <c r="N70">
        <v>1009</v>
      </c>
      <c r="O70" t="s">
        <v>84</v>
      </c>
      <c r="P70" t="s">
        <v>84</v>
      </c>
      <c r="Q70">
        <v>1</v>
      </c>
      <c r="W70">
        <v>0</v>
      </c>
      <c r="X70">
        <v>4619106</v>
      </c>
      <c r="Y70">
        <v>0.5</v>
      </c>
      <c r="AA70">
        <v>46.61</v>
      </c>
      <c r="AB70">
        <v>0</v>
      </c>
      <c r="AC70">
        <v>0</v>
      </c>
      <c r="AD70">
        <v>0</v>
      </c>
      <c r="AE70">
        <v>1.81</v>
      </c>
      <c r="AF70">
        <v>0</v>
      </c>
      <c r="AG70">
        <v>0</v>
      </c>
      <c r="AH70">
        <v>0</v>
      </c>
      <c r="AI70">
        <v>25.75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0.5</v>
      </c>
      <c r="AU70" t="s">
        <v>3</v>
      </c>
      <c r="AV70">
        <v>0</v>
      </c>
      <c r="AW70">
        <v>2</v>
      </c>
      <c r="AX70">
        <v>33891352</v>
      </c>
      <c r="AY70">
        <v>1</v>
      </c>
      <c r="AZ70">
        <v>0</v>
      </c>
      <c r="BA70">
        <v>67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Y70*Source!I77</f>
        <v>2.5000000000000001E-2</v>
      </c>
      <c r="CY70">
        <f t="shared" si="16"/>
        <v>46.61</v>
      </c>
      <c r="CZ70">
        <f t="shared" si="17"/>
        <v>1.81</v>
      </c>
      <c r="DA70">
        <f t="shared" si="18"/>
        <v>25.75</v>
      </c>
      <c r="DB70">
        <f t="shared" si="19"/>
        <v>0.91</v>
      </c>
      <c r="DC70">
        <f t="shared" si="20"/>
        <v>0</v>
      </c>
    </row>
    <row r="71" spans="1:107">
      <c r="A71">
        <f>ROW(Source!A77)</f>
        <v>77</v>
      </c>
      <c r="B71">
        <v>33806715</v>
      </c>
      <c r="C71">
        <v>33891331</v>
      </c>
      <c r="D71">
        <v>31423686</v>
      </c>
      <c r="E71">
        <v>1</v>
      </c>
      <c r="F71">
        <v>1</v>
      </c>
      <c r="G71">
        <v>1</v>
      </c>
      <c r="H71">
        <v>3</v>
      </c>
      <c r="I71" t="s">
        <v>403</v>
      </c>
      <c r="J71" t="s">
        <v>404</v>
      </c>
      <c r="K71" t="s">
        <v>405</v>
      </c>
      <c r="L71">
        <v>1348</v>
      </c>
      <c r="N71">
        <v>1009</v>
      </c>
      <c r="O71" t="s">
        <v>101</v>
      </c>
      <c r="P71" t="s">
        <v>101</v>
      </c>
      <c r="Q71">
        <v>1000</v>
      </c>
      <c r="W71">
        <v>0</v>
      </c>
      <c r="X71">
        <v>1220443644</v>
      </c>
      <c r="Y71">
        <v>0.05</v>
      </c>
      <c r="AA71">
        <v>38737.9</v>
      </c>
      <c r="AB71">
        <v>0</v>
      </c>
      <c r="AC71">
        <v>0</v>
      </c>
      <c r="AD71">
        <v>0</v>
      </c>
      <c r="AE71">
        <v>6532.53</v>
      </c>
      <c r="AF71">
        <v>0</v>
      </c>
      <c r="AG71">
        <v>0</v>
      </c>
      <c r="AH71">
        <v>0</v>
      </c>
      <c r="AI71">
        <v>5.93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0.05</v>
      </c>
      <c r="AU71" t="s">
        <v>3</v>
      </c>
      <c r="AV71">
        <v>0</v>
      </c>
      <c r="AW71">
        <v>2</v>
      </c>
      <c r="AX71">
        <v>33891353</v>
      </c>
      <c r="AY71">
        <v>1</v>
      </c>
      <c r="AZ71">
        <v>0</v>
      </c>
      <c r="BA71">
        <v>68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Y71*Source!I77</f>
        <v>2.5000000000000005E-3</v>
      </c>
      <c r="CY71">
        <f t="shared" si="16"/>
        <v>38737.9</v>
      </c>
      <c r="CZ71">
        <f t="shared" si="17"/>
        <v>6532.53</v>
      </c>
      <c r="DA71">
        <f t="shared" si="18"/>
        <v>5.93</v>
      </c>
      <c r="DB71">
        <f t="shared" si="19"/>
        <v>326.63</v>
      </c>
      <c r="DC71">
        <f t="shared" si="20"/>
        <v>0</v>
      </c>
    </row>
    <row r="72" spans="1:107">
      <c r="A72">
        <f>ROW(Source!A77)</f>
        <v>77</v>
      </c>
      <c r="B72">
        <v>33806715</v>
      </c>
      <c r="C72">
        <v>33891331</v>
      </c>
      <c r="D72">
        <v>31423740</v>
      </c>
      <c r="E72">
        <v>1</v>
      </c>
      <c r="F72">
        <v>1</v>
      </c>
      <c r="G72">
        <v>1</v>
      </c>
      <c r="H72">
        <v>3</v>
      </c>
      <c r="I72" t="s">
        <v>406</v>
      </c>
      <c r="J72" t="s">
        <v>407</v>
      </c>
      <c r="K72" t="s">
        <v>408</v>
      </c>
      <c r="L72">
        <v>1346</v>
      </c>
      <c r="N72">
        <v>1009</v>
      </c>
      <c r="O72" t="s">
        <v>84</v>
      </c>
      <c r="P72" t="s">
        <v>84</v>
      </c>
      <c r="Q72">
        <v>1</v>
      </c>
      <c r="W72">
        <v>0</v>
      </c>
      <c r="X72">
        <v>-2042073130</v>
      </c>
      <c r="Y72">
        <v>430</v>
      </c>
      <c r="AA72">
        <v>15.98</v>
      </c>
      <c r="AB72">
        <v>0</v>
      </c>
      <c r="AC72">
        <v>0</v>
      </c>
      <c r="AD72">
        <v>0</v>
      </c>
      <c r="AE72">
        <v>3.86</v>
      </c>
      <c r="AF72">
        <v>0</v>
      </c>
      <c r="AG72">
        <v>0</v>
      </c>
      <c r="AH72">
        <v>0</v>
      </c>
      <c r="AI72">
        <v>4.1399999999999997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430</v>
      </c>
      <c r="AU72" t="s">
        <v>3</v>
      </c>
      <c r="AV72">
        <v>0</v>
      </c>
      <c r="AW72">
        <v>2</v>
      </c>
      <c r="AX72">
        <v>33891354</v>
      </c>
      <c r="AY72">
        <v>1</v>
      </c>
      <c r="AZ72">
        <v>0</v>
      </c>
      <c r="BA72">
        <v>69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Y72*Source!I77</f>
        <v>21.5</v>
      </c>
      <c r="CY72">
        <f t="shared" si="16"/>
        <v>15.98</v>
      </c>
      <c r="CZ72">
        <f t="shared" si="17"/>
        <v>3.86</v>
      </c>
      <c r="DA72">
        <f t="shared" si="18"/>
        <v>4.1399999999999997</v>
      </c>
      <c r="DB72">
        <f t="shared" si="19"/>
        <v>1659.8</v>
      </c>
      <c r="DC72">
        <f t="shared" si="20"/>
        <v>0</v>
      </c>
    </row>
    <row r="73" spans="1:107">
      <c r="A73">
        <f>ROW(Source!A77)</f>
        <v>77</v>
      </c>
      <c r="B73">
        <v>33806715</v>
      </c>
      <c r="C73">
        <v>33891331</v>
      </c>
      <c r="D73">
        <v>31423757</v>
      </c>
      <c r="E73">
        <v>1</v>
      </c>
      <c r="F73">
        <v>1</v>
      </c>
      <c r="G73">
        <v>1</v>
      </c>
      <c r="H73">
        <v>3</v>
      </c>
      <c r="I73" t="s">
        <v>409</v>
      </c>
      <c r="J73" t="s">
        <v>410</v>
      </c>
      <c r="K73" t="s">
        <v>411</v>
      </c>
      <c r="L73">
        <v>1327</v>
      </c>
      <c r="N73">
        <v>1005</v>
      </c>
      <c r="O73" t="s">
        <v>143</v>
      </c>
      <c r="P73" t="s">
        <v>143</v>
      </c>
      <c r="Q73">
        <v>1</v>
      </c>
      <c r="W73">
        <v>0</v>
      </c>
      <c r="X73">
        <v>-405607654</v>
      </c>
      <c r="Y73">
        <v>102</v>
      </c>
      <c r="AA73">
        <v>321.83</v>
      </c>
      <c r="AB73">
        <v>0</v>
      </c>
      <c r="AC73">
        <v>0</v>
      </c>
      <c r="AD73">
        <v>0</v>
      </c>
      <c r="AE73">
        <v>69.209999999999994</v>
      </c>
      <c r="AF73">
        <v>0</v>
      </c>
      <c r="AG73">
        <v>0</v>
      </c>
      <c r="AH73">
        <v>0</v>
      </c>
      <c r="AI73">
        <v>4.6500000000000004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102</v>
      </c>
      <c r="AU73" t="s">
        <v>3</v>
      </c>
      <c r="AV73">
        <v>0</v>
      </c>
      <c r="AW73">
        <v>2</v>
      </c>
      <c r="AX73">
        <v>33891355</v>
      </c>
      <c r="AY73">
        <v>1</v>
      </c>
      <c r="AZ73">
        <v>0</v>
      </c>
      <c r="BA73">
        <v>70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Y73*Source!I77</f>
        <v>5.1000000000000005</v>
      </c>
      <c r="CY73">
        <f t="shared" si="16"/>
        <v>321.83</v>
      </c>
      <c r="CZ73">
        <f t="shared" si="17"/>
        <v>69.209999999999994</v>
      </c>
      <c r="DA73">
        <f t="shared" si="18"/>
        <v>4.6500000000000004</v>
      </c>
      <c r="DB73">
        <f t="shared" si="19"/>
        <v>7059.42</v>
      </c>
      <c r="DC73">
        <f t="shared" si="20"/>
        <v>0</v>
      </c>
    </row>
    <row r="74" spans="1:107">
      <c r="A74">
        <f>ROW(Source!A77)</f>
        <v>77</v>
      </c>
      <c r="B74">
        <v>33806715</v>
      </c>
      <c r="C74">
        <v>33891331</v>
      </c>
      <c r="D74">
        <v>31424695</v>
      </c>
      <c r="E74">
        <v>1</v>
      </c>
      <c r="F74">
        <v>1</v>
      </c>
      <c r="G74">
        <v>1</v>
      </c>
      <c r="H74">
        <v>3</v>
      </c>
      <c r="I74" t="s">
        <v>287</v>
      </c>
      <c r="J74" t="s">
        <v>412</v>
      </c>
      <c r="K74" t="s">
        <v>289</v>
      </c>
      <c r="L74">
        <v>1339</v>
      </c>
      <c r="N74">
        <v>1007</v>
      </c>
      <c r="O74" t="s">
        <v>290</v>
      </c>
      <c r="P74" t="s">
        <v>290</v>
      </c>
      <c r="Q74">
        <v>1</v>
      </c>
      <c r="W74">
        <v>0</v>
      </c>
      <c r="X74">
        <v>1536317706</v>
      </c>
      <c r="Y74">
        <v>3.5</v>
      </c>
      <c r="AA74">
        <v>22.2</v>
      </c>
      <c r="AB74">
        <v>0</v>
      </c>
      <c r="AC74">
        <v>0</v>
      </c>
      <c r="AD74">
        <v>0</v>
      </c>
      <c r="AE74">
        <v>2.44</v>
      </c>
      <c r="AF74">
        <v>0</v>
      </c>
      <c r="AG74">
        <v>0</v>
      </c>
      <c r="AH74">
        <v>0</v>
      </c>
      <c r="AI74">
        <v>9.1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3.5</v>
      </c>
      <c r="AU74" t="s">
        <v>3</v>
      </c>
      <c r="AV74">
        <v>0</v>
      </c>
      <c r="AW74">
        <v>2</v>
      </c>
      <c r="AX74">
        <v>33891356</v>
      </c>
      <c r="AY74">
        <v>1</v>
      </c>
      <c r="AZ74">
        <v>0</v>
      </c>
      <c r="BA74">
        <v>71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Y74*Source!I77</f>
        <v>0.17500000000000002</v>
      </c>
      <c r="CY74">
        <f t="shared" si="16"/>
        <v>22.2</v>
      </c>
      <c r="CZ74">
        <f t="shared" si="17"/>
        <v>2.44</v>
      </c>
      <c r="DA74">
        <f t="shared" si="18"/>
        <v>9.1</v>
      </c>
      <c r="DB74">
        <f t="shared" si="19"/>
        <v>8.5399999999999991</v>
      </c>
      <c r="DC74">
        <f t="shared" si="20"/>
        <v>0</v>
      </c>
    </row>
    <row r="75" spans="1:107">
      <c r="A75">
        <f>ROW(Source!A79)</f>
        <v>79</v>
      </c>
      <c r="B75">
        <v>33806715</v>
      </c>
      <c r="C75">
        <v>33891358</v>
      </c>
      <c r="D75">
        <v>18416200</v>
      </c>
      <c r="E75">
        <v>1</v>
      </c>
      <c r="F75">
        <v>1</v>
      </c>
      <c r="G75">
        <v>1</v>
      </c>
      <c r="H75">
        <v>1</v>
      </c>
      <c r="I75" t="s">
        <v>413</v>
      </c>
      <c r="J75" t="s">
        <v>3</v>
      </c>
      <c r="K75" t="s">
        <v>414</v>
      </c>
      <c r="L75">
        <v>1369</v>
      </c>
      <c r="N75">
        <v>1013</v>
      </c>
      <c r="O75" t="s">
        <v>268</v>
      </c>
      <c r="P75" t="s">
        <v>268</v>
      </c>
      <c r="Q75">
        <v>1</v>
      </c>
      <c r="W75">
        <v>0</v>
      </c>
      <c r="X75">
        <v>-1663475933</v>
      </c>
      <c r="Y75">
        <v>10.3385</v>
      </c>
      <c r="AA75">
        <v>0</v>
      </c>
      <c r="AB75">
        <v>0</v>
      </c>
      <c r="AC75">
        <v>0</v>
      </c>
      <c r="AD75">
        <v>318.66000000000003</v>
      </c>
      <c r="AE75">
        <v>0</v>
      </c>
      <c r="AF75">
        <v>0</v>
      </c>
      <c r="AG75">
        <v>0</v>
      </c>
      <c r="AH75">
        <v>318.66000000000003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8.99</v>
      </c>
      <c r="AU75" t="s">
        <v>75</v>
      </c>
      <c r="AV75">
        <v>1</v>
      </c>
      <c r="AW75">
        <v>2</v>
      </c>
      <c r="AX75">
        <v>33891363</v>
      </c>
      <c r="AY75">
        <v>2</v>
      </c>
      <c r="AZ75">
        <v>131072</v>
      </c>
      <c r="BA75">
        <v>72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Y75*Source!I79</f>
        <v>0.93046499999999999</v>
      </c>
      <c r="CY75">
        <f>AD75</f>
        <v>318.66000000000003</v>
      </c>
      <c r="CZ75">
        <f>AH75</f>
        <v>318.66000000000003</v>
      </c>
      <c r="DA75">
        <f>AL75</f>
        <v>1</v>
      </c>
      <c r="DB75">
        <f>ROUND((ROUND(AT75*CZ75,2)*1.15),6)</f>
        <v>3294.4625000000001</v>
      </c>
      <c r="DC75">
        <f>ROUND((ROUND(AT75*AG75,2)*1.15),6)</f>
        <v>0</v>
      </c>
    </row>
    <row r="76" spans="1:107">
      <c r="A76">
        <f>ROW(Source!A79)</f>
        <v>79</v>
      </c>
      <c r="B76">
        <v>33806715</v>
      </c>
      <c r="C76">
        <v>33891358</v>
      </c>
      <c r="D76">
        <v>29174913</v>
      </c>
      <c r="E76">
        <v>1</v>
      </c>
      <c r="F76">
        <v>1</v>
      </c>
      <c r="G76">
        <v>1</v>
      </c>
      <c r="H76">
        <v>2</v>
      </c>
      <c r="I76" t="s">
        <v>278</v>
      </c>
      <c r="J76" t="s">
        <v>279</v>
      </c>
      <c r="K76" t="s">
        <v>280</v>
      </c>
      <c r="L76">
        <v>1368</v>
      </c>
      <c r="N76">
        <v>1011</v>
      </c>
      <c r="O76" t="s">
        <v>274</v>
      </c>
      <c r="P76" t="s">
        <v>274</v>
      </c>
      <c r="Q76">
        <v>1</v>
      </c>
      <c r="W76">
        <v>0</v>
      </c>
      <c r="X76">
        <v>458544584</v>
      </c>
      <c r="Y76">
        <v>3.7499999999999999E-2</v>
      </c>
      <c r="AA76">
        <v>0</v>
      </c>
      <c r="AB76">
        <v>918.77</v>
      </c>
      <c r="AC76">
        <v>381.76</v>
      </c>
      <c r="AD76">
        <v>0</v>
      </c>
      <c r="AE76">
        <v>0</v>
      </c>
      <c r="AF76">
        <v>87.17</v>
      </c>
      <c r="AG76">
        <v>11.6</v>
      </c>
      <c r="AH76">
        <v>0</v>
      </c>
      <c r="AI76">
        <v>1</v>
      </c>
      <c r="AJ76">
        <v>10.54</v>
      </c>
      <c r="AK76">
        <v>32.909999999999997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0.03</v>
      </c>
      <c r="AU76" t="s">
        <v>74</v>
      </c>
      <c r="AV76">
        <v>0</v>
      </c>
      <c r="AW76">
        <v>2</v>
      </c>
      <c r="AX76">
        <v>33891364</v>
      </c>
      <c r="AY76">
        <v>1</v>
      </c>
      <c r="AZ76">
        <v>0</v>
      </c>
      <c r="BA76">
        <v>73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Y76*Source!I79</f>
        <v>3.375E-3</v>
      </c>
      <c r="CY76">
        <f>AB76</f>
        <v>918.77</v>
      </c>
      <c r="CZ76">
        <f>AF76</f>
        <v>87.17</v>
      </c>
      <c r="DA76">
        <f>AJ76</f>
        <v>10.54</v>
      </c>
      <c r="DB76">
        <f>ROUND((ROUND(AT76*CZ76,2)*1.25),6)</f>
        <v>3.2749999999999999</v>
      </c>
      <c r="DC76">
        <f>ROUND((ROUND(AT76*AG76,2)*1.25),6)</f>
        <v>0.4375</v>
      </c>
    </row>
    <row r="77" spans="1:107">
      <c r="A77">
        <f>ROW(Source!A79)</f>
        <v>79</v>
      </c>
      <c r="B77">
        <v>33806715</v>
      </c>
      <c r="C77">
        <v>33891358</v>
      </c>
      <c r="D77">
        <v>29111241</v>
      </c>
      <c r="E77">
        <v>1</v>
      </c>
      <c r="F77">
        <v>1</v>
      </c>
      <c r="G77">
        <v>1</v>
      </c>
      <c r="H77">
        <v>3</v>
      </c>
      <c r="I77" t="s">
        <v>415</v>
      </c>
      <c r="J77" t="s">
        <v>416</v>
      </c>
      <c r="K77" t="s">
        <v>417</v>
      </c>
      <c r="L77">
        <v>1346</v>
      </c>
      <c r="N77">
        <v>1009</v>
      </c>
      <c r="O77" t="s">
        <v>84</v>
      </c>
      <c r="P77" t="s">
        <v>84</v>
      </c>
      <c r="Q77">
        <v>1</v>
      </c>
      <c r="W77">
        <v>0</v>
      </c>
      <c r="X77">
        <v>1781035667</v>
      </c>
      <c r="Y77">
        <v>5.15</v>
      </c>
      <c r="AA77">
        <v>167.08</v>
      </c>
      <c r="AB77">
        <v>0</v>
      </c>
      <c r="AC77">
        <v>0</v>
      </c>
      <c r="AD77">
        <v>0</v>
      </c>
      <c r="AE77">
        <v>8.35</v>
      </c>
      <c r="AF77">
        <v>0</v>
      </c>
      <c r="AG77">
        <v>0</v>
      </c>
      <c r="AH77">
        <v>0</v>
      </c>
      <c r="AI77">
        <v>20.010000000000002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5.15</v>
      </c>
      <c r="AU77" t="s">
        <v>3</v>
      </c>
      <c r="AV77">
        <v>0</v>
      </c>
      <c r="AW77">
        <v>2</v>
      </c>
      <c r="AX77">
        <v>33891365</v>
      </c>
      <c r="AY77">
        <v>1</v>
      </c>
      <c r="AZ77">
        <v>0</v>
      </c>
      <c r="BA77">
        <v>74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Y77*Source!I79</f>
        <v>0.46350000000000002</v>
      </c>
      <c r="CY77">
        <f>AA77</f>
        <v>167.08</v>
      </c>
      <c r="CZ77">
        <f>AE77</f>
        <v>8.35</v>
      </c>
      <c r="DA77">
        <f>AI77</f>
        <v>20.010000000000002</v>
      </c>
      <c r="DB77">
        <f t="shared" ref="DB77:DB91" si="21">ROUND(ROUND(AT77*CZ77,2),6)</f>
        <v>43</v>
      </c>
      <c r="DC77">
        <f t="shared" ref="DC77:DC91" si="22">ROUND(ROUND(AT77*AG77,2),6)</f>
        <v>0</v>
      </c>
    </row>
    <row r="78" spans="1:107">
      <c r="A78">
        <f>ROW(Source!A79)</f>
        <v>79</v>
      </c>
      <c r="B78">
        <v>33806715</v>
      </c>
      <c r="C78">
        <v>33891358</v>
      </c>
      <c r="D78">
        <v>29110997</v>
      </c>
      <c r="E78">
        <v>1</v>
      </c>
      <c r="F78">
        <v>1</v>
      </c>
      <c r="G78">
        <v>1</v>
      </c>
      <c r="H78">
        <v>3</v>
      </c>
      <c r="I78" t="s">
        <v>418</v>
      </c>
      <c r="J78" t="s">
        <v>419</v>
      </c>
      <c r="K78" t="s">
        <v>420</v>
      </c>
      <c r="L78">
        <v>1301</v>
      </c>
      <c r="N78">
        <v>1003</v>
      </c>
      <c r="O78" t="s">
        <v>126</v>
      </c>
      <c r="P78" t="s">
        <v>126</v>
      </c>
      <c r="Q78">
        <v>1</v>
      </c>
      <c r="W78">
        <v>0</v>
      </c>
      <c r="X78">
        <v>1996222970</v>
      </c>
      <c r="Y78">
        <v>101</v>
      </c>
      <c r="AA78">
        <v>27.92</v>
      </c>
      <c r="AB78">
        <v>0</v>
      </c>
      <c r="AC78">
        <v>0</v>
      </c>
      <c r="AD78">
        <v>0</v>
      </c>
      <c r="AE78">
        <v>12.3</v>
      </c>
      <c r="AF78">
        <v>0</v>
      </c>
      <c r="AG78">
        <v>0</v>
      </c>
      <c r="AH78">
        <v>0</v>
      </c>
      <c r="AI78">
        <v>2.27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101</v>
      </c>
      <c r="AU78" t="s">
        <v>3</v>
      </c>
      <c r="AV78">
        <v>0</v>
      </c>
      <c r="AW78">
        <v>2</v>
      </c>
      <c r="AX78">
        <v>33891366</v>
      </c>
      <c r="AY78">
        <v>1</v>
      </c>
      <c r="AZ78">
        <v>0</v>
      </c>
      <c r="BA78">
        <v>75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Y78*Source!I79</f>
        <v>9.09</v>
      </c>
      <c r="CY78">
        <f>AA78</f>
        <v>27.92</v>
      </c>
      <c r="CZ78">
        <f>AE78</f>
        <v>12.3</v>
      </c>
      <c r="DA78">
        <f>AI78</f>
        <v>2.27</v>
      </c>
      <c r="DB78">
        <f t="shared" si="21"/>
        <v>1242.3</v>
      </c>
      <c r="DC78">
        <f t="shared" si="22"/>
        <v>0</v>
      </c>
    </row>
    <row r="79" spans="1:107">
      <c r="A79">
        <f>ROW(Source!A115)</f>
        <v>115</v>
      </c>
      <c r="B79">
        <v>33806715</v>
      </c>
      <c r="C79">
        <v>34139615</v>
      </c>
      <c r="D79">
        <v>9430636</v>
      </c>
      <c r="E79">
        <v>1</v>
      </c>
      <c r="F79">
        <v>1</v>
      </c>
      <c r="G79">
        <v>1</v>
      </c>
      <c r="H79">
        <v>1</v>
      </c>
      <c r="I79" t="s">
        <v>421</v>
      </c>
      <c r="J79" t="s">
        <v>3</v>
      </c>
      <c r="K79" t="s">
        <v>422</v>
      </c>
      <c r="L79">
        <v>1369</v>
      </c>
      <c r="N79">
        <v>1013</v>
      </c>
      <c r="O79" t="s">
        <v>268</v>
      </c>
      <c r="P79" t="s">
        <v>268</v>
      </c>
      <c r="Q79">
        <v>1</v>
      </c>
      <c r="W79">
        <v>0</v>
      </c>
      <c r="X79">
        <v>625109291</v>
      </c>
      <c r="Y79">
        <v>16.16</v>
      </c>
      <c r="AA79">
        <v>0</v>
      </c>
      <c r="AB79">
        <v>0</v>
      </c>
      <c r="AC79">
        <v>0</v>
      </c>
      <c r="AD79">
        <v>306.91000000000003</v>
      </c>
      <c r="AE79">
        <v>0</v>
      </c>
      <c r="AF79">
        <v>0</v>
      </c>
      <c r="AG79">
        <v>0</v>
      </c>
      <c r="AH79">
        <v>306.91000000000003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16.16</v>
      </c>
      <c r="AU79" t="s">
        <v>3</v>
      </c>
      <c r="AV79">
        <v>1</v>
      </c>
      <c r="AW79">
        <v>2</v>
      </c>
      <c r="AX79">
        <v>34139616</v>
      </c>
      <c r="AY79">
        <v>2</v>
      </c>
      <c r="AZ79">
        <v>131072</v>
      </c>
      <c r="BA79">
        <v>76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Y79*Source!I115</f>
        <v>0.96960000000000002</v>
      </c>
      <c r="CY79">
        <f>AD79</f>
        <v>306.91000000000003</v>
      </c>
      <c r="CZ79">
        <f>AH79</f>
        <v>306.91000000000003</v>
      </c>
      <c r="DA79">
        <f>AL79</f>
        <v>1</v>
      </c>
      <c r="DB79">
        <f t="shared" si="21"/>
        <v>4959.67</v>
      </c>
      <c r="DC79">
        <f t="shared" si="22"/>
        <v>0</v>
      </c>
    </row>
    <row r="80" spans="1:107">
      <c r="A80">
        <f>ROW(Source!A115)</f>
        <v>115</v>
      </c>
      <c r="B80">
        <v>33806715</v>
      </c>
      <c r="C80">
        <v>34139615</v>
      </c>
      <c r="D80">
        <v>121548</v>
      </c>
      <c r="E80">
        <v>1</v>
      </c>
      <c r="F80">
        <v>1</v>
      </c>
      <c r="G80">
        <v>1</v>
      </c>
      <c r="H80">
        <v>1</v>
      </c>
      <c r="I80" t="s">
        <v>86</v>
      </c>
      <c r="J80" t="s">
        <v>3</v>
      </c>
      <c r="K80" t="s">
        <v>269</v>
      </c>
      <c r="L80">
        <v>608254</v>
      </c>
      <c r="N80">
        <v>1013</v>
      </c>
      <c r="O80" t="s">
        <v>270</v>
      </c>
      <c r="P80" t="s">
        <v>270</v>
      </c>
      <c r="Q80">
        <v>1</v>
      </c>
      <c r="W80">
        <v>0</v>
      </c>
      <c r="X80">
        <v>-185737400</v>
      </c>
      <c r="Y80">
        <v>0.18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0.18</v>
      </c>
      <c r="AU80" t="s">
        <v>3</v>
      </c>
      <c r="AV80">
        <v>2</v>
      </c>
      <c r="AW80">
        <v>2</v>
      </c>
      <c r="AX80">
        <v>34139617</v>
      </c>
      <c r="AY80">
        <v>1</v>
      </c>
      <c r="AZ80">
        <v>0</v>
      </c>
      <c r="BA80">
        <v>77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Y80*Source!I115</f>
        <v>1.0799999999999999E-2</v>
      </c>
      <c r="CY80">
        <f>AD80</f>
        <v>0</v>
      </c>
      <c r="CZ80">
        <f>AH80</f>
        <v>0</v>
      </c>
      <c r="DA80">
        <f>AL80</f>
        <v>1</v>
      </c>
      <c r="DB80">
        <f t="shared" si="21"/>
        <v>0</v>
      </c>
      <c r="DC80">
        <f t="shared" si="22"/>
        <v>0</v>
      </c>
    </row>
    <row r="81" spans="1:107">
      <c r="A81">
        <f>ROW(Source!A115)</f>
        <v>115</v>
      </c>
      <c r="B81">
        <v>33806715</v>
      </c>
      <c r="C81">
        <v>34139615</v>
      </c>
      <c r="D81">
        <v>24316470</v>
      </c>
      <c r="E81">
        <v>1</v>
      </c>
      <c r="F81">
        <v>1</v>
      </c>
      <c r="G81">
        <v>1</v>
      </c>
      <c r="H81">
        <v>2</v>
      </c>
      <c r="I81" t="s">
        <v>423</v>
      </c>
      <c r="J81" t="s">
        <v>424</v>
      </c>
      <c r="K81" t="s">
        <v>425</v>
      </c>
      <c r="L81">
        <v>1368</v>
      </c>
      <c r="N81">
        <v>1011</v>
      </c>
      <c r="O81" t="s">
        <v>274</v>
      </c>
      <c r="P81" t="s">
        <v>274</v>
      </c>
      <c r="Q81">
        <v>1</v>
      </c>
      <c r="W81">
        <v>0</v>
      </c>
      <c r="X81">
        <v>-1522137766</v>
      </c>
      <c r="Y81">
        <v>0.18</v>
      </c>
      <c r="AA81">
        <v>0</v>
      </c>
      <c r="AB81">
        <v>1097.4000000000001</v>
      </c>
      <c r="AC81">
        <v>444.29</v>
      </c>
      <c r="AD81">
        <v>0</v>
      </c>
      <c r="AE81">
        <v>0</v>
      </c>
      <c r="AF81">
        <v>134.65</v>
      </c>
      <c r="AG81">
        <v>13.5</v>
      </c>
      <c r="AH81">
        <v>0</v>
      </c>
      <c r="AI81">
        <v>1</v>
      </c>
      <c r="AJ81">
        <v>8.15</v>
      </c>
      <c r="AK81">
        <v>32.909999999999997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0.18</v>
      </c>
      <c r="AU81" t="s">
        <v>3</v>
      </c>
      <c r="AV81">
        <v>0</v>
      </c>
      <c r="AW81">
        <v>2</v>
      </c>
      <c r="AX81">
        <v>34139618</v>
      </c>
      <c r="AY81">
        <v>1</v>
      </c>
      <c r="AZ81">
        <v>0</v>
      </c>
      <c r="BA81">
        <v>78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Y81*Source!I115</f>
        <v>1.0799999999999999E-2</v>
      </c>
      <c r="CY81">
        <f>AB81</f>
        <v>1097.4000000000001</v>
      </c>
      <c r="CZ81">
        <f>AF81</f>
        <v>134.65</v>
      </c>
      <c r="DA81">
        <f>AJ81</f>
        <v>8.15</v>
      </c>
      <c r="DB81">
        <f t="shared" si="21"/>
        <v>24.24</v>
      </c>
      <c r="DC81">
        <f t="shared" si="22"/>
        <v>2.4300000000000002</v>
      </c>
    </row>
    <row r="82" spans="1:107">
      <c r="A82">
        <f>ROW(Source!A115)</f>
        <v>115</v>
      </c>
      <c r="B82">
        <v>33806715</v>
      </c>
      <c r="C82">
        <v>34139615</v>
      </c>
      <c r="D82">
        <v>24262102</v>
      </c>
      <c r="E82">
        <v>1</v>
      </c>
      <c r="F82">
        <v>1</v>
      </c>
      <c r="G82">
        <v>1</v>
      </c>
      <c r="H82">
        <v>2</v>
      </c>
      <c r="I82" t="s">
        <v>278</v>
      </c>
      <c r="J82" t="s">
        <v>426</v>
      </c>
      <c r="K82" t="s">
        <v>280</v>
      </c>
      <c r="L82">
        <v>1368</v>
      </c>
      <c r="N82">
        <v>1011</v>
      </c>
      <c r="O82" t="s">
        <v>274</v>
      </c>
      <c r="P82" t="s">
        <v>274</v>
      </c>
      <c r="Q82">
        <v>1</v>
      </c>
      <c r="W82">
        <v>0</v>
      </c>
      <c r="X82">
        <v>-365761310</v>
      </c>
      <c r="Y82">
        <v>0.18</v>
      </c>
      <c r="AA82">
        <v>0</v>
      </c>
      <c r="AB82">
        <v>918.77</v>
      </c>
      <c r="AC82">
        <v>381.76</v>
      </c>
      <c r="AD82">
        <v>0</v>
      </c>
      <c r="AE82">
        <v>0</v>
      </c>
      <c r="AF82">
        <v>87.17</v>
      </c>
      <c r="AG82">
        <v>11.6</v>
      </c>
      <c r="AH82">
        <v>0</v>
      </c>
      <c r="AI82">
        <v>1</v>
      </c>
      <c r="AJ82">
        <v>10.54</v>
      </c>
      <c r="AK82">
        <v>32.909999999999997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0.18</v>
      </c>
      <c r="AU82" t="s">
        <v>3</v>
      </c>
      <c r="AV82">
        <v>0</v>
      </c>
      <c r="AW82">
        <v>2</v>
      </c>
      <c r="AX82">
        <v>34139619</v>
      </c>
      <c r="AY82">
        <v>1</v>
      </c>
      <c r="AZ82">
        <v>0</v>
      </c>
      <c r="BA82">
        <v>79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Y82*Source!I115</f>
        <v>1.0799999999999999E-2</v>
      </c>
      <c r="CY82">
        <f>AB82</f>
        <v>918.77</v>
      </c>
      <c r="CZ82">
        <f>AF82</f>
        <v>87.17</v>
      </c>
      <c r="DA82">
        <f>AJ82</f>
        <v>10.54</v>
      </c>
      <c r="DB82">
        <f t="shared" si="21"/>
        <v>15.69</v>
      </c>
      <c r="DC82">
        <f t="shared" si="22"/>
        <v>2.09</v>
      </c>
    </row>
    <row r="83" spans="1:107">
      <c r="A83">
        <f>ROW(Source!A115)</f>
        <v>115</v>
      </c>
      <c r="B83">
        <v>33806715</v>
      </c>
      <c r="C83">
        <v>34139615</v>
      </c>
      <c r="D83">
        <v>24305918</v>
      </c>
      <c r="E83">
        <v>1</v>
      </c>
      <c r="F83">
        <v>1</v>
      </c>
      <c r="G83">
        <v>1</v>
      </c>
      <c r="H83">
        <v>3</v>
      </c>
      <c r="I83" t="s">
        <v>427</v>
      </c>
      <c r="J83" t="s">
        <v>428</v>
      </c>
      <c r="K83" t="s">
        <v>429</v>
      </c>
      <c r="L83">
        <v>1348</v>
      </c>
      <c r="N83">
        <v>1009</v>
      </c>
      <c r="O83" t="s">
        <v>101</v>
      </c>
      <c r="P83" t="s">
        <v>101</v>
      </c>
      <c r="Q83">
        <v>1000</v>
      </c>
      <c r="W83">
        <v>0</v>
      </c>
      <c r="X83">
        <v>-87842765</v>
      </c>
      <c r="Y83">
        <v>3.3E-4</v>
      </c>
      <c r="AA83">
        <v>153450</v>
      </c>
      <c r="AB83">
        <v>0</v>
      </c>
      <c r="AC83">
        <v>0</v>
      </c>
      <c r="AD83">
        <v>0</v>
      </c>
      <c r="AE83">
        <v>19800</v>
      </c>
      <c r="AF83">
        <v>0</v>
      </c>
      <c r="AG83">
        <v>0</v>
      </c>
      <c r="AH83">
        <v>0</v>
      </c>
      <c r="AI83">
        <v>7.75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3.3E-4</v>
      </c>
      <c r="AU83" t="s">
        <v>3</v>
      </c>
      <c r="AV83">
        <v>0</v>
      </c>
      <c r="AW83">
        <v>2</v>
      </c>
      <c r="AX83">
        <v>34139620</v>
      </c>
      <c r="AY83">
        <v>1</v>
      </c>
      <c r="AZ83">
        <v>0</v>
      </c>
      <c r="BA83">
        <v>80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Y83*Source!I115</f>
        <v>1.98E-5</v>
      </c>
      <c r="CY83">
        <f t="shared" ref="CY83:CY91" si="23">AA83</f>
        <v>153450</v>
      </c>
      <c r="CZ83">
        <f t="shared" ref="CZ83:CZ91" si="24">AE83</f>
        <v>19800</v>
      </c>
      <c r="DA83">
        <f t="shared" ref="DA83:DA91" si="25">AI83</f>
        <v>7.75</v>
      </c>
      <c r="DB83">
        <f t="shared" si="21"/>
        <v>6.53</v>
      </c>
      <c r="DC83">
        <f t="shared" si="22"/>
        <v>0</v>
      </c>
    </row>
    <row r="84" spans="1:107">
      <c r="A84">
        <f>ROW(Source!A115)</f>
        <v>115</v>
      </c>
      <c r="B84">
        <v>33806715</v>
      </c>
      <c r="C84">
        <v>34139615</v>
      </c>
      <c r="D84">
        <v>24326171</v>
      </c>
      <c r="E84">
        <v>1</v>
      </c>
      <c r="F84">
        <v>1</v>
      </c>
      <c r="G84">
        <v>1</v>
      </c>
      <c r="H84">
        <v>3</v>
      </c>
      <c r="I84" t="s">
        <v>430</v>
      </c>
      <c r="J84" t="s">
        <v>431</v>
      </c>
      <c r="K84" t="s">
        <v>432</v>
      </c>
      <c r="L84">
        <v>1348</v>
      </c>
      <c r="N84">
        <v>1009</v>
      </c>
      <c r="O84" t="s">
        <v>101</v>
      </c>
      <c r="P84" t="s">
        <v>101</v>
      </c>
      <c r="Q84">
        <v>1000</v>
      </c>
      <c r="W84">
        <v>0</v>
      </c>
      <c r="X84">
        <v>140522372</v>
      </c>
      <c r="Y84">
        <v>1.4E-3</v>
      </c>
      <c r="AA84">
        <v>34372.800000000003</v>
      </c>
      <c r="AB84">
        <v>0</v>
      </c>
      <c r="AC84">
        <v>0</v>
      </c>
      <c r="AD84">
        <v>0</v>
      </c>
      <c r="AE84">
        <v>3960</v>
      </c>
      <c r="AF84">
        <v>0</v>
      </c>
      <c r="AG84">
        <v>0</v>
      </c>
      <c r="AH84">
        <v>0</v>
      </c>
      <c r="AI84">
        <v>8.68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1.4E-3</v>
      </c>
      <c r="AU84" t="s">
        <v>3</v>
      </c>
      <c r="AV84">
        <v>0</v>
      </c>
      <c r="AW84">
        <v>2</v>
      </c>
      <c r="AX84">
        <v>34139621</v>
      </c>
      <c r="AY84">
        <v>1</v>
      </c>
      <c r="AZ84">
        <v>0</v>
      </c>
      <c r="BA84">
        <v>81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Y84*Source!I115</f>
        <v>8.3999999999999995E-5</v>
      </c>
      <c r="CY84">
        <f t="shared" si="23"/>
        <v>34372.800000000003</v>
      </c>
      <c r="CZ84">
        <f t="shared" si="24"/>
        <v>3960</v>
      </c>
      <c r="DA84">
        <f t="shared" si="25"/>
        <v>8.68</v>
      </c>
      <c r="DB84">
        <f t="shared" si="21"/>
        <v>5.54</v>
      </c>
      <c r="DC84">
        <f t="shared" si="22"/>
        <v>0</v>
      </c>
    </row>
    <row r="85" spans="1:107">
      <c r="A85">
        <f>ROW(Source!A115)</f>
        <v>115</v>
      </c>
      <c r="B85">
        <v>33806715</v>
      </c>
      <c r="C85">
        <v>34139615</v>
      </c>
      <c r="D85">
        <v>24330817</v>
      </c>
      <c r="E85">
        <v>1</v>
      </c>
      <c r="F85">
        <v>1</v>
      </c>
      <c r="G85">
        <v>1</v>
      </c>
      <c r="H85">
        <v>3</v>
      </c>
      <c r="I85" t="s">
        <v>433</v>
      </c>
      <c r="J85" t="s">
        <v>434</v>
      </c>
      <c r="K85" t="s">
        <v>435</v>
      </c>
      <c r="L85">
        <v>1348</v>
      </c>
      <c r="N85">
        <v>1009</v>
      </c>
      <c r="O85" t="s">
        <v>101</v>
      </c>
      <c r="P85" t="s">
        <v>101</v>
      </c>
      <c r="Q85">
        <v>1000</v>
      </c>
      <c r="W85">
        <v>0</v>
      </c>
      <c r="X85">
        <v>902378642</v>
      </c>
      <c r="Y85">
        <v>2.9999999999999997E-4</v>
      </c>
      <c r="AA85">
        <v>17435.599999999999</v>
      </c>
      <c r="AB85">
        <v>0</v>
      </c>
      <c r="AC85">
        <v>0</v>
      </c>
      <c r="AD85">
        <v>0</v>
      </c>
      <c r="AE85">
        <v>1820</v>
      </c>
      <c r="AF85">
        <v>0</v>
      </c>
      <c r="AG85">
        <v>0</v>
      </c>
      <c r="AH85">
        <v>0</v>
      </c>
      <c r="AI85">
        <v>9.58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2.9999999999999997E-4</v>
      </c>
      <c r="AU85" t="s">
        <v>3</v>
      </c>
      <c r="AV85">
        <v>0</v>
      </c>
      <c r="AW85">
        <v>2</v>
      </c>
      <c r="AX85">
        <v>34139622</v>
      </c>
      <c r="AY85">
        <v>1</v>
      </c>
      <c r="AZ85">
        <v>0</v>
      </c>
      <c r="BA85">
        <v>82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Y85*Source!I115</f>
        <v>1.7999999999999997E-5</v>
      </c>
      <c r="CY85">
        <f t="shared" si="23"/>
        <v>17435.599999999999</v>
      </c>
      <c r="CZ85">
        <f t="shared" si="24"/>
        <v>1820</v>
      </c>
      <c r="DA85">
        <f t="shared" si="25"/>
        <v>9.58</v>
      </c>
      <c r="DB85">
        <f t="shared" si="21"/>
        <v>0.55000000000000004</v>
      </c>
      <c r="DC85">
        <f t="shared" si="22"/>
        <v>0</v>
      </c>
    </row>
    <row r="86" spans="1:107">
      <c r="A86">
        <f>ROW(Source!A115)</f>
        <v>115</v>
      </c>
      <c r="B86">
        <v>33806715</v>
      </c>
      <c r="C86">
        <v>34139615</v>
      </c>
      <c r="D86">
        <v>24551895</v>
      </c>
      <c r="E86">
        <v>1</v>
      </c>
      <c r="F86">
        <v>1</v>
      </c>
      <c r="G86">
        <v>1</v>
      </c>
      <c r="H86">
        <v>3</v>
      </c>
      <c r="I86" t="s">
        <v>436</v>
      </c>
      <c r="J86" t="s">
        <v>437</v>
      </c>
      <c r="K86" t="s">
        <v>438</v>
      </c>
      <c r="L86">
        <v>1346</v>
      </c>
      <c r="N86">
        <v>1009</v>
      </c>
      <c r="O86" t="s">
        <v>84</v>
      </c>
      <c r="P86" t="s">
        <v>84</v>
      </c>
      <c r="Q86">
        <v>1</v>
      </c>
      <c r="W86">
        <v>0</v>
      </c>
      <c r="X86">
        <v>326289475</v>
      </c>
      <c r="Y86">
        <v>0.04</v>
      </c>
      <c r="AA86">
        <v>63.21</v>
      </c>
      <c r="AB86">
        <v>0</v>
      </c>
      <c r="AC86">
        <v>0</v>
      </c>
      <c r="AD86">
        <v>0</v>
      </c>
      <c r="AE86">
        <v>28.6</v>
      </c>
      <c r="AF86">
        <v>0</v>
      </c>
      <c r="AG86">
        <v>0</v>
      </c>
      <c r="AH86">
        <v>0</v>
      </c>
      <c r="AI86">
        <v>2.21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0.04</v>
      </c>
      <c r="AU86" t="s">
        <v>3</v>
      </c>
      <c r="AV86">
        <v>0</v>
      </c>
      <c r="AW86">
        <v>2</v>
      </c>
      <c r="AX86">
        <v>34139623</v>
      </c>
      <c r="AY86">
        <v>1</v>
      </c>
      <c r="AZ86">
        <v>0</v>
      </c>
      <c r="BA86">
        <v>83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Y86*Source!I115</f>
        <v>2.3999999999999998E-3</v>
      </c>
      <c r="CY86">
        <f t="shared" si="23"/>
        <v>63.21</v>
      </c>
      <c r="CZ86">
        <f t="shared" si="24"/>
        <v>28.6</v>
      </c>
      <c r="DA86">
        <f t="shared" si="25"/>
        <v>2.21</v>
      </c>
      <c r="DB86">
        <f t="shared" si="21"/>
        <v>1.1399999999999999</v>
      </c>
      <c r="DC86">
        <f t="shared" si="22"/>
        <v>0</v>
      </c>
    </row>
    <row r="87" spans="1:107">
      <c r="A87">
        <f>ROW(Source!A115)</f>
        <v>115</v>
      </c>
      <c r="B87">
        <v>33806715</v>
      </c>
      <c r="C87">
        <v>34139615</v>
      </c>
      <c r="D87">
        <v>24552971</v>
      </c>
      <c r="E87">
        <v>1</v>
      </c>
      <c r="F87">
        <v>1</v>
      </c>
      <c r="G87">
        <v>1</v>
      </c>
      <c r="H87">
        <v>3</v>
      </c>
      <c r="I87" t="s">
        <v>439</v>
      </c>
      <c r="J87" t="s">
        <v>440</v>
      </c>
      <c r="K87" t="s">
        <v>441</v>
      </c>
      <c r="L87">
        <v>1346</v>
      </c>
      <c r="N87">
        <v>1009</v>
      </c>
      <c r="O87" t="s">
        <v>84</v>
      </c>
      <c r="P87" t="s">
        <v>84</v>
      </c>
      <c r="Q87">
        <v>1</v>
      </c>
      <c r="W87">
        <v>0</v>
      </c>
      <c r="X87">
        <v>295609945</v>
      </c>
      <c r="Y87">
        <v>0.16</v>
      </c>
      <c r="AA87">
        <v>99.71</v>
      </c>
      <c r="AB87">
        <v>0</v>
      </c>
      <c r="AC87">
        <v>0</v>
      </c>
      <c r="AD87">
        <v>0</v>
      </c>
      <c r="AE87">
        <v>30.4</v>
      </c>
      <c r="AF87">
        <v>0</v>
      </c>
      <c r="AG87">
        <v>0</v>
      </c>
      <c r="AH87">
        <v>0</v>
      </c>
      <c r="AI87">
        <v>3.28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0.16</v>
      </c>
      <c r="AU87" t="s">
        <v>3</v>
      </c>
      <c r="AV87">
        <v>0</v>
      </c>
      <c r="AW87">
        <v>2</v>
      </c>
      <c r="AX87">
        <v>34139624</v>
      </c>
      <c r="AY87">
        <v>1</v>
      </c>
      <c r="AZ87">
        <v>0</v>
      </c>
      <c r="BA87">
        <v>84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Y87*Source!I115</f>
        <v>9.5999999999999992E-3</v>
      </c>
      <c r="CY87">
        <f t="shared" si="23"/>
        <v>99.71</v>
      </c>
      <c r="CZ87">
        <f t="shared" si="24"/>
        <v>30.4</v>
      </c>
      <c r="DA87">
        <f t="shared" si="25"/>
        <v>3.28</v>
      </c>
      <c r="DB87">
        <f t="shared" si="21"/>
        <v>4.8600000000000003</v>
      </c>
      <c r="DC87">
        <f t="shared" si="22"/>
        <v>0</v>
      </c>
    </row>
    <row r="88" spans="1:107">
      <c r="A88">
        <f>ROW(Source!A115)</f>
        <v>115</v>
      </c>
      <c r="B88">
        <v>33806715</v>
      </c>
      <c r="C88">
        <v>34139615</v>
      </c>
      <c r="D88">
        <v>24358570</v>
      </c>
      <c r="E88">
        <v>1</v>
      </c>
      <c r="F88">
        <v>1</v>
      </c>
      <c r="G88">
        <v>1</v>
      </c>
      <c r="H88">
        <v>3</v>
      </c>
      <c r="I88" t="s">
        <v>442</v>
      </c>
      <c r="J88" t="s">
        <v>443</v>
      </c>
      <c r="K88" t="s">
        <v>444</v>
      </c>
      <c r="L88">
        <v>1355</v>
      </c>
      <c r="N88">
        <v>1010</v>
      </c>
      <c r="O88" t="s">
        <v>193</v>
      </c>
      <c r="P88" t="s">
        <v>193</v>
      </c>
      <c r="Q88">
        <v>100</v>
      </c>
      <c r="W88">
        <v>0</v>
      </c>
      <c r="X88">
        <v>628216102</v>
      </c>
      <c r="Y88">
        <v>0.32</v>
      </c>
      <c r="AA88">
        <v>55.04</v>
      </c>
      <c r="AB88">
        <v>0</v>
      </c>
      <c r="AC88">
        <v>0</v>
      </c>
      <c r="AD88">
        <v>0</v>
      </c>
      <c r="AE88">
        <v>86</v>
      </c>
      <c r="AF88">
        <v>0</v>
      </c>
      <c r="AG88">
        <v>0</v>
      </c>
      <c r="AH88">
        <v>0</v>
      </c>
      <c r="AI88">
        <v>0.64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0.32</v>
      </c>
      <c r="AU88" t="s">
        <v>3</v>
      </c>
      <c r="AV88">
        <v>0</v>
      </c>
      <c r="AW88">
        <v>2</v>
      </c>
      <c r="AX88">
        <v>34139625</v>
      </c>
      <c r="AY88">
        <v>1</v>
      </c>
      <c r="AZ88">
        <v>0</v>
      </c>
      <c r="BA88">
        <v>85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Y88*Source!I115</f>
        <v>1.9199999999999998E-2</v>
      </c>
      <c r="CY88">
        <f t="shared" si="23"/>
        <v>55.04</v>
      </c>
      <c r="CZ88">
        <f t="shared" si="24"/>
        <v>86</v>
      </c>
      <c r="DA88">
        <f t="shared" si="25"/>
        <v>0.64</v>
      </c>
      <c r="DB88">
        <f t="shared" si="21"/>
        <v>27.52</v>
      </c>
      <c r="DC88">
        <f t="shared" si="22"/>
        <v>0</v>
      </c>
    </row>
    <row r="89" spans="1:107">
      <c r="A89">
        <f>ROW(Source!A115)</f>
        <v>115</v>
      </c>
      <c r="B89">
        <v>33806715</v>
      </c>
      <c r="C89">
        <v>34139615</v>
      </c>
      <c r="D89">
        <v>24312272</v>
      </c>
      <c r="E89">
        <v>1</v>
      </c>
      <c r="F89">
        <v>1</v>
      </c>
      <c r="G89">
        <v>1</v>
      </c>
      <c r="H89">
        <v>3</v>
      </c>
      <c r="I89" t="s">
        <v>445</v>
      </c>
      <c r="J89" t="s">
        <v>446</v>
      </c>
      <c r="K89" t="s">
        <v>447</v>
      </c>
      <c r="L89">
        <v>1348</v>
      </c>
      <c r="N89">
        <v>1009</v>
      </c>
      <c r="O89" t="s">
        <v>101</v>
      </c>
      <c r="P89" t="s">
        <v>101</v>
      </c>
      <c r="Q89">
        <v>1000</v>
      </c>
      <c r="W89">
        <v>0</v>
      </c>
      <c r="X89">
        <v>-1518679237</v>
      </c>
      <c r="Y89">
        <v>2.1000000000000001E-2</v>
      </c>
      <c r="AA89">
        <v>4971.16</v>
      </c>
      <c r="AB89">
        <v>0</v>
      </c>
      <c r="AC89">
        <v>0</v>
      </c>
      <c r="AD89">
        <v>0</v>
      </c>
      <c r="AE89">
        <v>729.98</v>
      </c>
      <c r="AF89">
        <v>0</v>
      </c>
      <c r="AG89">
        <v>0</v>
      </c>
      <c r="AH89">
        <v>0</v>
      </c>
      <c r="AI89">
        <v>6.81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2.1000000000000001E-2</v>
      </c>
      <c r="AU89" t="s">
        <v>3</v>
      </c>
      <c r="AV89">
        <v>0</v>
      </c>
      <c r="AW89">
        <v>2</v>
      </c>
      <c r="AX89">
        <v>34139626</v>
      </c>
      <c r="AY89">
        <v>1</v>
      </c>
      <c r="AZ89">
        <v>0</v>
      </c>
      <c r="BA89">
        <v>86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Y89*Source!I115</f>
        <v>1.2600000000000001E-3</v>
      </c>
      <c r="CY89">
        <f t="shared" si="23"/>
        <v>4971.16</v>
      </c>
      <c r="CZ89">
        <f t="shared" si="24"/>
        <v>729.98</v>
      </c>
      <c r="DA89">
        <f t="shared" si="25"/>
        <v>6.81</v>
      </c>
      <c r="DB89">
        <f t="shared" si="21"/>
        <v>15.33</v>
      </c>
      <c r="DC89">
        <f t="shared" si="22"/>
        <v>0</v>
      </c>
    </row>
    <row r="90" spans="1:107">
      <c r="A90">
        <f>ROW(Source!A115)</f>
        <v>115</v>
      </c>
      <c r="B90">
        <v>33806715</v>
      </c>
      <c r="C90">
        <v>34139615</v>
      </c>
      <c r="D90">
        <v>29152134</v>
      </c>
      <c r="E90">
        <v>1</v>
      </c>
      <c r="F90">
        <v>1</v>
      </c>
      <c r="G90">
        <v>1</v>
      </c>
      <c r="H90">
        <v>3</v>
      </c>
      <c r="I90" t="s">
        <v>155</v>
      </c>
      <c r="J90" t="s">
        <v>158</v>
      </c>
      <c r="K90" t="s">
        <v>156</v>
      </c>
      <c r="L90">
        <v>1477</v>
      </c>
      <c r="N90">
        <v>1013</v>
      </c>
      <c r="O90" t="s">
        <v>157</v>
      </c>
      <c r="P90" t="s">
        <v>159</v>
      </c>
      <c r="Q90">
        <v>1</v>
      </c>
      <c r="W90">
        <v>0</v>
      </c>
      <c r="X90">
        <v>-941243289</v>
      </c>
      <c r="Y90">
        <v>0.1</v>
      </c>
      <c r="AA90">
        <v>31991.33</v>
      </c>
      <c r="AB90">
        <v>0</v>
      </c>
      <c r="AC90">
        <v>0</v>
      </c>
      <c r="AD90">
        <v>0</v>
      </c>
      <c r="AE90">
        <v>3090.95</v>
      </c>
      <c r="AF90">
        <v>0</v>
      </c>
      <c r="AG90">
        <v>0</v>
      </c>
      <c r="AH90">
        <v>0</v>
      </c>
      <c r="AI90">
        <v>10.35</v>
      </c>
      <c r="AJ90">
        <v>1</v>
      </c>
      <c r="AK90">
        <v>1</v>
      </c>
      <c r="AL90">
        <v>1</v>
      </c>
      <c r="AN90">
        <v>0</v>
      </c>
      <c r="AO90">
        <v>0</v>
      </c>
      <c r="AP90">
        <v>0</v>
      </c>
      <c r="AQ90">
        <v>0</v>
      </c>
      <c r="AR90">
        <v>0</v>
      </c>
      <c r="AS90" t="s">
        <v>3</v>
      </c>
      <c r="AT90">
        <v>0.1</v>
      </c>
      <c r="AU90" t="s">
        <v>3</v>
      </c>
      <c r="AV90">
        <v>0</v>
      </c>
      <c r="AW90">
        <v>1</v>
      </c>
      <c r="AX90">
        <v>-1</v>
      </c>
      <c r="AY90">
        <v>0</v>
      </c>
      <c r="AZ90">
        <v>0</v>
      </c>
      <c r="BA90" t="s">
        <v>3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Y90*Source!I115</f>
        <v>6.0000000000000001E-3</v>
      </c>
      <c r="CY90">
        <f t="shared" si="23"/>
        <v>31991.33</v>
      </c>
      <c r="CZ90">
        <f t="shared" si="24"/>
        <v>3090.95</v>
      </c>
      <c r="DA90">
        <f t="shared" si="25"/>
        <v>10.35</v>
      </c>
      <c r="DB90">
        <f t="shared" si="21"/>
        <v>309.10000000000002</v>
      </c>
      <c r="DC90">
        <f t="shared" si="22"/>
        <v>0</v>
      </c>
    </row>
    <row r="91" spans="1:107">
      <c r="A91">
        <f>ROW(Source!A115)</f>
        <v>115</v>
      </c>
      <c r="B91">
        <v>33806715</v>
      </c>
      <c r="C91">
        <v>34139615</v>
      </c>
      <c r="D91">
        <v>24519631</v>
      </c>
      <c r="E91">
        <v>1</v>
      </c>
      <c r="F91">
        <v>1</v>
      </c>
      <c r="G91">
        <v>1</v>
      </c>
      <c r="H91">
        <v>3</v>
      </c>
      <c r="I91" t="s">
        <v>362</v>
      </c>
      <c r="J91" t="s">
        <v>448</v>
      </c>
      <c r="K91" t="s">
        <v>364</v>
      </c>
      <c r="L91">
        <v>1374</v>
      </c>
      <c r="N91">
        <v>1013</v>
      </c>
      <c r="O91" t="s">
        <v>365</v>
      </c>
      <c r="P91" t="s">
        <v>365</v>
      </c>
      <c r="Q91">
        <v>1</v>
      </c>
      <c r="W91">
        <v>0</v>
      </c>
      <c r="X91">
        <v>1223377994</v>
      </c>
      <c r="Y91">
        <v>3.04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3.04</v>
      </c>
      <c r="AU91" t="s">
        <v>3</v>
      </c>
      <c r="AV91">
        <v>0</v>
      </c>
      <c r="AW91">
        <v>2</v>
      </c>
      <c r="AX91">
        <v>34139627</v>
      </c>
      <c r="AY91">
        <v>1</v>
      </c>
      <c r="AZ91">
        <v>0</v>
      </c>
      <c r="BA91">
        <v>87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Y91*Source!I115</f>
        <v>0.18240000000000001</v>
      </c>
      <c r="CY91">
        <f t="shared" si="23"/>
        <v>1</v>
      </c>
      <c r="CZ91">
        <f t="shared" si="24"/>
        <v>1</v>
      </c>
      <c r="DA91">
        <f t="shared" si="25"/>
        <v>1</v>
      </c>
      <c r="DB91">
        <f t="shared" si="21"/>
        <v>3.04</v>
      </c>
      <c r="DC91">
        <f t="shared" si="22"/>
        <v>0</v>
      </c>
    </row>
    <row r="92" spans="1:107">
      <c r="A92">
        <f>ROW(Source!A117)</f>
        <v>117</v>
      </c>
      <c r="B92">
        <v>33806715</v>
      </c>
      <c r="C92">
        <v>33891487</v>
      </c>
      <c r="D92">
        <v>18407546</v>
      </c>
      <c r="E92">
        <v>1</v>
      </c>
      <c r="F92">
        <v>1</v>
      </c>
      <c r="G92">
        <v>1</v>
      </c>
      <c r="H92">
        <v>1</v>
      </c>
      <c r="I92" t="s">
        <v>449</v>
      </c>
      <c r="J92" t="s">
        <v>3</v>
      </c>
      <c r="K92" t="s">
        <v>450</v>
      </c>
      <c r="L92">
        <v>1369</v>
      </c>
      <c r="N92">
        <v>1013</v>
      </c>
      <c r="O92" t="s">
        <v>268</v>
      </c>
      <c r="P92" t="s">
        <v>268</v>
      </c>
      <c r="Q92">
        <v>1</v>
      </c>
      <c r="W92">
        <v>0</v>
      </c>
      <c r="X92">
        <v>1709986911</v>
      </c>
      <c r="Y92">
        <v>117.82899999999998</v>
      </c>
      <c r="AA92">
        <v>0</v>
      </c>
      <c r="AB92">
        <v>0</v>
      </c>
      <c r="AC92">
        <v>0</v>
      </c>
      <c r="AD92">
        <v>306.91000000000003</v>
      </c>
      <c r="AE92">
        <v>0</v>
      </c>
      <c r="AF92">
        <v>0</v>
      </c>
      <c r="AG92">
        <v>0</v>
      </c>
      <c r="AH92">
        <v>306.91000000000003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102.46</v>
      </c>
      <c r="AU92" t="s">
        <v>75</v>
      </c>
      <c r="AV92">
        <v>1</v>
      </c>
      <c r="AW92">
        <v>2</v>
      </c>
      <c r="AX92">
        <v>33891488</v>
      </c>
      <c r="AY92">
        <v>2</v>
      </c>
      <c r="AZ92">
        <v>131072</v>
      </c>
      <c r="BA92">
        <v>88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Y92*Source!I117</f>
        <v>5.891449999999999</v>
      </c>
      <c r="CY92">
        <f>AD92</f>
        <v>306.91000000000003</v>
      </c>
      <c r="CZ92">
        <f>AH92</f>
        <v>306.91000000000003</v>
      </c>
      <c r="DA92">
        <f>AL92</f>
        <v>1</v>
      </c>
      <c r="DB92">
        <f>ROUND((ROUND(AT92*CZ92,2)*1.15),6)</f>
        <v>36162.9</v>
      </c>
      <c r="DC92">
        <f>ROUND((ROUND(AT92*AG92,2)*1.15),6)</f>
        <v>0</v>
      </c>
    </row>
    <row r="93" spans="1:107">
      <c r="A93">
        <f>ROW(Source!A117)</f>
        <v>117</v>
      </c>
      <c r="B93">
        <v>33806715</v>
      </c>
      <c r="C93">
        <v>33891487</v>
      </c>
      <c r="D93">
        <v>121548</v>
      </c>
      <c r="E93">
        <v>1</v>
      </c>
      <c r="F93">
        <v>1</v>
      </c>
      <c r="G93">
        <v>1</v>
      </c>
      <c r="H93">
        <v>1</v>
      </c>
      <c r="I93" t="s">
        <v>86</v>
      </c>
      <c r="J93" t="s">
        <v>3</v>
      </c>
      <c r="K93" t="s">
        <v>269</v>
      </c>
      <c r="L93">
        <v>608254</v>
      </c>
      <c r="N93">
        <v>1013</v>
      </c>
      <c r="O93" t="s">
        <v>270</v>
      </c>
      <c r="P93" t="s">
        <v>270</v>
      </c>
      <c r="Q93">
        <v>1</v>
      </c>
      <c r="W93">
        <v>0</v>
      </c>
      <c r="X93">
        <v>-185737400</v>
      </c>
      <c r="Y93">
        <v>0.95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0.76</v>
      </c>
      <c r="AU93" t="s">
        <v>74</v>
      </c>
      <c r="AV93">
        <v>2</v>
      </c>
      <c r="AW93">
        <v>2</v>
      </c>
      <c r="AX93">
        <v>33891489</v>
      </c>
      <c r="AY93">
        <v>1</v>
      </c>
      <c r="AZ93">
        <v>0</v>
      </c>
      <c r="BA93">
        <v>89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Y93*Source!I117</f>
        <v>4.7500000000000001E-2</v>
      </c>
      <c r="CY93">
        <f>AD93</f>
        <v>0</v>
      </c>
      <c r="CZ93">
        <f>AH93</f>
        <v>0</v>
      </c>
      <c r="DA93">
        <f>AL93</f>
        <v>1</v>
      </c>
      <c r="DB93">
        <f>ROUND((ROUND(AT93*CZ93,2)*1.25),6)</f>
        <v>0</v>
      </c>
      <c r="DC93">
        <f>ROUND((ROUND(AT93*AG93,2)*1.25),6)</f>
        <v>0</v>
      </c>
    </row>
    <row r="94" spans="1:107">
      <c r="A94">
        <f>ROW(Source!A117)</f>
        <v>117</v>
      </c>
      <c r="B94">
        <v>33806715</v>
      </c>
      <c r="C94">
        <v>33891487</v>
      </c>
      <c r="D94">
        <v>29172556</v>
      </c>
      <c r="E94">
        <v>1</v>
      </c>
      <c r="F94">
        <v>1</v>
      </c>
      <c r="G94">
        <v>1</v>
      </c>
      <c r="H94">
        <v>2</v>
      </c>
      <c r="I94" t="s">
        <v>293</v>
      </c>
      <c r="J94" t="s">
        <v>294</v>
      </c>
      <c r="K94" t="s">
        <v>295</v>
      </c>
      <c r="L94">
        <v>1368</v>
      </c>
      <c r="N94">
        <v>1011</v>
      </c>
      <c r="O94" t="s">
        <v>274</v>
      </c>
      <c r="P94" t="s">
        <v>274</v>
      </c>
      <c r="Q94">
        <v>1</v>
      </c>
      <c r="W94">
        <v>0</v>
      </c>
      <c r="X94">
        <v>-1302720870</v>
      </c>
      <c r="Y94">
        <v>0.95</v>
      </c>
      <c r="AA94">
        <v>0</v>
      </c>
      <c r="AB94">
        <v>451.71</v>
      </c>
      <c r="AC94">
        <v>444.29</v>
      </c>
      <c r="AD94">
        <v>0</v>
      </c>
      <c r="AE94">
        <v>0</v>
      </c>
      <c r="AF94">
        <v>31.26</v>
      </c>
      <c r="AG94">
        <v>13.5</v>
      </c>
      <c r="AH94">
        <v>0</v>
      </c>
      <c r="AI94">
        <v>1</v>
      </c>
      <c r="AJ94">
        <v>14.45</v>
      </c>
      <c r="AK94">
        <v>32.909999999999997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0.76</v>
      </c>
      <c r="AU94" t="s">
        <v>74</v>
      </c>
      <c r="AV94">
        <v>0</v>
      </c>
      <c r="AW94">
        <v>2</v>
      </c>
      <c r="AX94">
        <v>33891490</v>
      </c>
      <c r="AY94">
        <v>1</v>
      </c>
      <c r="AZ94">
        <v>0</v>
      </c>
      <c r="BA94">
        <v>90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Y94*Source!I117</f>
        <v>4.7500000000000001E-2</v>
      </c>
      <c r="CY94">
        <f>AB94</f>
        <v>451.71</v>
      </c>
      <c r="CZ94">
        <f>AF94</f>
        <v>31.26</v>
      </c>
      <c r="DA94">
        <f>AJ94</f>
        <v>14.45</v>
      </c>
      <c r="DB94">
        <f>ROUND((ROUND(AT94*CZ94,2)*1.25),6)</f>
        <v>29.7</v>
      </c>
      <c r="DC94">
        <f>ROUND((ROUND(AT94*AG94,2)*1.25),6)</f>
        <v>12.824999999999999</v>
      </c>
    </row>
    <row r="95" spans="1:107">
      <c r="A95">
        <f>ROW(Source!A117)</f>
        <v>117</v>
      </c>
      <c r="B95">
        <v>33806715</v>
      </c>
      <c r="C95">
        <v>33891487</v>
      </c>
      <c r="D95">
        <v>29174500</v>
      </c>
      <c r="E95">
        <v>1</v>
      </c>
      <c r="F95">
        <v>1</v>
      </c>
      <c r="G95">
        <v>1</v>
      </c>
      <c r="H95">
        <v>2</v>
      </c>
      <c r="I95" t="s">
        <v>307</v>
      </c>
      <c r="J95" t="s">
        <v>308</v>
      </c>
      <c r="K95" t="s">
        <v>309</v>
      </c>
      <c r="L95">
        <v>1368</v>
      </c>
      <c r="N95">
        <v>1011</v>
      </c>
      <c r="O95" t="s">
        <v>274</v>
      </c>
      <c r="P95" t="s">
        <v>274</v>
      </c>
      <c r="Q95">
        <v>1</v>
      </c>
      <c r="W95">
        <v>0</v>
      </c>
      <c r="X95">
        <v>-239831557</v>
      </c>
      <c r="Y95">
        <v>6.6875</v>
      </c>
      <c r="AA95">
        <v>0</v>
      </c>
      <c r="AB95">
        <v>7.33</v>
      </c>
      <c r="AC95">
        <v>0</v>
      </c>
      <c r="AD95">
        <v>0</v>
      </c>
      <c r="AE95">
        <v>0</v>
      </c>
      <c r="AF95">
        <v>1.95</v>
      </c>
      <c r="AG95">
        <v>0</v>
      </c>
      <c r="AH95">
        <v>0</v>
      </c>
      <c r="AI95">
        <v>1</v>
      </c>
      <c r="AJ95">
        <v>3.76</v>
      </c>
      <c r="AK95">
        <v>32.909999999999997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5.35</v>
      </c>
      <c r="AU95" t="s">
        <v>74</v>
      </c>
      <c r="AV95">
        <v>0</v>
      </c>
      <c r="AW95">
        <v>2</v>
      </c>
      <c r="AX95">
        <v>33891491</v>
      </c>
      <c r="AY95">
        <v>1</v>
      </c>
      <c r="AZ95">
        <v>0</v>
      </c>
      <c r="BA95">
        <v>91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Y95*Source!I117</f>
        <v>0.33437500000000003</v>
      </c>
      <c r="CY95">
        <f>AB95</f>
        <v>7.33</v>
      </c>
      <c r="CZ95">
        <f>AF95</f>
        <v>1.95</v>
      </c>
      <c r="DA95">
        <f>AJ95</f>
        <v>3.76</v>
      </c>
      <c r="DB95">
        <f>ROUND((ROUND(AT95*CZ95,2)*1.25),6)</f>
        <v>13.0375</v>
      </c>
      <c r="DC95">
        <f>ROUND((ROUND(AT95*AG95,2)*1.25),6)</f>
        <v>0</v>
      </c>
    </row>
    <row r="96" spans="1:107">
      <c r="A96">
        <f>ROW(Source!A117)</f>
        <v>117</v>
      </c>
      <c r="B96">
        <v>33806715</v>
      </c>
      <c r="C96">
        <v>33891487</v>
      </c>
      <c r="D96">
        <v>29174913</v>
      </c>
      <c r="E96">
        <v>1</v>
      </c>
      <c r="F96">
        <v>1</v>
      </c>
      <c r="G96">
        <v>1</v>
      </c>
      <c r="H96">
        <v>2</v>
      </c>
      <c r="I96" t="s">
        <v>278</v>
      </c>
      <c r="J96" t="s">
        <v>279</v>
      </c>
      <c r="K96" t="s">
        <v>280</v>
      </c>
      <c r="L96">
        <v>1368</v>
      </c>
      <c r="N96">
        <v>1011</v>
      </c>
      <c r="O96" t="s">
        <v>274</v>
      </c>
      <c r="P96" t="s">
        <v>274</v>
      </c>
      <c r="Q96">
        <v>1</v>
      </c>
      <c r="W96">
        <v>0</v>
      </c>
      <c r="X96">
        <v>458544584</v>
      </c>
      <c r="Y96">
        <v>5.7249999999999996</v>
      </c>
      <c r="AA96">
        <v>0</v>
      </c>
      <c r="AB96">
        <v>918.77</v>
      </c>
      <c r="AC96">
        <v>381.76</v>
      </c>
      <c r="AD96">
        <v>0</v>
      </c>
      <c r="AE96">
        <v>0</v>
      </c>
      <c r="AF96">
        <v>87.17</v>
      </c>
      <c r="AG96">
        <v>11.6</v>
      </c>
      <c r="AH96">
        <v>0</v>
      </c>
      <c r="AI96">
        <v>1</v>
      </c>
      <c r="AJ96">
        <v>10.54</v>
      </c>
      <c r="AK96">
        <v>32.909999999999997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4.58</v>
      </c>
      <c r="AU96" t="s">
        <v>74</v>
      </c>
      <c r="AV96">
        <v>0</v>
      </c>
      <c r="AW96">
        <v>2</v>
      </c>
      <c r="AX96">
        <v>33891492</v>
      </c>
      <c r="AY96">
        <v>1</v>
      </c>
      <c r="AZ96">
        <v>0</v>
      </c>
      <c r="BA96">
        <v>92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Y96*Source!I117</f>
        <v>0.28625</v>
      </c>
      <c r="CY96">
        <f>AB96</f>
        <v>918.77</v>
      </c>
      <c r="CZ96">
        <f>AF96</f>
        <v>87.17</v>
      </c>
      <c r="DA96">
        <f>AJ96</f>
        <v>10.54</v>
      </c>
      <c r="DB96">
        <f>ROUND((ROUND(AT96*CZ96,2)*1.25),6)</f>
        <v>499.05</v>
      </c>
      <c r="DC96">
        <f>ROUND((ROUND(AT96*AG96,2)*1.25),6)</f>
        <v>66.412499999999994</v>
      </c>
    </row>
    <row r="97" spans="1:107">
      <c r="A97">
        <f>ROW(Source!A117)</f>
        <v>117</v>
      </c>
      <c r="B97">
        <v>33806715</v>
      </c>
      <c r="C97">
        <v>33891487</v>
      </c>
      <c r="D97">
        <v>29109671</v>
      </c>
      <c r="E97">
        <v>1</v>
      </c>
      <c r="F97">
        <v>1</v>
      </c>
      <c r="G97">
        <v>1</v>
      </c>
      <c r="H97">
        <v>3</v>
      </c>
      <c r="I97" t="s">
        <v>167</v>
      </c>
      <c r="J97" t="s">
        <v>169</v>
      </c>
      <c r="K97" t="s">
        <v>168</v>
      </c>
      <c r="L97">
        <v>1327</v>
      </c>
      <c r="N97">
        <v>1005</v>
      </c>
      <c r="O97" t="s">
        <v>143</v>
      </c>
      <c r="P97" t="s">
        <v>143</v>
      </c>
      <c r="Q97">
        <v>1</v>
      </c>
      <c r="W97">
        <v>0</v>
      </c>
      <c r="X97">
        <v>1862876160</v>
      </c>
      <c r="Y97">
        <v>103</v>
      </c>
      <c r="AA97">
        <v>258.70999999999998</v>
      </c>
      <c r="AB97">
        <v>0</v>
      </c>
      <c r="AC97">
        <v>0</v>
      </c>
      <c r="AD97">
        <v>0</v>
      </c>
      <c r="AE97">
        <v>51.95</v>
      </c>
      <c r="AF97">
        <v>0</v>
      </c>
      <c r="AG97">
        <v>0</v>
      </c>
      <c r="AH97">
        <v>0</v>
      </c>
      <c r="AI97">
        <v>4.9800000000000004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103</v>
      </c>
      <c r="AU97" t="s">
        <v>3</v>
      </c>
      <c r="AV97">
        <v>0</v>
      </c>
      <c r="AW97">
        <v>2</v>
      </c>
      <c r="AX97">
        <v>33891493</v>
      </c>
      <c r="AY97">
        <v>1</v>
      </c>
      <c r="AZ97">
        <v>0</v>
      </c>
      <c r="BA97">
        <v>93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Y97*Source!I117</f>
        <v>5.15</v>
      </c>
      <c r="CY97">
        <f>AA97</f>
        <v>258.70999999999998</v>
      </c>
      <c r="CZ97">
        <f>AE97</f>
        <v>51.95</v>
      </c>
      <c r="DA97">
        <f>AI97</f>
        <v>4.9800000000000004</v>
      </c>
      <c r="DB97">
        <f t="shared" ref="DB97:DB142" si="26">ROUND(ROUND(AT97*CZ97,2),6)</f>
        <v>5350.85</v>
      </c>
      <c r="DC97">
        <f t="shared" ref="DC97:DC142" si="27">ROUND(ROUND(AT97*AG97,2),6)</f>
        <v>0</v>
      </c>
    </row>
    <row r="98" spans="1:107">
      <c r="A98">
        <f>ROW(Source!A117)</f>
        <v>117</v>
      </c>
      <c r="B98">
        <v>33806715</v>
      </c>
      <c r="C98">
        <v>33891487</v>
      </c>
      <c r="D98">
        <v>29109671</v>
      </c>
      <c r="E98">
        <v>1</v>
      </c>
      <c r="F98">
        <v>1</v>
      </c>
      <c r="G98">
        <v>1</v>
      </c>
      <c r="H98">
        <v>3</v>
      </c>
      <c r="I98" t="s">
        <v>167</v>
      </c>
      <c r="J98" t="s">
        <v>169</v>
      </c>
      <c r="K98" t="s">
        <v>168</v>
      </c>
      <c r="L98">
        <v>1327</v>
      </c>
      <c r="N98">
        <v>1005</v>
      </c>
      <c r="O98" t="s">
        <v>143</v>
      </c>
      <c r="P98" t="s">
        <v>143</v>
      </c>
      <c r="Q98">
        <v>1</v>
      </c>
      <c r="W98">
        <v>0</v>
      </c>
      <c r="X98">
        <v>1862876160</v>
      </c>
      <c r="Y98">
        <v>100</v>
      </c>
      <c r="AA98">
        <v>258.70999999999998</v>
      </c>
      <c r="AB98">
        <v>0</v>
      </c>
      <c r="AC98">
        <v>0</v>
      </c>
      <c r="AD98">
        <v>0</v>
      </c>
      <c r="AE98">
        <v>51.95</v>
      </c>
      <c r="AF98">
        <v>0</v>
      </c>
      <c r="AG98">
        <v>0</v>
      </c>
      <c r="AH98">
        <v>0</v>
      </c>
      <c r="AI98">
        <v>4.9800000000000004</v>
      </c>
      <c r="AJ98">
        <v>1</v>
      </c>
      <c r="AK98">
        <v>1</v>
      </c>
      <c r="AL98">
        <v>1</v>
      </c>
      <c r="AN98">
        <v>0</v>
      </c>
      <c r="AO98">
        <v>0</v>
      </c>
      <c r="AP98">
        <v>0</v>
      </c>
      <c r="AQ98">
        <v>0</v>
      </c>
      <c r="AR98">
        <v>0</v>
      </c>
      <c r="AS98" t="s">
        <v>3</v>
      </c>
      <c r="AT98">
        <v>100</v>
      </c>
      <c r="AU98" t="s">
        <v>3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Y98*Source!I117</f>
        <v>5</v>
      </c>
      <c r="CY98">
        <f>AA98</f>
        <v>258.70999999999998</v>
      </c>
      <c r="CZ98">
        <f>AE98</f>
        <v>51.95</v>
      </c>
      <c r="DA98">
        <f>AI98</f>
        <v>4.9800000000000004</v>
      </c>
      <c r="DB98">
        <f t="shared" si="26"/>
        <v>5195</v>
      </c>
      <c r="DC98">
        <f t="shared" si="27"/>
        <v>0</v>
      </c>
    </row>
    <row r="99" spans="1:107">
      <c r="A99">
        <f>ROW(Source!A154)</f>
        <v>154</v>
      </c>
      <c r="B99">
        <v>33806715</v>
      </c>
      <c r="C99">
        <v>35696459</v>
      </c>
      <c r="D99">
        <v>18413230</v>
      </c>
      <c r="E99">
        <v>1</v>
      </c>
      <c r="F99">
        <v>1</v>
      </c>
      <c r="G99">
        <v>1</v>
      </c>
      <c r="H99">
        <v>1</v>
      </c>
      <c r="I99" t="s">
        <v>451</v>
      </c>
      <c r="J99" t="s">
        <v>3</v>
      </c>
      <c r="K99" t="s">
        <v>452</v>
      </c>
      <c r="L99">
        <v>1369</v>
      </c>
      <c r="N99">
        <v>1013</v>
      </c>
      <c r="O99" t="s">
        <v>268</v>
      </c>
      <c r="P99" t="s">
        <v>268</v>
      </c>
      <c r="Q99">
        <v>1</v>
      </c>
      <c r="W99">
        <v>0</v>
      </c>
      <c r="X99">
        <v>355262106</v>
      </c>
      <c r="Y99">
        <v>50.15</v>
      </c>
      <c r="AA99">
        <v>0</v>
      </c>
      <c r="AB99">
        <v>0</v>
      </c>
      <c r="AC99">
        <v>0</v>
      </c>
      <c r="AD99">
        <v>299.72000000000003</v>
      </c>
      <c r="AE99">
        <v>0</v>
      </c>
      <c r="AF99">
        <v>0</v>
      </c>
      <c r="AG99">
        <v>0</v>
      </c>
      <c r="AH99">
        <v>299.72000000000003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50.15</v>
      </c>
      <c r="AU99" t="s">
        <v>3</v>
      </c>
      <c r="AV99">
        <v>1</v>
      </c>
      <c r="AW99">
        <v>2</v>
      </c>
      <c r="AX99">
        <v>35696460</v>
      </c>
      <c r="AY99">
        <v>1</v>
      </c>
      <c r="AZ99">
        <v>0</v>
      </c>
      <c r="BA99">
        <v>94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Y99*Source!I154</f>
        <v>16.213494999999998</v>
      </c>
      <c r="CY99">
        <f>AD99</f>
        <v>299.72000000000003</v>
      </c>
      <c r="CZ99">
        <f>AH99</f>
        <v>299.72000000000003</v>
      </c>
      <c r="DA99">
        <f>AL99</f>
        <v>1</v>
      </c>
      <c r="DB99">
        <f t="shared" si="26"/>
        <v>15030.96</v>
      </c>
      <c r="DC99">
        <f t="shared" si="27"/>
        <v>0</v>
      </c>
    </row>
    <row r="100" spans="1:107">
      <c r="A100">
        <f>ROW(Source!A154)</f>
        <v>154</v>
      </c>
      <c r="B100">
        <v>33806715</v>
      </c>
      <c r="C100">
        <v>35696459</v>
      </c>
      <c r="D100">
        <v>121548</v>
      </c>
      <c r="E100">
        <v>1</v>
      </c>
      <c r="F100">
        <v>1</v>
      </c>
      <c r="G100">
        <v>1</v>
      </c>
      <c r="H100">
        <v>1</v>
      </c>
      <c r="I100" t="s">
        <v>86</v>
      </c>
      <c r="J100" t="s">
        <v>3</v>
      </c>
      <c r="K100" t="s">
        <v>269</v>
      </c>
      <c r="L100">
        <v>608254</v>
      </c>
      <c r="N100">
        <v>1013</v>
      </c>
      <c r="O100" t="s">
        <v>270</v>
      </c>
      <c r="P100" t="s">
        <v>270</v>
      </c>
      <c r="Q100">
        <v>1</v>
      </c>
      <c r="W100">
        <v>0</v>
      </c>
      <c r="X100">
        <v>-185737400</v>
      </c>
      <c r="Y100">
        <v>0.11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0.11</v>
      </c>
      <c r="AU100" t="s">
        <v>3</v>
      </c>
      <c r="AV100">
        <v>2</v>
      </c>
      <c r="AW100">
        <v>2</v>
      </c>
      <c r="AX100">
        <v>35696461</v>
      </c>
      <c r="AY100">
        <v>1</v>
      </c>
      <c r="AZ100">
        <v>0</v>
      </c>
      <c r="BA100">
        <v>95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Y100*Source!I154</f>
        <v>3.5562999999999997E-2</v>
      </c>
      <c r="CY100">
        <f>AD100</f>
        <v>0</v>
      </c>
      <c r="CZ100">
        <f>AH100</f>
        <v>0</v>
      </c>
      <c r="DA100">
        <f>AL100</f>
        <v>1</v>
      </c>
      <c r="DB100">
        <f t="shared" si="26"/>
        <v>0</v>
      </c>
      <c r="DC100">
        <f t="shared" si="27"/>
        <v>0</v>
      </c>
    </row>
    <row r="101" spans="1:107">
      <c r="A101">
        <f>ROW(Source!A154)</f>
        <v>154</v>
      </c>
      <c r="B101">
        <v>33806715</v>
      </c>
      <c r="C101">
        <v>35696459</v>
      </c>
      <c r="D101">
        <v>29172556</v>
      </c>
      <c r="E101">
        <v>1</v>
      </c>
      <c r="F101">
        <v>1</v>
      </c>
      <c r="G101">
        <v>1</v>
      </c>
      <c r="H101">
        <v>2</v>
      </c>
      <c r="I101" t="s">
        <v>293</v>
      </c>
      <c r="J101" t="s">
        <v>294</v>
      </c>
      <c r="K101" t="s">
        <v>295</v>
      </c>
      <c r="L101">
        <v>1368</v>
      </c>
      <c r="N101">
        <v>1011</v>
      </c>
      <c r="O101" t="s">
        <v>274</v>
      </c>
      <c r="P101" t="s">
        <v>274</v>
      </c>
      <c r="Q101">
        <v>1</v>
      </c>
      <c r="W101">
        <v>0</v>
      </c>
      <c r="X101">
        <v>-1302720870</v>
      </c>
      <c r="Y101">
        <v>0.11</v>
      </c>
      <c r="AA101">
        <v>0</v>
      </c>
      <c r="AB101">
        <v>451.71</v>
      </c>
      <c r="AC101">
        <v>444.29</v>
      </c>
      <c r="AD101">
        <v>0</v>
      </c>
      <c r="AE101">
        <v>0</v>
      </c>
      <c r="AF101">
        <v>31.26</v>
      </c>
      <c r="AG101">
        <v>13.5</v>
      </c>
      <c r="AH101">
        <v>0</v>
      </c>
      <c r="AI101">
        <v>1</v>
      </c>
      <c r="AJ101">
        <v>14.45</v>
      </c>
      <c r="AK101">
        <v>32.909999999999997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0.11</v>
      </c>
      <c r="AU101" t="s">
        <v>3</v>
      </c>
      <c r="AV101">
        <v>0</v>
      </c>
      <c r="AW101">
        <v>2</v>
      </c>
      <c r="AX101">
        <v>35696462</v>
      </c>
      <c r="AY101">
        <v>1</v>
      </c>
      <c r="AZ101">
        <v>0</v>
      </c>
      <c r="BA101">
        <v>96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Y101*Source!I154</f>
        <v>3.5562999999999997E-2</v>
      </c>
      <c r="CY101">
        <f>AB101</f>
        <v>451.71</v>
      </c>
      <c r="CZ101">
        <f>AF101</f>
        <v>31.26</v>
      </c>
      <c r="DA101">
        <f>AJ101</f>
        <v>14.45</v>
      </c>
      <c r="DB101">
        <f t="shared" si="26"/>
        <v>3.44</v>
      </c>
      <c r="DC101">
        <f t="shared" si="27"/>
        <v>1.49</v>
      </c>
    </row>
    <row r="102" spans="1:107">
      <c r="A102">
        <f>ROW(Source!A154)</f>
        <v>154</v>
      </c>
      <c r="B102">
        <v>33806715</v>
      </c>
      <c r="C102">
        <v>35696459</v>
      </c>
      <c r="D102">
        <v>29173472</v>
      </c>
      <c r="E102">
        <v>1</v>
      </c>
      <c r="F102">
        <v>1</v>
      </c>
      <c r="G102">
        <v>1</v>
      </c>
      <c r="H102">
        <v>2</v>
      </c>
      <c r="I102" t="s">
        <v>350</v>
      </c>
      <c r="J102" t="s">
        <v>351</v>
      </c>
      <c r="K102" t="s">
        <v>352</v>
      </c>
      <c r="L102">
        <v>1368</v>
      </c>
      <c r="N102">
        <v>1011</v>
      </c>
      <c r="O102" t="s">
        <v>274</v>
      </c>
      <c r="P102" t="s">
        <v>274</v>
      </c>
      <c r="Q102">
        <v>1</v>
      </c>
      <c r="W102">
        <v>0</v>
      </c>
      <c r="X102">
        <v>275932499</v>
      </c>
      <c r="Y102">
        <v>0.14000000000000001</v>
      </c>
      <c r="AA102">
        <v>0</v>
      </c>
      <c r="AB102">
        <v>12.75</v>
      </c>
      <c r="AC102">
        <v>0</v>
      </c>
      <c r="AD102">
        <v>0</v>
      </c>
      <c r="AE102">
        <v>0</v>
      </c>
      <c r="AF102">
        <v>3</v>
      </c>
      <c r="AG102">
        <v>0</v>
      </c>
      <c r="AH102">
        <v>0</v>
      </c>
      <c r="AI102">
        <v>1</v>
      </c>
      <c r="AJ102">
        <v>4.25</v>
      </c>
      <c r="AK102">
        <v>32.909999999999997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0.14000000000000001</v>
      </c>
      <c r="AU102" t="s">
        <v>3</v>
      </c>
      <c r="AV102">
        <v>0</v>
      </c>
      <c r="AW102">
        <v>2</v>
      </c>
      <c r="AX102">
        <v>35696463</v>
      </c>
      <c r="AY102">
        <v>1</v>
      </c>
      <c r="AZ102">
        <v>0</v>
      </c>
      <c r="BA102">
        <v>97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Y102*Source!I154</f>
        <v>4.5262000000000004E-2</v>
      </c>
      <c r="CY102">
        <f>AB102</f>
        <v>12.75</v>
      </c>
      <c r="CZ102">
        <f>AF102</f>
        <v>3</v>
      </c>
      <c r="DA102">
        <f>AJ102</f>
        <v>4.25</v>
      </c>
      <c r="DB102">
        <f t="shared" si="26"/>
        <v>0.42</v>
      </c>
      <c r="DC102">
        <f t="shared" si="27"/>
        <v>0</v>
      </c>
    </row>
    <row r="103" spans="1:107">
      <c r="A103">
        <f>ROW(Source!A154)</f>
        <v>154</v>
      </c>
      <c r="B103">
        <v>33806715</v>
      </c>
      <c r="C103">
        <v>35696459</v>
      </c>
      <c r="D103">
        <v>29174500</v>
      </c>
      <c r="E103">
        <v>1</v>
      </c>
      <c r="F103">
        <v>1</v>
      </c>
      <c r="G103">
        <v>1</v>
      </c>
      <c r="H103">
        <v>2</v>
      </c>
      <c r="I103" t="s">
        <v>307</v>
      </c>
      <c r="J103" t="s">
        <v>308</v>
      </c>
      <c r="K103" t="s">
        <v>309</v>
      </c>
      <c r="L103">
        <v>1368</v>
      </c>
      <c r="N103">
        <v>1011</v>
      </c>
      <c r="O103" t="s">
        <v>274</v>
      </c>
      <c r="P103" t="s">
        <v>274</v>
      </c>
      <c r="Q103">
        <v>1</v>
      </c>
      <c r="W103">
        <v>0</v>
      </c>
      <c r="X103">
        <v>-239831557</v>
      </c>
      <c r="Y103">
        <v>14.59</v>
      </c>
      <c r="AA103">
        <v>0</v>
      </c>
      <c r="AB103">
        <v>7.33</v>
      </c>
      <c r="AC103">
        <v>0</v>
      </c>
      <c r="AD103">
        <v>0</v>
      </c>
      <c r="AE103">
        <v>0</v>
      </c>
      <c r="AF103">
        <v>1.95</v>
      </c>
      <c r="AG103">
        <v>0</v>
      </c>
      <c r="AH103">
        <v>0</v>
      </c>
      <c r="AI103">
        <v>1</v>
      </c>
      <c r="AJ103">
        <v>3.76</v>
      </c>
      <c r="AK103">
        <v>32.909999999999997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14.59</v>
      </c>
      <c r="AU103" t="s">
        <v>3</v>
      </c>
      <c r="AV103">
        <v>0</v>
      </c>
      <c r="AW103">
        <v>2</v>
      </c>
      <c r="AX103">
        <v>35696464</v>
      </c>
      <c r="AY103">
        <v>1</v>
      </c>
      <c r="AZ103">
        <v>0</v>
      </c>
      <c r="BA103">
        <v>98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Y103*Source!I154</f>
        <v>4.7169469999999993</v>
      </c>
      <c r="CY103">
        <f>AB103</f>
        <v>7.33</v>
      </c>
      <c r="CZ103">
        <f>AF103</f>
        <v>1.95</v>
      </c>
      <c r="DA103">
        <f>AJ103</f>
        <v>3.76</v>
      </c>
      <c r="DB103">
        <f t="shared" si="26"/>
        <v>28.45</v>
      </c>
      <c r="DC103">
        <f t="shared" si="27"/>
        <v>0</v>
      </c>
    </row>
    <row r="104" spans="1:107">
      <c r="A104">
        <f>ROW(Source!A154)</f>
        <v>154</v>
      </c>
      <c r="B104">
        <v>33806715</v>
      </c>
      <c r="C104">
        <v>35696459</v>
      </c>
      <c r="D104">
        <v>29174591</v>
      </c>
      <c r="E104">
        <v>1</v>
      </c>
      <c r="F104">
        <v>1</v>
      </c>
      <c r="G104">
        <v>1</v>
      </c>
      <c r="H104">
        <v>2</v>
      </c>
      <c r="I104" t="s">
        <v>453</v>
      </c>
      <c r="J104" t="s">
        <v>454</v>
      </c>
      <c r="K104" t="s">
        <v>455</v>
      </c>
      <c r="L104">
        <v>1368</v>
      </c>
      <c r="N104">
        <v>1011</v>
      </c>
      <c r="O104" t="s">
        <v>274</v>
      </c>
      <c r="P104" t="s">
        <v>274</v>
      </c>
      <c r="Q104">
        <v>1</v>
      </c>
      <c r="W104">
        <v>0</v>
      </c>
      <c r="X104">
        <v>1598042632</v>
      </c>
      <c r="Y104">
        <v>0.26</v>
      </c>
      <c r="AA104">
        <v>0</v>
      </c>
      <c r="AB104">
        <v>9.4700000000000006</v>
      </c>
      <c r="AC104">
        <v>0</v>
      </c>
      <c r="AD104">
        <v>0</v>
      </c>
      <c r="AE104">
        <v>0</v>
      </c>
      <c r="AF104">
        <v>0.95</v>
      </c>
      <c r="AG104">
        <v>0</v>
      </c>
      <c r="AH104">
        <v>0</v>
      </c>
      <c r="AI104">
        <v>1</v>
      </c>
      <c r="AJ104">
        <v>9.9700000000000006</v>
      </c>
      <c r="AK104">
        <v>32.909999999999997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0.26</v>
      </c>
      <c r="AU104" t="s">
        <v>3</v>
      </c>
      <c r="AV104">
        <v>0</v>
      </c>
      <c r="AW104">
        <v>2</v>
      </c>
      <c r="AX104">
        <v>35696465</v>
      </c>
      <c r="AY104">
        <v>1</v>
      </c>
      <c r="AZ104">
        <v>0</v>
      </c>
      <c r="BA104">
        <v>99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Y104*Source!I154</f>
        <v>8.4057999999999994E-2</v>
      </c>
      <c r="CY104">
        <f>AB104</f>
        <v>9.4700000000000006</v>
      </c>
      <c r="CZ104">
        <f>AF104</f>
        <v>0.95</v>
      </c>
      <c r="DA104">
        <f>AJ104</f>
        <v>9.9700000000000006</v>
      </c>
      <c r="DB104">
        <f t="shared" si="26"/>
        <v>0.25</v>
      </c>
      <c r="DC104">
        <f t="shared" si="27"/>
        <v>0</v>
      </c>
    </row>
    <row r="105" spans="1:107">
      <c r="A105">
        <f>ROW(Source!A154)</f>
        <v>154</v>
      </c>
      <c r="B105">
        <v>33806715</v>
      </c>
      <c r="C105">
        <v>35696459</v>
      </c>
      <c r="D105">
        <v>29174913</v>
      </c>
      <c r="E105">
        <v>1</v>
      </c>
      <c r="F105">
        <v>1</v>
      </c>
      <c r="G105">
        <v>1</v>
      </c>
      <c r="H105">
        <v>2</v>
      </c>
      <c r="I105" t="s">
        <v>278</v>
      </c>
      <c r="J105" t="s">
        <v>279</v>
      </c>
      <c r="K105" t="s">
        <v>280</v>
      </c>
      <c r="L105">
        <v>1368</v>
      </c>
      <c r="N105">
        <v>1011</v>
      </c>
      <c r="O105" t="s">
        <v>274</v>
      </c>
      <c r="P105" t="s">
        <v>274</v>
      </c>
      <c r="Q105">
        <v>1</v>
      </c>
      <c r="W105">
        <v>0</v>
      </c>
      <c r="X105">
        <v>458544584</v>
      </c>
      <c r="Y105">
        <v>0.76</v>
      </c>
      <c r="AA105">
        <v>0</v>
      </c>
      <c r="AB105">
        <v>918.77</v>
      </c>
      <c r="AC105">
        <v>381.76</v>
      </c>
      <c r="AD105">
        <v>0</v>
      </c>
      <c r="AE105">
        <v>0</v>
      </c>
      <c r="AF105">
        <v>87.17</v>
      </c>
      <c r="AG105">
        <v>11.6</v>
      </c>
      <c r="AH105">
        <v>0</v>
      </c>
      <c r="AI105">
        <v>1</v>
      </c>
      <c r="AJ105">
        <v>10.54</v>
      </c>
      <c r="AK105">
        <v>32.909999999999997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0.76</v>
      </c>
      <c r="AU105" t="s">
        <v>3</v>
      </c>
      <c r="AV105">
        <v>0</v>
      </c>
      <c r="AW105">
        <v>2</v>
      </c>
      <c r="AX105">
        <v>35696466</v>
      </c>
      <c r="AY105">
        <v>1</v>
      </c>
      <c r="AZ105">
        <v>0</v>
      </c>
      <c r="BA105">
        <v>100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Y105*Source!I154</f>
        <v>0.24570799999999998</v>
      </c>
      <c r="CY105">
        <f>AB105</f>
        <v>918.77</v>
      </c>
      <c r="CZ105">
        <f>AF105</f>
        <v>87.17</v>
      </c>
      <c r="DA105">
        <f>AJ105</f>
        <v>10.54</v>
      </c>
      <c r="DB105">
        <f t="shared" si="26"/>
        <v>66.25</v>
      </c>
      <c r="DC105">
        <f t="shared" si="27"/>
        <v>8.82</v>
      </c>
    </row>
    <row r="106" spans="1:107">
      <c r="A106">
        <f>ROW(Source!A154)</f>
        <v>154</v>
      </c>
      <c r="B106">
        <v>33806715</v>
      </c>
      <c r="C106">
        <v>35696459</v>
      </c>
      <c r="D106">
        <v>29114697</v>
      </c>
      <c r="E106">
        <v>1</v>
      </c>
      <c r="F106">
        <v>1</v>
      </c>
      <c r="G106">
        <v>1</v>
      </c>
      <c r="H106">
        <v>3</v>
      </c>
      <c r="I106" t="s">
        <v>456</v>
      </c>
      <c r="J106" t="s">
        <v>457</v>
      </c>
      <c r="K106" t="s">
        <v>458</v>
      </c>
      <c r="L106">
        <v>1348</v>
      </c>
      <c r="N106">
        <v>1009</v>
      </c>
      <c r="O106" t="s">
        <v>101</v>
      </c>
      <c r="P106" t="s">
        <v>101</v>
      </c>
      <c r="Q106">
        <v>1000</v>
      </c>
      <c r="W106">
        <v>0</v>
      </c>
      <c r="X106">
        <v>651088458</v>
      </c>
      <c r="Y106">
        <v>9.0000000000000006E-5</v>
      </c>
      <c r="AA106">
        <v>102717.5</v>
      </c>
      <c r="AB106">
        <v>0</v>
      </c>
      <c r="AC106">
        <v>0</v>
      </c>
      <c r="AD106">
        <v>0</v>
      </c>
      <c r="AE106">
        <v>11350</v>
      </c>
      <c r="AF106">
        <v>0</v>
      </c>
      <c r="AG106">
        <v>0</v>
      </c>
      <c r="AH106">
        <v>0</v>
      </c>
      <c r="AI106">
        <v>9.0500000000000007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9.0000000000000006E-5</v>
      </c>
      <c r="AU106" t="s">
        <v>3</v>
      </c>
      <c r="AV106">
        <v>0</v>
      </c>
      <c r="AW106">
        <v>2</v>
      </c>
      <c r="AX106">
        <v>35696467</v>
      </c>
      <c r="AY106">
        <v>1</v>
      </c>
      <c r="AZ106">
        <v>0</v>
      </c>
      <c r="BA106">
        <v>101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Y106*Source!I154</f>
        <v>2.9096999999999999E-5</v>
      </c>
      <c r="CY106">
        <f t="shared" ref="CY106:CY116" si="28">AA106</f>
        <v>102717.5</v>
      </c>
      <c r="CZ106">
        <f t="shared" ref="CZ106:CZ116" si="29">AE106</f>
        <v>11350</v>
      </c>
      <c r="DA106">
        <f t="shared" ref="DA106:DA116" si="30">AI106</f>
        <v>9.0500000000000007</v>
      </c>
      <c r="DB106">
        <f t="shared" si="26"/>
        <v>1.02</v>
      </c>
      <c r="DC106">
        <f t="shared" si="27"/>
        <v>0</v>
      </c>
    </row>
    <row r="107" spans="1:107">
      <c r="A107">
        <f>ROW(Source!A154)</f>
        <v>154</v>
      </c>
      <c r="B107">
        <v>33806715</v>
      </c>
      <c r="C107">
        <v>35696459</v>
      </c>
      <c r="D107">
        <v>29107779</v>
      </c>
      <c r="E107">
        <v>1</v>
      </c>
      <c r="F107">
        <v>1</v>
      </c>
      <c r="G107">
        <v>1</v>
      </c>
      <c r="H107">
        <v>3</v>
      </c>
      <c r="I107" t="s">
        <v>459</v>
      </c>
      <c r="J107" t="s">
        <v>460</v>
      </c>
      <c r="K107" t="s">
        <v>461</v>
      </c>
      <c r="L107">
        <v>1327</v>
      </c>
      <c r="N107">
        <v>1005</v>
      </c>
      <c r="O107" t="s">
        <v>143</v>
      </c>
      <c r="P107" t="s">
        <v>143</v>
      </c>
      <c r="Q107">
        <v>1</v>
      </c>
      <c r="W107">
        <v>0</v>
      </c>
      <c r="X107">
        <v>2125256490</v>
      </c>
      <c r="Y107">
        <v>5.0000000000000001E-4</v>
      </c>
      <c r="AA107">
        <v>203.19</v>
      </c>
      <c r="AB107">
        <v>0</v>
      </c>
      <c r="AC107">
        <v>0</v>
      </c>
      <c r="AD107">
        <v>0</v>
      </c>
      <c r="AE107">
        <v>72.31</v>
      </c>
      <c r="AF107">
        <v>0</v>
      </c>
      <c r="AG107">
        <v>0</v>
      </c>
      <c r="AH107">
        <v>0</v>
      </c>
      <c r="AI107">
        <v>2.81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5.0000000000000001E-4</v>
      </c>
      <c r="AU107" t="s">
        <v>3</v>
      </c>
      <c r="AV107">
        <v>0</v>
      </c>
      <c r="AW107">
        <v>2</v>
      </c>
      <c r="AX107">
        <v>35696468</v>
      </c>
      <c r="AY107">
        <v>1</v>
      </c>
      <c r="AZ107">
        <v>0</v>
      </c>
      <c r="BA107">
        <v>102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Y107*Source!I154</f>
        <v>1.6165E-4</v>
      </c>
      <c r="CY107">
        <f t="shared" si="28"/>
        <v>203.19</v>
      </c>
      <c r="CZ107">
        <f t="shared" si="29"/>
        <v>72.31</v>
      </c>
      <c r="DA107">
        <f t="shared" si="30"/>
        <v>2.81</v>
      </c>
      <c r="DB107">
        <f t="shared" si="26"/>
        <v>0.04</v>
      </c>
      <c r="DC107">
        <f t="shared" si="27"/>
        <v>0</v>
      </c>
    </row>
    <row r="108" spans="1:107">
      <c r="A108">
        <f>ROW(Source!A154)</f>
        <v>154</v>
      </c>
      <c r="B108">
        <v>33806715</v>
      </c>
      <c r="C108">
        <v>35696459</v>
      </c>
      <c r="D108">
        <v>29107800</v>
      </c>
      <c r="E108">
        <v>1</v>
      </c>
      <c r="F108">
        <v>1</v>
      </c>
      <c r="G108">
        <v>1</v>
      </c>
      <c r="H108">
        <v>3</v>
      </c>
      <c r="I108" t="s">
        <v>281</v>
      </c>
      <c r="J108" t="s">
        <v>282</v>
      </c>
      <c r="K108" t="s">
        <v>283</v>
      </c>
      <c r="L108">
        <v>1346</v>
      </c>
      <c r="N108">
        <v>1009</v>
      </c>
      <c r="O108" t="s">
        <v>84</v>
      </c>
      <c r="P108" t="s">
        <v>84</v>
      </c>
      <c r="Q108">
        <v>1</v>
      </c>
      <c r="W108">
        <v>0</v>
      </c>
      <c r="X108">
        <v>-1570619850</v>
      </c>
      <c r="Y108">
        <v>0.25</v>
      </c>
      <c r="AA108">
        <v>46.61</v>
      </c>
      <c r="AB108">
        <v>0</v>
      </c>
      <c r="AC108">
        <v>0</v>
      </c>
      <c r="AD108">
        <v>0</v>
      </c>
      <c r="AE108">
        <v>1.81</v>
      </c>
      <c r="AF108">
        <v>0</v>
      </c>
      <c r="AG108">
        <v>0</v>
      </c>
      <c r="AH108">
        <v>0</v>
      </c>
      <c r="AI108">
        <v>25.75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0.25</v>
      </c>
      <c r="AU108" t="s">
        <v>3</v>
      </c>
      <c r="AV108">
        <v>0</v>
      </c>
      <c r="AW108">
        <v>2</v>
      </c>
      <c r="AX108">
        <v>35696469</v>
      </c>
      <c r="AY108">
        <v>1</v>
      </c>
      <c r="AZ108">
        <v>0</v>
      </c>
      <c r="BA108">
        <v>103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Y108*Source!I154</f>
        <v>8.0824999999999994E-2</v>
      </c>
      <c r="CY108">
        <f t="shared" si="28"/>
        <v>46.61</v>
      </c>
      <c r="CZ108">
        <f t="shared" si="29"/>
        <v>1.81</v>
      </c>
      <c r="DA108">
        <f t="shared" si="30"/>
        <v>25.75</v>
      </c>
      <c r="DB108">
        <f t="shared" si="26"/>
        <v>0.45</v>
      </c>
      <c r="DC108">
        <f t="shared" si="27"/>
        <v>0</v>
      </c>
    </row>
    <row r="109" spans="1:107">
      <c r="A109">
        <f>ROW(Source!A154)</f>
        <v>154</v>
      </c>
      <c r="B109">
        <v>33806715</v>
      </c>
      <c r="C109">
        <v>35696459</v>
      </c>
      <c r="D109">
        <v>29108210</v>
      </c>
      <c r="E109">
        <v>1</v>
      </c>
      <c r="F109">
        <v>1</v>
      </c>
      <c r="G109">
        <v>1</v>
      </c>
      <c r="H109">
        <v>3</v>
      </c>
      <c r="I109" t="s">
        <v>462</v>
      </c>
      <c r="J109" t="s">
        <v>463</v>
      </c>
      <c r="K109" t="s">
        <v>464</v>
      </c>
      <c r="L109">
        <v>1301</v>
      </c>
      <c r="N109">
        <v>1003</v>
      </c>
      <c r="O109" t="s">
        <v>126</v>
      </c>
      <c r="P109" t="s">
        <v>126</v>
      </c>
      <c r="Q109">
        <v>1</v>
      </c>
      <c r="W109">
        <v>0</v>
      </c>
      <c r="X109">
        <v>-893943049</v>
      </c>
      <c r="Y109">
        <v>88.21</v>
      </c>
      <c r="AA109">
        <v>16.399999999999999</v>
      </c>
      <c r="AB109">
        <v>0</v>
      </c>
      <c r="AC109">
        <v>0</v>
      </c>
      <c r="AD109">
        <v>0</v>
      </c>
      <c r="AE109">
        <v>5.29</v>
      </c>
      <c r="AF109">
        <v>0</v>
      </c>
      <c r="AG109">
        <v>0</v>
      </c>
      <c r="AH109">
        <v>0</v>
      </c>
      <c r="AI109">
        <v>3.1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88.21</v>
      </c>
      <c r="AU109" t="s">
        <v>3</v>
      </c>
      <c r="AV109">
        <v>0</v>
      </c>
      <c r="AW109">
        <v>2</v>
      </c>
      <c r="AX109">
        <v>35696470</v>
      </c>
      <c r="AY109">
        <v>1</v>
      </c>
      <c r="AZ109">
        <v>0</v>
      </c>
      <c r="BA109">
        <v>104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Y109*Source!I154</f>
        <v>28.518292999999996</v>
      </c>
      <c r="CY109">
        <f t="shared" si="28"/>
        <v>16.399999999999999</v>
      </c>
      <c r="CZ109">
        <f t="shared" si="29"/>
        <v>5.29</v>
      </c>
      <c r="DA109">
        <f t="shared" si="30"/>
        <v>3.1</v>
      </c>
      <c r="DB109">
        <f t="shared" si="26"/>
        <v>466.63</v>
      </c>
      <c r="DC109">
        <f t="shared" si="27"/>
        <v>0</v>
      </c>
    </row>
    <row r="110" spans="1:107">
      <c r="A110">
        <f>ROW(Source!A154)</f>
        <v>154</v>
      </c>
      <c r="B110">
        <v>33806715</v>
      </c>
      <c r="C110">
        <v>35696459</v>
      </c>
      <c r="D110">
        <v>29108212</v>
      </c>
      <c r="E110">
        <v>1</v>
      </c>
      <c r="F110">
        <v>1</v>
      </c>
      <c r="G110">
        <v>1</v>
      </c>
      <c r="H110">
        <v>3</v>
      </c>
      <c r="I110" t="s">
        <v>465</v>
      </c>
      <c r="J110" t="s">
        <v>466</v>
      </c>
      <c r="K110" t="s">
        <v>467</v>
      </c>
      <c r="L110">
        <v>1301</v>
      </c>
      <c r="N110">
        <v>1003</v>
      </c>
      <c r="O110" t="s">
        <v>126</v>
      </c>
      <c r="P110" t="s">
        <v>126</v>
      </c>
      <c r="Q110">
        <v>1</v>
      </c>
      <c r="W110">
        <v>0</v>
      </c>
      <c r="X110">
        <v>-405970768</v>
      </c>
      <c r="Y110">
        <v>40.4</v>
      </c>
      <c r="AA110">
        <v>16.399999999999999</v>
      </c>
      <c r="AB110">
        <v>0</v>
      </c>
      <c r="AC110">
        <v>0</v>
      </c>
      <c r="AD110">
        <v>0</v>
      </c>
      <c r="AE110">
        <v>5.29</v>
      </c>
      <c r="AF110">
        <v>0</v>
      </c>
      <c r="AG110">
        <v>0</v>
      </c>
      <c r="AH110">
        <v>0</v>
      </c>
      <c r="AI110">
        <v>3.1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40.4</v>
      </c>
      <c r="AU110" t="s">
        <v>3</v>
      </c>
      <c r="AV110">
        <v>0</v>
      </c>
      <c r="AW110">
        <v>2</v>
      </c>
      <c r="AX110">
        <v>35696471</v>
      </c>
      <c r="AY110">
        <v>1</v>
      </c>
      <c r="AZ110">
        <v>0</v>
      </c>
      <c r="BA110">
        <v>105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Y110*Source!I154</f>
        <v>13.061319999999998</v>
      </c>
      <c r="CY110">
        <f t="shared" si="28"/>
        <v>16.399999999999999</v>
      </c>
      <c r="CZ110">
        <f t="shared" si="29"/>
        <v>5.29</v>
      </c>
      <c r="DA110">
        <f t="shared" si="30"/>
        <v>3.1</v>
      </c>
      <c r="DB110">
        <f t="shared" si="26"/>
        <v>213.72</v>
      </c>
      <c r="DC110">
        <f t="shared" si="27"/>
        <v>0</v>
      </c>
    </row>
    <row r="111" spans="1:107">
      <c r="A111">
        <f>ROW(Source!A154)</f>
        <v>154</v>
      </c>
      <c r="B111">
        <v>33806715</v>
      </c>
      <c r="C111">
        <v>35696459</v>
      </c>
      <c r="D111">
        <v>29114332</v>
      </c>
      <c r="E111">
        <v>1</v>
      </c>
      <c r="F111">
        <v>1</v>
      </c>
      <c r="G111">
        <v>1</v>
      </c>
      <c r="H111">
        <v>3</v>
      </c>
      <c r="I111" t="s">
        <v>468</v>
      </c>
      <c r="J111" t="s">
        <v>469</v>
      </c>
      <c r="K111" t="s">
        <v>470</v>
      </c>
      <c r="L111">
        <v>1348</v>
      </c>
      <c r="N111">
        <v>1009</v>
      </c>
      <c r="O111" t="s">
        <v>101</v>
      </c>
      <c r="P111" t="s">
        <v>101</v>
      </c>
      <c r="Q111">
        <v>1000</v>
      </c>
      <c r="W111">
        <v>0</v>
      </c>
      <c r="X111">
        <v>233971917</v>
      </c>
      <c r="Y111">
        <v>1.1E-4</v>
      </c>
      <c r="AA111">
        <v>54619.68</v>
      </c>
      <c r="AB111">
        <v>0</v>
      </c>
      <c r="AC111">
        <v>0</v>
      </c>
      <c r="AD111">
        <v>0</v>
      </c>
      <c r="AE111">
        <v>11978</v>
      </c>
      <c r="AF111">
        <v>0</v>
      </c>
      <c r="AG111">
        <v>0</v>
      </c>
      <c r="AH111">
        <v>0</v>
      </c>
      <c r="AI111">
        <v>4.5599999999999996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1.1E-4</v>
      </c>
      <c r="AU111" t="s">
        <v>3</v>
      </c>
      <c r="AV111">
        <v>0</v>
      </c>
      <c r="AW111">
        <v>2</v>
      </c>
      <c r="AX111">
        <v>35696472</v>
      </c>
      <c r="AY111">
        <v>1</v>
      </c>
      <c r="AZ111">
        <v>0</v>
      </c>
      <c r="BA111">
        <v>106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Y111*Source!I154</f>
        <v>3.5562999999999998E-5</v>
      </c>
      <c r="CY111">
        <f t="shared" si="28"/>
        <v>54619.68</v>
      </c>
      <c r="CZ111">
        <f t="shared" si="29"/>
        <v>11978</v>
      </c>
      <c r="DA111">
        <f t="shared" si="30"/>
        <v>4.5599999999999996</v>
      </c>
      <c r="DB111">
        <f t="shared" si="26"/>
        <v>1.32</v>
      </c>
      <c r="DC111">
        <f t="shared" si="27"/>
        <v>0</v>
      </c>
    </row>
    <row r="112" spans="1:107">
      <c r="A112">
        <f>ROW(Source!A154)</f>
        <v>154</v>
      </c>
      <c r="B112">
        <v>33806715</v>
      </c>
      <c r="C112">
        <v>35696459</v>
      </c>
      <c r="D112">
        <v>29109716</v>
      </c>
      <c r="E112">
        <v>1</v>
      </c>
      <c r="F112">
        <v>1</v>
      </c>
      <c r="G112">
        <v>1</v>
      </c>
      <c r="H112">
        <v>3</v>
      </c>
      <c r="I112" t="s">
        <v>471</v>
      </c>
      <c r="J112" t="s">
        <v>472</v>
      </c>
      <c r="K112" t="s">
        <v>473</v>
      </c>
      <c r="L112">
        <v>1329</v>
      </c>
      <c r="N112">
        <v>1005</v>
      </c>
      <c r="O112" t="s">
        <v>474</v>
      </c>
      <c r="P112" t="s">
        <v>474</v>
      </c>
      <c r="Q112">
        <v>1000</v>
      </c>
      <c r="W112">
        <v>0</v>
      </c>
      <c r="X112">
        <v>1655834366</v>
      </c>
      <c r="Y112">
        <v>0.1014</v>
      </c>
      <c r="AA112">
        <v>372380.96</v>
      </c>
      <c r="AB112">
        <v>0</v>
      </c>
      <c r="AC112">
        <v>0</v>
      </c>
      <c r="AD112">
        <v>0</v>
      </c>
      <c r="AE112">
        <v>89299.99</v>
      </c>
      <c r="AF112">
        <v>0</v>
      </c>
      <c r="AG112">
        <v>0</v>
      </c>
      <c r="AH112">
        <v>0</v>
      </c>
      <c r="AI112">
        <v>4.17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0.1014</v>
      </c>
      <c r="AU112" t="s">
        <v>3</v>
      </c>
      <c r="AV112">
        <v>0</v>
      </c>
      <c r="AW112">
        <v>2</v>
      </c>
      <c r="AX112">
        <v>35696473</v>
      </c>
      <c r="AY112">
        <v>1</v>
      </c>
      <c r="AZ112">
        <v>0</v>
      </c>
      <c r="BA112">
        <v>107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Y112*Source!I154</f>
        <v>3.2782619999999998E-2</v>
      </c>
      <c r="CY112">
        <f t="shared" si="28"/>
        <v>372380.96</v>
      </c>
      <c r="CZ112">
        <f t="shared" si="29"/>
        <v>89299.99</v>
      </c>
      <c r="DA112">
        <f t="shared" si="30"/>
        <v>4.17</v>
      </c>
      <c r="DB112">
        <f t="shared" si="26"/>
        <v>9055.02</v>
      </c>
      <c r="DC112">
        <f t="shared" si="27"/>
        <v>0</v>
      </c>
    </row>
    <row r="113" spans="1:107">
      <c r="A113">
        <f>ROW(Source!A154)</f>
        <v>154</v>
      </c>
      <c r="B113">
        <v>33806715</v>
      </c>
      <c r="C113">
        <v>35696459</v>
      </c>
      <c r="D113">
        <v>29109411</v>
      </c>
      <c r="E113">
        <v>1</v>
      </c>
      <c r="F113">
        <v>1</v>
      </c>
      <c r="G113">
        <v>1</v>
      </c>
      <c r="H113">
        <v>3</v>
      </c>
      <c r="I113" t="s">
        <v>475</v>
      </c>
      <c r="J113" t="s">
        <v>476</v>
      </c>
      <c r="K113" t="s">
        <v>477</v>
      </c>
      <c r="L113">
        <v>1346</v>
      </c>
      <c r="N113">
        <v>1009</v>
      </c>
      <c r="O113" t="s">
        <v>84</v>
      </c>
      <c r="P113" t="s">
        <v>84</v>
      </c>
      <c r="Q113">
        <v>1</v>
      </c>
      <c r="W113">
        <v>0</v>
      </c>
      <c r="X113">
        <v>-1130535485</v>
      </c>
      <c r="Y113">
        <v>0.36</v>
      </c>
      <c r="AA113">
        <v>53.91</v>
      </c>
      <c r="AB113">
        <v>0</v>
      </c>
      <c r="AC113">
        <v>0</v>
      </c>
      <c r="AD113">
        <v>0</v>
      </c>
      <c r="AE113">
        <v>15.95</v>
      </c>
      <c r="AF113">
        <v>0</v>
      </c>
      <c r="AG113">
        <v>0</v>
      </c>
      <c r="AH113">
        <v>0</v>
      </c>
      <c r="AI113">
        <v>3.38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0.36</v>
      </c>
      <c r="AU113" t="s">
        <v>3</v>
      </c>
      <c r="AV113">
        <v>0</v>
      </c>
      <c r="AW113">
        <v>2</v>
      </c>
      <c r="AX113">
        <v>35696474</v>
      </c>
      <c r="AY113">
        <v>1</v>
      </c>
      <c r="AZ113">
        <v>0</v>
      </c>
      <c r="BA113">
        <v>108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Y113*Source!I154</f>
        <v>0.11638799999999999</v>
      </c>
      <c r="CY113">
        <f t="shared" si="28"/>
        <v>53.91</v>
      </c>
      <c r="CZ113">
        <f t="shared" si="29"/>
        <v>15.95</v>
      </c>
      <c r="DA113">
        <f t="shared" si="30"/>
        <v>3.38</v>
      </c>
      <c r="DB113">
        <f t="shared" si="26"/>
        <v>5.74</v>
      </c>
      <c r="DC113">
        <f t="shared" si="27"/>
        <v>0</v>
      </c>
    </row>
    <row r="114" spans="1:107">
      <c r="A114">
        <f>ROW(Source!A154)</f>
        <v>154</v>
      </c>
      <c r="B114">
        <v>33806715</v>
      </c>
      <c r="C114">
        <v>35696459</v>
      </c>
      <c r="D114">
        <v>29115470</v>
      </c>
      <c r="E114">
        <v>1</v>
      </c>
      <c r="F114">
        <v>1</v>
      </c>
      <c r="G114">
        <v>1</v>
      </c>
      <c r="H114">
        <v>3</v>
      </c>
      <c r="I114" t="s">
        <v>478</v>
      </c>
      <c r="J114" t="s">
        <v>479</v>
      </c>
      <c r="K114" t="s">
        <v>480</v>
      </c>
      <c r="L114">
        <v>1339</v>
      </c>
      <c r="N114">
        <v>1007</v>
      </c>
      <c r="O114" t="s">
        <v>290</v>
      </c>
      <c r="P114" t="s">
        <v>290</v>
      </c>
      <c r="Q114">
        <v>1</v>
      </c>
      <c r="W114">
        <v>0</v>
      </c>
      <c r="X114">
        <v>-955418329</v>
      </c>
      <c r="Y114">
        <v>5.0000000000000001E-3</v>
      </c>
      <c r="AA114">
        <v>5417.28</v>
      </c>
      <c r="AB114">
        <v>0</v>
      </c>
      <c r="AC114">
        <v>0</v>
      </c>
      <c r="AD114">
        <v>0</v>
      </c>
      <c r="AE114">
        <v>1056</v>
      </c>
      <c r="AF114">
        <v>0</v>
      </c>
      <c r="AG114">
        <v>0</v>
      </c>
      <c r="AH114">
        <v>0</v>
      </c>
      <c r="AI114">
        <v>5.13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5.0000000000000001E-3</v>
      </c>
      <c r="AU114" t="s">
        <v>3</v>
      </c>
      <c r="AV114">
        <v>0</v>
      </c>
      <c r="AW114">
        <v>2</v>
      </c>
      <c r="AX114">
        <v>35696475</v>
      </c>
      <c r="AY114">
        <v>1</v>
      </c>
      <c r="AZ114">
        <v>0</v>
      </c>
      <c r="BA114">
        <v>109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Y114*Source!I154</f>
        <v>1.6164999999999999E-3</v>
      </c>
      <c r="CY114">
        <f t="shared" si="28"/>
        <v>5417.28</v>
      </c>
      <c r="CZ114">
        <f t="shared" si="29"/>
        <v>1056</v>
      </c>
      <c r="DA114">
        <f t="shared" si="30"/>
        <v>5.13</v>
      </c>
      <c r="DB114">
        <f t="shared" si="26"/>
        <v>5.28</v>
      </c>
      <c r="DC114">
        <f t="shared" si="27"/>
        <v>0</v>
      </c>
    </row>
    <row r="115" spans="1:107">
      <c r="A115">
        <f>ROW(Source!A154)</f>
        <v>154</v>
      </c>
      <c r="B115">
        <v>33806715</v>
      </c>
      <c r="C115">
        <v>35696459</v>
      </c>
      <c r="D115">
        <v>29122725</v>
      </c>
      <c r="E115">
        <v>1</v>
      </c>
      <c r="F115">
        <v>1</v>
      </c>
      <c r="G115">
        <v>1</v>
      </c>
      <c r="H115">
        <v>3</v>
      </c>
      <c r="I115" t="s">
        <v>481</v>
      </c>
      <c r="J115" t="s">
        <v>482</v>
      </c>
      <c r="K115" t="s">
        <v>483</v>
      </c>
      <c r="L115">
        <v>1348</v>
      </c>
      <c r="N115">
        <v>1009</v>
      </c>
      <c r="O115" t="s">
        <v>101</v>
      </c>
      <c r="P115" t="s">
        <v>101</v>
      </c>
      <c r="Q115">
        <v>1000</v>
      </c>
      <c r="W115">
        <v>0</v>
      </c>
      <c r="X115">
        <v>886490708</v>
      </c>
      <c r="Y115">
        <v>3.2599999999999999E-3</v>
      </c>
      <c r="AA115">
        <v>92412.27</v>
      </c>
      <c r="AB115">
        <v>0</v>
      </c>
      <c r="AC115">
        <v>0</v>
      </c>
      <c r="AD115">
        <v>0</v>
      </c>
      <c r="AE115">
        <v>15933.15</v>
      </c>
      <c r="AF115">
        <v>0</v>
      </c>
      <c r="AG115">
        <v>0</v>
      </c>
      <c r="AH115">
        <v>0</v>
      </c>
      <c r="AI115">
        <v>5.8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3.2599999999999999E-3</v>
      </c>
      <c r="AU115" t="s">
        <v>3</v>
      </c>
      <c r="AV115">
        <v>0</v>
      </c>
      <c r="AW115">
        <v>2</v>
      </c>
      <c r="AX115">
        <v>35696476</v>
      </c>
      <c r="AY115">
        <v>1</v>
      </c>
      <c r="AZ115">
        <v>0</v>
      </c>
      <c r="BA115">
        <v>110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Y115*Source!I154</f>
        <v>1.0539579999999998E-3</v>
      </c>
      <c r="CY115">
        <f t="shared" si="28"/>
        <v>92412.27</v>
      </c>
      <c r="CZ115">
        <f t="shared" si="29"/>
        <v>15933.15</v>
      </c>
      <c r="DA115">
        <f t="shared" si="30"/>
        <v>5.8</v>
      </c>
      <c r="DB115">
        <f t="shared" si="26"/>
        <v>51.94</v>
      </c>
      <c r="DC115">
        <f t="shared" si="27"/>
        <v>0</v>
      </c>
    </row>
    <row r="116" spans="1:107">
      <c r="A116">
        <f>ROW(Source!A154)</f>
        <v>154</v>
      </c>
      <c r="B116">
        <v>33806715</v>
      </c>
      <c r="C116">
        <v>35696459</v>
      </c>
      <c r="D116">
        <v>29131295</v>
      </c>
      <c r="E116">
        <v>1</v>
      </c>
      <c r="F116">
        <v>1</v>
      </c>
      <c r="G116">
        <v>1</v>
      </c>
      <c r="H116">
        <v>3</v>
      </c>
      <c r="I116" t="s">
        <v>484</v>
      </c>
      <c r="J116" t="s">
        <v>485</v>
      </c>
      <c r="K116" t="s">
        <v>486</v>
      </c>
      <c r="L116">
        <v>1339</v>
      </c>
      <c r="N116">
        <v>1007</v>
      </c>
      <c r="O116" t="s">
        <v>290</v>
      </c>
      <c r="P116" t="s">
        <v>290</v>
      </c>
      <c r="Q116">
        <v>1</v>
      </c>
      <c r="W116">
        <v>0</v>
      </c>
      <c r="X116">
        <v>1218875310</v>
      </c>
      <c r="Y116">
        <v>0.03</v>
      </c>
      <c r="AA116">
        <v>39524.839999999997</v>
      </c>
      <c r="AB116">
        <v>0</v>
      </c>
      <c r="AC116">
        <v>0</v>
      </c>
      <c r="AD116">
        <v>0</v>
      </c>
      <c r="AE116">
        <v>2499.9899999999998</v>
      </c>
      <c r="AF116">
        <v>0</v>
      </c>
      <c r="AG116">
        <v>0</v>
      </c>
      <c r="AH116">
        <v>0</v>
      </c>
      <c r="AI116">
        <v>15.81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0.03</v>
      </c>
      <c r="AU116" t="s">
        <v>3</v>
      </c>
      <c r="AV116">
        <v>0</v>
      </c>
      <c r="AW116">
        <v>2</v>
      </c>
      <c r="AX116">
        <v>35696477</v>
      </c>
      <c r="AY116">
        <v>1</v>
      </c>
      <c r="AZ116">
        <v>0</v>
      </c>
      <c r="BA116">
        <v>111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Y116*Source!I154</f>
        <v>9.6989999999999993E-3</v>
      </c>
      <c r="CY116">
        <f t="shared" si="28"/>
        <v>39524.839999999997</v>
      </c>
      <c r="CZ116">
        <f t="shared" si="29"/>
        <v>2499.9899999999998</v>
      </c>
      <c r="DA116">
        <f t="shared" si="30"/>
        <v>15.81</v>
      </c>
      <c r="DB116">
        <f t="shared" si="26"/>
        <v>75</v>
      </c>
      <c r="DC116">
        <f t="shared" si="27"/>
        <v>0</v>
      </c>
    </row>
    <row r="117" spans="1:107">
      <c r="A117">
        <f>ROW(Source!A155)</f>
        <v>155</v>
      </c>
      <c r="B117">
        <v>33806715</v>
      </c>
      <c r="C117">
        <v>35696478</v>
      </c>
      <c r="D117">
        <v>18413230</v>
      </c>
      <c r="E117">
        <v>1</v>
      </c>
      <c r="F117">
        <v>1</v>
      </c>
      <c r="G117">
        <v>1</v>
      </c>
      <c r="H117">
        <v>1</v>
      </c>
      <c r="I117" t="s">
        <v>451</v>
      </c>
      <c r="J117" t="s">
        <v>3</v>
      </c>
      <c r="K117" t="s">
        <v>452</v>
      </c>
      <c r="L117">
        <v>1369</v>
      </c>
      <c r="N117">
        <v>1013</v>
      </c>
      <c r="O117" t="s">
        <v>268</v>
      </c>
      <c r="P117" t="s">
        <v>268</v>
      </c>
      <c r="Q117">
        <v>1</v>
      </c>
      <c r="W117">
        <v>0</v>
      </c>
      <c r="X117">
        <v>355262106</v>
      </c>
      <c r="Y117">
        <v>166.47</v>
      </c>
      <c r="AA117">
        <v>0</v>
      </c>
      <c r="AB117">
        <v>0</v>
      </c>
      <c r="AC117">
        <v>0</v>
      </c>
      <c r="AD117">
        <v>299.72000000000003</v>
      </c>
      <c r="AE117">
        <v>0</v>
      </c>
      <c r="AF117">
        <v>0</v>
      </c>
      <c r="AG117">
        <v>0</v>
      </c>
      <c r="AH117">
        <v>299.72000000000003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166.47</v>
      </c>
      <c r="AU117" t="s">
        <v>3</v>
      </c>
      <c r="AV117">
        <v>1</v>
      </c>
      <c r="AW117">
        <v>2</v>
      </c>
      <c r="AX117">
        <v>35696479</v>
      </c>
      <c r="AY117">
        <v>1</v>
      </c>
      <c r="AZ117">
        <v>0</v>
      </c>
      <c r="BA117">
        <v>112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Y117*Source!I155</f>
        <v>4.9940999999999995</v>
      </c>
      <c r="CY117">
        <f>AD117</f>
        <v>299.72000000000003</v>
      </c>
      <c r="CZ117">
        <f>AH117</f>
        <v>299.72000000000003</v>
      </c>
      <c r="DA117">
        <f>AL117</f>
        <v>1</v>
      </c>
      <c r="DB117">
        <f t="shared" si="26"/>
        <v>49894.39</v>
      </c>
      <c r="DC117">
        <f t="shared" si="27"/>
        <v>0</v>
      </c>
    </row>
    <row r="118" spans="1:107">
      <c r="A118">
        <f>ROW(Source!A155)</f>
        <v>155</v>
      </c>
      <c r="B118">
        <v>33806715</v>
      </c>
      <c r="C118">
        <v>35696478</v>
      </c>
      <c r="D118">
        <v>121548</v>
      </c>
      <c r="E118">
        <v>1</v>
      </c>
      <c r="F118">
        <v>1</v>
      </c>
      <c r="G118">
        <v>1</v>
      </c>
      <c r="H118">
        <v>1</v>
      </c>
      <c r="I118" t="s">
        <v>86</v>
      </c>
      <c r="J118" t="s">
        <v>3</v>
      </c>
      <c r="K118" t="s">
        <v>269</v>
      </c>
      <c r="L118">
        <v>608254</v>
      </c>
      <c r="N118">
        <v>1013</v>
      </c>
      <c r="O118" t="s">
        <v>270</v>
      </c>
      <c r="P118" t="s">
        <v>270</v>
      </c>
      <c r="Q118">
        <v>1</v>
      </c>
      <c r="W118">
        <v>0</v>
      </c>
      <c r="X118">
        <v>-185737400</v>
      </c>
      <c r="Y118">
        <v>0.08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0.08</v>
      </c>
      <c r="AU118" t="s">
        <v>3</v>
      </c>
      <c r="AV118">
        <v>2</v>
      </c>
      <c r="AW118">
        <v>2</v>
      </c>
      <c r="AX118">
        <v>35696480</v>
      </c>
      <c r="AY118">
        <v>1</v>
      </c>
      <c r="AZ118">
        <v>0</v>
      </c>
      <c r="BA118">
        <v>113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Y118*Source!I155</f>
        <v>2.3999999999999998E-3</v>
      </c>
      <c r="CY118">
        <f>AD118</f>
        <v>0</v>
      </c>
      <c r="CZ118">
        <f>AH118</f>
        <v>0</v>
      </c>
      <c r="DA118">
        <f>AL118</f>
        <v>1</v>
      </c>
      <c r="DB118">
        <f t="shared" si="26"/>
        <v>0</v>
      </c>
      <c r="DC118">
        <f t="shared" si="27"/>
        <v>0</v>
      </c>
    </row>
    <row r="119" spans="1:107">
      <c r="A119">
        <f>ROW(Source!A155)</f>
        <v>155</v>
      </c>
      <c r="B119">
        <v>33806715</v>
      </c>
      <c r="C119">
        <v>35696478</v>
      </c>
      <c r="D119">
        <v>29172556</v>
      </c>
      <c r="E119">
        <v>1</v>
      </c>
      <c r="F119">
        <v>1</v>
      </c>
      <c r="G119">
        <v>1</v>
      </c>
      <c r="H119">
        <v>2</v>
      </c>
      <c r="I119" t="s">
        <v>293</v>
      </c>
      <c r="J119" t="s">
        <v>294</v>
      </c>
      <c r="K119" t="s">
        <v>295</v>
      </c>
      <c r="L119">
        <v>1368</v>
      </c>
      <c r="N119">
        <v>1011</v>
      </c>
      <c r="O119" t="s">
        <v>274</v>
      </c>
      <c r="P119" t="s">
        <v>274</v>
      </c>
      <c r="Q119">
        <v>1</v>
      </c>
      <c r="W119">
        <v>0</v>
      </c>
      <c r="X119">
        <v>-1302720870</v>
      </c>
      <c r="Y119">
        <v>0.08</v>
      </c>
      <c r="AA119">
        <v>0</v>
      </c>
      <c r="AB119">
        <v>451.71</v>
      </c>
      <c r="AC119">
        <v>444.29</v>
      </c>
      <c r="AD119">
        <v>0</v>
      </c>
      <c r="AE119">
        <v>0</v>
      </c>
      <c r="AF119">
        <v>31.26</v>
      </c>
      <c r="AG119">
        <v>13.5</v>
      </c>
      <c r="AH119">
        <v>0</v>
      </c>
      <c r="AI119">
        <v>1</v>
      </c>
      <c r="AJ119">
        <v>14.45</v>
      </c>
      <c r="AK119">
        <v>32.909999999999997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0.08</v>
      </c>
      <c r="AU119" t="s">
        <v>3</v>
      </c>
      <c r="AV119">
        <v>0</v>
      </c>
      <c r="AW119">
        <v>2</v>
      </c>
      <c r="AX119">
        <v>35696481</v>
      </c>
      <c r="AY119">
        <v>1</v>
      </c>
      <c r="AZ119">
        <v>0</v>
      </c>
      <c r="BA119">
        <v>114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Y119*Source!I155</f>
        <v>2.3999999999999998E-3</v>
      </c>
      <c r="CY119">
        <f>AB119</f>
        <v>451.71</v>
      </c>
      <c r="CZ119">
        <f>AF119</f>
        <v>31.26</v>
      </c>
      <c r="DA119">
        <f>AJ119</f>
        <v>14.45</v>
      </c>
      <c r="DB119">
        <f t="shared" si="26"/>
        <v>2.5</v>
      </c>
      <c r="DC119">
        <f t="shared" si="27"/>
        <v>1.08</v>
      </c>
    </row>
    <row r="120" spans="1:107">
      <c r="A120">
        <f>ROW(Source!A155)</f>
        <v>155</v>
      </c>
      <c r="B120">
        <v>33806715</v>
      </c>
      <c r="C120">
        <v>35696478</v>
      </c>
      <c r="D120">
        <v>29174591</v>
      </c>
      <c r="E120">
        <v>1</v>
      </c>
      <c r="F120">
        <v>1</v>
      </c>
      <c r="G120">
        <v>1</v>
      </c>
      <c r="H120">
        <v>2</v>
      </c>
      <c r="I120" t="s">
        <v>453</v>
      </c>
      <c r="J120" t="s">
        <v>454</v>
      </c>
      <c r="K120" t="s">
        <v>455</v>
      </c>
      <c r="L120">
        <v>1368</v>
      </c>
      <c r="N120">
        <v>1011</v>
      </c>
      <c r="O120" t="s">
        <v>274</v>
      </c>
      <c r="P120" t="s">
        <v>274</v>
      </c>
      <c r="Q120">
        <v>1</v>
      </c>
      <c r="W120">
        <v>0</v>
      </c>
      <c r="X120">
        <v>1598042632</v>
      </c>
      <c r="Y120">
        <v>0.26</v>
      </c>
      <c r="AA120">
        <v>0</v>
      </c>
      <c r="AB120">
        <v>9.4700000000000006</v>
      </c>
      <c r="AC120">
        <v>0</v>
      </c>
      <c r="AD120">
        <v>0</v>
      </c>
      <c r="AE120">
        <v>0</v>
      </c>
      <c r="AF120">
        <v>0.95</v>
      </c>
      <c r="AG120">
        <v>0</v>
      </c>
      <c r="AH120">
        <v>0</v>
      </c>
      <c r="AI120">
        <v>1</v>
      </c>
      <c r="AJ120">
        <v>9.9700000000000006</v>
      </c>
      <c r="AK120">
        <v>32.909999999999997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0.26</v>
      </c>
      <c r="AU120" t="s">
        <v>3</v>
      </c>
      <c r="AV120">
        <v>0</v>
      </c>
      <c r="AW120">
        <v>2</v>
      </c>
      <c r="AX120">
        <v>35696482</v>
      </c>
      <c r="AY120">
        <v>1</v>
      </c>
      <c r="AZ120">
        <v>0</v>
      </c>
      <c r="BA120">
        <v>115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Y120*Source!I155</f>
        <v>7.7999999999999996E-3</v>
      </c>
      <c r="CY120">
        <f>AB120</f>
        <v>9.4700000000000006</v>
      </c>
      <c r="CZ120">
        <f>AF120</f>
        <v>0.95</v>
      </c>
      <c r="DA120">
        <f>AJ120</f>
        <v>9.9700000000000006</v>
      </c>
      <c r="DB120">
        <f t="shared" si="26"/>
        <v>0.25</v>
      </c>
      <c r="DC120">
        <f t="shared" si="27"/>
        <v>0</v>
      </c>
    </row>
    <row r="121" spans="1:107">
      <c r="A121">
        <f>ROW(Source!A155)</f>
        <v>155</v>
      </c>
      <c r="B121">
        <v>33806715</v>
      </c>
      <c r="C121">
        <v>35696478</v>
      </c>
      <c r="D121">
        <v>29174913</v>
      </c>
      <c r="E121">
        <v>1</v>
      </c>
      <c r="F121">
        <v>1</v>
      </c>
      <c r="G121">
        <v>1</v>
      </c>
      <c r="H121">
        <v>2</v>
      </c>
      <c r="I121" t="s">
        <v>278</v>
      </c>
      <c r="J121" t="s">
        <v>279</v>
      </c>
      <c r="K121" t="s">
        <v>280</v>
      </c>
      <c r="L121">
        <v>1368</v>
      </c>
      <c r="N121">
        <v>1011</v>
      </c>
      <c r="O121" t="s">
        <v>274</v>
      </c>
      <c r="P121" t="s">
        <v>274</v>
      </c>
      <c r="Q121">
        <v>1</v>
      </c>
      <c r="W121">
        <v>0</v>
      </c>
      <c r="X121">
        <v>458544584</v>
      </c>
      <c r="Y121">
        <v>0.5</v>
      </c>
      <c r="AA121">
        <v>0</v>
      </c>
      <c r="AB121">
        <v>918.77</v>
      </c>
      <c r="AC121">
        <v>381.76</v>
      </c>
      <c r="AD121">
        <v>0</v>
      </c>
      <c r="AE121">
        <v>0</v>
      </c>
      <c r="AF121">
        <v>87.17</v>
      </c>
      <c r="AG121">
        <v>11.6</v>
      </c>
      <c r="AH121">
        <v>0</v>
      </c>
      <c r="AI121">
        <v>1</v>
      </c>
      <c r="AJ121">
        <v>10.54</v>
      </c>
      <c r="AK121">
        <v>32.909999999999997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0.5</v>
      </c>
      <c r="AU121" t="s">
        <v>3</v>
      </c>
      <c r="AV121">
        <v>0</v>
      </c>
      <c r="AW121">
        <v>2</v>
      </c>
      <c r="AX121">
        <v>35696483</v>
      </c>
      <c r="AY121">
        <v>1</v>
      </c>
      <c r="AZ121">
        <v>0</v>
      </c>
      <c r="BA121">
        <v>116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Y121*Source!I155</f>
        <v>1.4999999999999999E-2</v>
      </c>
      <c r="CY121">
        <f>AB121</f>
        <v>918.77</v>
      </c>
      <c r="CZ121">
        <f>AF121</f>
        <v>87.17</v>
      </c>
      <c r="DA121">
        <f>AJ121</f>
        <v>10.54</v>
      </c>
      <c r="DB121">
        <f t="shared" si="26"/>
        <v>43.59</v>
      </c>
      <c r="DC121">
        <f t="shared" si="27"/>
        <v>5.8</v>
      </c>
    </row>
    <row r="122" spans="1:107">
      <c r="A122">
        <f>ROW(Source!A155)</f>
        <v>155</v>
      </c>
      <c r="B122">
        <v>33806715</v>
      </c>
      <c r="C122">
        <v>35696478</v>
      </c>
      <c r="D122">
        <v>29107800</v>
      </c>
      <c r="E122">
        <v>1</v>
      </c>
      <c r="F122">
        <v>1</v>
      </c>
      <c r="G122">
        <v>1</v>
      </c>
      <c r="H122">
        <v>3</v>
      </c>
      <c r="I122" t="s">
        <v>281</v>
      </c>
      <c r="J122" t="s">
        <v>282</v>
      </c>
      <c r="K122" t="s">
        <v>283</v>
      </c>
      <c r="L122">
        <v>1346</v>
      </c>
      <c r="N122">
        <v>1009</v>
      </c>
      <c r="O122" t="s">
        <v>84</v>
      </c>
      <c r="P122" t="s">
        <v>84</v>
      </c>
      <c r="Q122">
        <v>1</v>
      </c>
      <c r="W122">
        <v>0</v>
      </c>
      <c r="X122">
        <v>-1570619850</v>
      </c>
      <c r="Y122">
        <v>0.2</v>
      </c>
      <c r="AA122">
        <v>46.61</v>
      </c>
      <c r="AB122">
        <v>0</v>
      </c>
      <c r="AC122">
        <v>0</v>
      </c>
      <c r="AD122">
        <v>0</v>
      </c>
      <c r="AE122">
        <v>1.81</v>
      </c>
      <c r="AF122">
        <v>0</v>
      </c>
      <c r="AG122">
        <v>0</v>
      </c>
      <c r="AH122">
        <v>0</v>
      </c>
      <c r="AI122">
        <v>25.75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0.2</v>
      </c>
      <c r="AU122" t="s">
        <v>3</v>
      </c>
      <c r="AV122">
        <v>0</v>
      </c>
      <c r="AW122">
        <v>2</v>
      </c>
      <c r="AX122">
        <v>35696484</v>
      </c>
      <c r="AY122">
        <v>1</v>
      </c>
      <c r="AZ122">
        <v>0</v>
      </c>
      <c r="BA122">
        <v>117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Y122*Source!I155</f>
        <v>6.0000000000000001E-3</v>
      </c>
      <c r="CY122">
        <f>AA122</f>
        <v>46.61</v>
      </c>
      <c r="CZ122">
        <f>AE122</f>
        <v>1.81</v>
      </c>
      <c r="DA122">
        <f>AI122</f>
        <v>25.75</v>
      </c>
      <c r="DB122">
        <f t="shared" si="26"/>
        <v>0.36</v>
      </c>
      <c r="DC122">
        <f t="shared" si="27"/>
        <v>0</v>
      </c>
    </row>
    <row r="123" spans="1:107">
      <c r="A123">
        <f>ROW(Source!A155)</f>
        <v>155</v>
      </c>
      <c r="B123">
        <v>33806715</v>
      </c>
      <c r="C123">
        <v>35696478</v>
      </c>
      <c r="D123">
        <v>29109411</v>
      </c>
      <c r="E123">
        <v>1</v>
      </c>
      <c r="F123">
        <v>1</v>
      </c>
      <c r="G123">
        <v>1</v>
      </c>
      <c r="H123">
        <v>3</v>
      </c>
      <c r="I123" t="s">
        <v>475</v>
      </c>
      <c r="J123" t="s">
        <v>476</v>
      </c>
      <c r="K123" t="s">
        <v>477</v>
      </c>
      <c r="L123">
        <v>1346</v>
      </c>
      <c r="N123">
        <v>1009</v>
      </c>
      <c r="O123" t="s">
        <v>84</v>
      </c>
      <c r="P123" t="s">
        <v>84</v>
      </c>
      <c r="Q123">
        <v>1</v>
      </c>
      <c r="W123">
        <v>0</v>
      </c>
      <c r="X123">
        <v>-1130535485</v>
      </c>
      <c r="Y123">
        <v>30</v>
      </c>
      <c r="AA123">
        <v>53.91</v>
      </c>
      <c r="AB123">
        <v>0</v>
      </c>
      <c r="AC123">
        <v>0</v>
      </c>
      <c r="AD123">
        <v>0</v>
      </c>
      <c r="AE123">
        <v>15.95</v>
      </c>
      <c r="AF123">
        <v>0</v>
      </c>
      <c r="AG123">
        <v>0</v>
      </c>
      <c r="AH123">
        <v>0</v>
      </c>
      <c r="AI123">
        <v>3.38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30</v>
      </c>
      <c r="AU123" t="s">
        <v>3</v>
      </c>
      <c r="AV123">
        <v>0</v>
      </c>
      <c r="AW123">
        <v>2</v>
      </c>
      <c r="AX123">
        <v>35696485</v>
      </c>
      <c r="AY123">
        <v>1</v>
      </c>
      <c r="AZ123">
        <v>0</v>
      </c>
      <c r="BA123">
        <v>118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Y123*Source!I155</f>
        <v>0.89999999999999991</v>
      </c>
      <c r="CY123">
        <f>AA123</f>
        <v>53.91</v>
      </c>
      <c r="CZ123">
        <f>AE123</f>
        <v>15.95</v>
      </c>
      <c r="DA123">
        <f>AI123</f>
        <v>3.38</v>
      </c>
      <c r="DB123">
        <f t="shared" si="26"/>
        <v>478.5</v>
      </c>
      <c r="DC123">
        <f t="shared" si="27"/>
        <v>0</v>
      </c>
    </row>
    <row r="124" spans="1:107">
      <c r="A124">
        <f>ROW(Source!A155)</f>
        <v>155</v>
      </c>
      <c r="B124">
        <v>33806715</v>
      </c>
      <c r="C124">
        <v>35696478</v>
      </c>
      <c r="D124">
        <v>29109535</v>
      </c>
      <c r="E124">
        <v>1</v>
      </c>
      <c r="F124">
        <v>1</v>
      </c>
      <c r="G124">
        <v>1</v>
      </c>
      <c r="H124">
        <v>3</v>
      </c>
      <c r="I124" t="s">
        <v>178</v>
      </c>
      <c r="J124" t="s">
        <v>180</v>
      </c>
      <c r="K124" t="s">
        <v>179</v>
      </c>
      <c r="L124">
        <v>1327</v>
      </c>
      <c r="N124">
        <v>1005</v>
      </c>
      <c r="O124" t="s">
        <v>143</v>
      </c>
      <c r="P124" t="s">
        <v>143</v>
      </c>
      <c r="Q124">
        <v>1</v>
      </c>
      <c r="W124">
        <v>0</v>
      </c>
      <c r="X124">
        <v>522970763</v>
      </c>
      <c r="Y124">
        <v>105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0</v>
      </c>
      <c r="AP124">
        <v>0</v>
      </c>
      <c r="AQ124">
        <v>0</v>
      </c>
      <c r="AR124">
        <v>0</v>
      </c>
      <c r="AS124" t="s">
        <v>3</v>
      </c>
      <c r="AT124">
        <v>105</v>
      </c>
      <c r="AU124" t="s">
        <v>3</v>
      </c>
      <c r="AV124">
        <v>0</v>
      </c>
      <c r="AW124">
        <v>2</v>
      </c>
      <c r="AX124">
        <v>35696486</v>
      </c>
      <c r="AY124">
        <v>1</v>
      </c>
      <c r="AZ124">
        <v>0</v>
      </c>
      <c r="BA124">
        <v>119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Y124*Source!I155</f>
        <v>3.15</v>
      </c>
      <c r="CY124">
        <f>AA124</f>
        <v>0</v>
      </c>
      <c r="CZ124">
        <f>AE124</f>
        <v>0</v>
      </c>
      <c r="DA124">
        <f>AI124</f>
        <v>1</v>
      </c>
      <c r="DB124">
        <f t="shared" si="26"/>
        <v>0</v>
      </c>
      <c r="DC124">
        <f t="shared" si="27"/>
        <v>0</v>
      </c>
    </row>
    <row r="125" spans="1:107">
      <c r="A125">
        <f>ROW(Source!A155)</f>
        <v>155</v>
      </c>
      <c r="B125">
        <v>33806715</v>
      </c>
      <c r="C125">
        <v>35696478</v>
      </c>
      <c r="D125">
        <v>29109265</v>
      </c>
      <c r="E125">
        <v>1</v>
      </c>
      <c r="F125">
        <v>1</v>
      </c>
      <c r="G125">
        <v>1</v>
      </c>
      <c r="H125">
        <v>3</v>
      </c>
      <c r="I125" t="s">
        <v>181</v>
      </c>
      <c r="J125" t="s">
        <v>183</v>
      </c>
      <c r="K125" t="s">
        <v>182</v>
      </c>
      <c r="L125">
        <v>1348</v>
      </c>
      <c r="N125">
        <v>1009</v>
      </c>
      <c r="O125" t="s">
        <v>101</v>
      </c>
      <c r="P125" t="s">
        <v>101</v>
      </c>
      <c r="Q125">
        <v>1000</v>
      </c>
      <c r="W125">
        <v>0</v>
      </c>
      <c r="X125">
        <v>-192135928</v>
      </c>
      <c r="Y125">
        <v>8.8999999999999999E-3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0</v>
      </c>
      <c r="AP125">
        <v>0</v>
      </c>
      <c r="AQ125">
        <v>0</v>
      </c>
      <c r="AR125">
        <v>0</v>
      </c>
      <c r="AS125" t="s">
        <v>3</v>
      </c>
      <c r="AT125">
        <v>8.8999999999999999E-3</v>
      </c>
      <c r="AU125" t="s">
        <v>3</v>
      </c>
      <c r="AV125">
        <v>0</v>
      </c>
      <c r="AW125">
        <v>2</v>
      </c>
      <c r="AX125">
        <v>35696487</v>
      </c>
      <c r="AY125">
        <v>1</v>
      </c>
      <c r="AZ125">
        <v>0</v>
      </c>
      <c r="BA125">
        <v>120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Y125*Source!I155</f>
        <v>2.6699999999999998E-4</v>
      </c>
      <c r="CY125">
        <f>AA125</f>
        <v>0</v>
      </c>
      <c r="CZ125">
        <f>AE125</f>
        <v>0</v>
      </c>
      <c r="DA125">
        <f>AI125</f>
        <v>1</v>
      </c>
      <c r="DB125">
        <f t="shared" si="26"/>
        <v>0</v>
      </c>
      <c r="DC125">
        <f t="shared" si="27"/>
        <v>0</v>
      </c>
    </row>
    <row r="126" spans="1:107">
      <c r="A126">
        <f>ROW(Source!A158)</f>
        <v>158</v>
      </c>
      <c r="B126">
        <v>33806715</v>
      </c>
      <c r="C126">
        <v>35696490</v>
      </c>
      <c r="D126">
        <v>18407150</v>
      </c>
      <c r="E126">
        <v>1</v>
      </c>
      <c r="F126">
        <v>1</v>
      </c>
      <c r="G126">
        <v>1</v>
      </c>
      <c r="H126">
        <v>1</v>
      </c>
      <c r="I126" t="s">
        <v>487</v>
      </c>
      <c r="J126" t="s">
        <v>3</v>
      </c>
      <c r="K126" t="s">
        <v>488</v>
      </c>
      <c r="L126">
        <v>1369</v>
      </c>
      <c r="N126">
        <v>1013</v>
      </c>
      <c r="O126" t="s">
        <v>268</v>
      </c>
      <c r="P126" t="s">
        <v>268</v>
      </c>
      <c r="Q126">
        <v>1</v>
      </c>
      <c r="W126">
        <v>0</v>
      </c>
      <c r="X126">
        <v>-931037793</v>
      </c>
      <c r="Y126">
        <v>21.19</v>
      </c>
      <c r="AA126">
        <v>0</v>
      </c>
      <c r="AB126">
        <v>0</v>
      </c>
      <c r="AC126">
        <v>0</v>
      </c>
      <c r="AD126">
        <v>278.5</v>
      </c>
      <c r="AE126">
        <v>0</v>
      </c>
      <c r="AF126">
        <v>0</v>
      </c>
      <c r="AG126">
        <v>0</v>
      </c>
      <c r="AH126">
        <v>278.5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21.19</v>
      </c>
      <c r="AU126" t="s">
        <v>3</v>
      </c>
      <c r="AV126">
        <v>1</v>
      </c>
      <c r="AW126">
        <v>2</v>
      </c>
      <c r="AX126">
        <v>35696491</v>
      </c>
      <c r="AY126">
        <v>1</v>
      </c>
      <c r="AZ126">
        <v>0</v>
      </c>
      <c r="BA126">
        <v>121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Y126*Source!I158</f>
        <v>0.31785000000000002</v>
      </c>
      <c r="CY126">
        <f>AD126</f>
        <v>278.5</v>
      </c>
      <c r="CZ126">
        <f>AH126</f>
        <v>278.5</v>
      </c>
      <c r="DA126">
        <f>AL126</f>
        <v>1</v>
      </c>
      <c r="DB126">
        <f t="shared" si="26"/>
        <v>5901.42</v>
      </c>
      <c r="DC126">
        <f t="shared" si="27"/>
        <v>0</v>
      </c>
    </row>
    <row r="127" spans="1:107">
      <c r="A127">
        <f>ROW(Source!A158)</f>
        <v>158</v>
      </c>
      <c r="B127">
        <v>33806715</v>
      </c>
      <c r="C127">
        <v>35696490</v>
      </c>
      <c r="D127">
        <v>121548</v>
      </c>
      <c r="E127">
        <v>1</v>
      </c>
      <c r="F127">
        <v>1</v>
      </c>
      <c r="G127">
        <v>1</v>
      </c>
      <c r="H127">
        <v>1</v>
      </c>
      <c r="I127" t="s">
        <v>86</v>
      </c>
      <c r="J127" t="s">
        <v>3</v>
      </c>
      <c r="K127" t="s">
        <v>269</v>
      </c>
      <c r="L127">
        <v>608254</v>
      </c>
      <c r="N127">
        <v>1013</v>
      </c>
      <c r="O127" t="s">
        <v>270</v>
      </c>
      <c r="P127" t="s">
        <v>270</v>
      </c>
      <c r="Q127">
        <v>1</v>
      </c>
      <c r="W127">
        <v>0</v>
      </c>
      <c r="X127">
        <v>-185737400</v>
      </c>
      <c r="Y127">
        <v>0.04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0.04</v>
      </c>
      <c r="AU127" t="s">
        <v>3</v>
      </c>
      <c r="AV127">
        <v>2</v>
      </c>
      <c r="AW127">
        <v>2</v>
      </c>
      <c r="AX127">
        <v>35696492</v>
      </c>
      <c r="AY127">
        <v>1</v>
      </c>
      <c r="AZ127">
        <v>0</v>
      </c>
      <c r="BA127">
        <v>122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Y127*Source!I158</f>
        <v>5.9999999999999995E-4</v>
      </c>
      <c r="CY127">
        <f>AD127</f>
        <v>0</v>
      </c>
      <c r="CZ127">
        <f>AH127</f>
        <v>0</v>
      </c>
      <c r="DA127">
        <f>AL127</f>
        <v>1</v>
      </c>
      <c r="DB127">
        <f t="shared" si="26"/>
        <v>0</v>
      </c>
      <c r="DC127">
        <f t="shared" si="27"/>
        <v>0</v>
      </c>
    </row>
    <row r="128" spans="1:107">
      <c r="A128">
        <f>ROW(Source!A158)</f>
        <v>158</v>
      </c>
      <c r="B128">
        <v>33806715</v>
      </c>
      <c r="C128">
        <v>35696490</v>
      </c>
      <c r="D128">
        <v>29172556</v>
      </c>
      <c r="E128">
        <v>1</v>
      </c>
      <c r="F128">
        <v>1</v>
      </c>
      <c r="G128">
        <v>1</v>
      </c>
      <c r="H128">
        <v>2</v>
      </c>
      <c r="I128" t="s">
        <v>293</v>
      </c>
      <c r="J128" t="s">
        <v>294</v>
      </c>
      <c r="K128" t="s">
        <v>295</v>
      </c>
      <c r="L128">
        <v>1368</v>
      </c>
      <c r="N128">
        <v>1011</v>
      </c>
      <c r="O128" t="s">
        <v>274</v>
      </c>
      <c r="P128" t="s">
        <v>274</v>
      </c>
      <c r="Q128">
        <v>1</v>
      </c>
      <c r="W128">
        <v>0</v>
      </c>
      <c r="X128">
        <v>-1302720870</v>
      </c>
      <c r="Y128">
        <v>0.04</v>
      </c>
      <c r="AA128">
        <v>0</v>
      </c>
      <c r="AB128">
        <v>451.71</v>
      </c>
      <c r="AC128">
        <v>444.29</v>
      </c>
      <c r="AD128">
        <v>0</v>
      </c>
      <c r="AE128">
        <v>0</v>
      </c>
      <c r="AF128">
        <v>31.26</v>
      </c>
      <c r="AG128">
        <v>13.5</v>
      </c>
      <c r="AH128">
        <v>0</v>
      </c>
      <c r="AI128">
        <v>1</v>
      </c>
      <c r="AJ128">
        <v>14.45</v>
      </c>
      <c r="AK128">
        <v>32.909999999999997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0.04</v>
      </c>
      <c r="AU128" t="s">
        <v>3</v>
      </c>
      <c r="AV128">
        <v>0</v>
      </c>
      <c r="AW128">
        <v>2</v>
      </c>
      <c r="AX128">
        <v>35696493</v>
      </c>
      <c r="AY128">
        <v>1</v>
      </c>
      <c r="AZ128">
        <v>0</v>
      </c>
      <c r="BA128">
        <v>123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Y128*Source!I158</f>
        <v>5.9999999999999995E-4</v>
      </c>
      <c r="CY128">
        <f>AB128</f>
        <v>451.71</v>
      </c>
      <c r="CZ128">
        <f>AF128</f>
        <v>31.26</v>
      </c>
      <c r="DA128">
        <f>AJ128</f>
        <v>14.45</v>
      </c>
      <c r="DB128">
        <f t="shared" si="26"/>
        <v>1.25</v>
      </c>
      <c r="DC128">
        <f t="shared" si="27"/>
        <v>0.54</v>
      </c>
    </row>
    <row r="129" spans="1:107">
      <c r="A129">
        <f>ROW(Source!A158)</f>
        <v>158</v>
      </c>
      <c r="B129">
        <v>33806715</v>
      </c>
      <c r="C129">
        <v>35696490</v>
      </c>
      <c r="D129">
        <v>29174913</v>
      </c>
      <c r="E129">
        <v>1</v>
      </c>
      <c r="F129">
        <v>1</v>
      </c>
      <c r="G129">
        <v>1</v>
      </c>
      <c r="H129">
        <v>2</v>
      </c>
      <c r="I129" t="s">
        <v>278</v>
      </c>
      <c r="J129" t="s">
        <v>279</v>
      </c>
      <c r="K129" t="s">
        <v>280</v>
      </c>
      <c r="L129">
        <v>1368</v>
      </c>
      <c r="N129">
        <v>1011</v>
      </c>
      <c r="O129" t="s">
        <v>274</v>
      </c>
      <c r="P129" t="s">
        <v>274</v>
      </c>
      <c r="Q129">
        <v>1</v>
      </c>
      <c r="W129">
        <v>0</v>
      </c>
      <c r="X129">
        <v>458544584</v>
      </c>
      <c r="Y129">
        <v>0.15</v>
      </c>
      <c r="AA129">
        <v>0</v>
      </c>
      <c r="AB129">
        <v>918.77</v>
      </c>
      <c r="AC129">
        <v>381.76</v>
      </c>
      <c r="AD129">
        <v>0</v>
      </c>
      <c r="AE129">
        <v>0</v>
      </c>
      <c r="AF129">
        <v>87.17</v>
      </c>
      <c r="AG129">
        <v>11.6</v>
      </c>
      <c r="AH129">
        <v>0</v>
      </c>
      <c r="AI129">
        <v>1</v>
      </c>
      <c r="AJ129">
        <v>10.54</v>
      </c>
      <c r="AK129">
        <v>32.909999999999997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0.15</v>
      </c>
      <c r="AU129" t="s">
        <v>3</v>
      </c>
      <c r="AV129">
        <v>0</v>
      </c>
      <c r="AW129">
        <v>2</v>
      </c>
      <c r="AX129">
        <v>35696494</v>
      </c>
      <c r="AY129">
        <v>1</v>
      </c>
      <c r="AZ129">
        <v>0</v>
      </c>
      <c r="BA129">
        <v>124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Y129*Source!I158</f>
        <v>2.2499999999999998E-3</v>
      </c>
      <c r="CY129">
        <f>AB129</f>
        <v>918.77</v>
      </c>
      <c r="CZ129">
        <f>AF129</f>
        <v>87.17</v>
      </c>
      <c r="DA129">
        <f>AJ129</f>
        <v>10.54</v>
      </c>
      <c r="DB129">
        <f t="shared" si="26"/>
        <v>13.08</v>
      </c>
      <c r="DC129">
        <f t="shared" si="27"/>
        <v>1.74</v>
      </c>
    </row>
    <row r="130" spans="1:107">
      <c r="A130">
        <f>ROW(Source!A158)</f>
        <v>158</v>
      </c>
      <c r="B130">
        <v>33806715</v>
      </c>
      <c r="C130">
        <v>35696490</v>
      </c>
      <c r="D130">
        <v>29108696</v>
      </c>
      <c r="E130">
        <v>1</v>
      </c>
      <c r="F130">
        <v>1</v>
      </c>
      <c r="G130">
        <v>1</v>
      </c>
      <c r="H130">
        <v>3</v>
      </c>
      <c r="I130" t="s">
        <v>489</v>
      </c>
      <c r="J130" t="s">
        <v>490</v>
      </c>
      <c r="K130" t="s">
        <v>491</v>
      </c>
      <c r="L130">
        <v>1354</v>
      </c>
      <c r="N130">
        <v>1010</v>
      </c>
      <c r="O130" t="s">
        <v>347</v>
      </c>
      <c r="P130" t="s">
        <v>347</v>
      </c>
      <c r="Q130">
        <v>1</v>
      </c>
      <c r="W130">
        <v>0</v>
      </c>
      <c r="X130">
        <v>2109155817</v>
      </c>
      <c r="Y130">
        <v>56.6</v>
      </c>
      <c r="AA130">
        <v>310.51</v>
      </c>
      <c r="AB130">
        <v>0</v>
      </c>
      <c r="AC130">
        <v>0</v>
      </c>
      <c r="AD130">
        <v>0</v>
      </c>
      <c r="AE130">
        <v>67.209999999999994</v>
      </c>
      <c r="AF130">
        <v>0</v>
      </c>
      <c r="AG130">
        <v>0</v>
      </c>
      <c r="AH130">
        <v>0</v>
      </c>
      <c r="AI130">
        <v>4.62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56.6</v>
      </c>
      <c r="AU130" t="s">
        <v>3</v>
      </c>
      <c r="AV130">
        <v>0</v>
      </c>
      <c r="AW130">
        <v>2</v>
      </c>
      <c r="AX130">
        <v>35696495</v>
      </c>
      <c r="AY130">
        <v>1</v>
      </c>
      <c r="AZ130">
        <v>0</v>
      </c>
      <c r="BA130">
        <v>125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Y130*Source!I158</f>
        <v>0.84899999999999998</v>
      </c>
      <c r="CY130">
        <f>AA130</f>
        <v>310.51</v>
      </c>
      <c r="CZ130">
        <f>AE130</f>
        <v>67.209999999999994</v>
      </c>
      <c r="DA130">
        <f>AI130</f>
        <v>4.62</v>
      </c>
      <c r="DB130">
        <f t="shared" si="26"/>
        <v>3804.09</v>
      </c>
      <c r="DC130">
        <f t="shared" si="27"/>
        <v>0</v>
      </c>
    </row>
    <row r="131" spans="1:107">
      <c r="A131">
        <f>ROW(Source!A158)</f>
        <v>158</v>
      </c>
      <c r="B131">
        <v>33806715</v>
      </c>
      <c r="C131">
        <v>35696490</v>
      </c>
      <c r="D131">
        <v>29109717</v>
      </c>
      <c r="E131">
        <v>1</v>
      </c>
      <c r="F131">
        <v>1</v>
      </c>
      <c r="G131">
        <v>1</v>
      </c>
      <c r="H131">
        <v>3</v>
      </c>
      <c r="I131" t="s">
        <v>188</v>
      </c>
      <c r="J131" t="s">
        <v>190</v>
      </c>
      <c r="K131" t="s">
        <v>189</v>
      </c>
      <c r="L131">
        <v>1301</v>
      </c>
      <c r="N131">
        <v>1003</v>
      </c>
      <c r="O131" t="s">
        <v>126</v>
      </c>
      <c r="P131" t="s">
        <v>126</v>
      </c>
      <c r="Q131">
        <v>1</v>
      </c>
      <c r="W131">
        <v>0</v>
      </c>
      <c r="X131">
        <v>370620093</v>
      </c>
      <c r="Y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1</v>
      </c>
      <c r="AO131">
        <v>0</v>
      </c>
      <c r="AP131">
        <v>0</v>
      </c>
      <c r="AQ131">
        <v>0</v>
      </c>
      <c r="AR131">
        <v>0</v>
      </c>
      <c r="AS131" t="s">
        <v>3</v>
      </c>
      <c r="AT131">
        <v>0</v>
      </c>
      <c r="AU131" t="s">
        <v>3</v>
      </c>
      <c r="AV131">
        <v>0</v>
      </c>
      <c r="AW131">
        <v>2</v>
      </c>
      <c r="AX131">
        <v>35696496</v>
      </c>
      <c r="AY131">
        <v>1</v>
      </c>
      <c r="AZ131">
        <v>0</v>
      </c>
      <c r="BA131">
        <v>126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Y131*Source!I158</f>
        <v>0</v>
      </c>
      <c r="CY131">
        <f>AA131</f>
        <v>0</v>
      </c>
      <c r="CZ131">
        <f>AE131</f>
        <v>0</v>
      </c>
      <c r="DA131">
        <f>AI131</f>
        <v>1</v>
      </c>
      <c r="DB131">
        <f t="shared" si="26"/>
        <v>0</v>
      </c>
      <c r="DC131">
        <f t="shared" si="27"/>
        <v>0</v>
      </c>
    </row>
    <row r="132" spans="1:107">
      <c r="A132">
        <f>ROW(Source!A158)</f>
        <v>158</v>
      </c>
      <c r="B132">
        <v>33806715</v>
      </c>
      <c r="C132">
        <v>35696490</v>
      </c>
      <c r="D132">
        <v>29115197</v>
      </c>
      <c r="E132">
        <v>1</v>
      </c>
      <c r="F132">
        <v>1</v>
      </c>
      <c r="G132">
        <v>1</v>
      </c>
      <c r="H132">
        <v>3</v>
      </c>
      <c r="I132" t="s">
        <v>492</v>
      </c>
      <c r="J132" t="s">
        <v>493</v>
      </c>
      <c r="K132" t="s">
        <v>494</v>
      </c>
      <c r="L132">
        <v>1354</v>
      </c>
      <c r="N132">
        <v>1010</v>
      </c>
      <c r="O132" t="s">
        <v>347</v>
      </c>
      <c r="P132" t="s">
        <v>347</v>
      </c>
      <c r="Q132">
        <v>1</v>
      </c>
      <c r="W132">
        <v>0</v>
      </c>
      <c r="X132">
        <v>-1208533646</v>
      </c>
      <c r="Y132">
        <v>400</v>
      </c>
      <c r="AA132">
        <v>3.65</v>
      </c>
      <c r="AB132">
        <v>0</v>
      </c>
      <c r="AC132">
        <v>0</v>
      </c>
      <c r="AD132">
        <v>0</v>
      </c>
      <c r="AE132">
        <v>0.5</v>
      </c>
      <c r="AF132">
        <v>0</v>
      </c>
      <c r="AG132">
        <v>0</v>
      </c>
      <c r="AH132">
        <v>0</v>
      </c>
      <c r="AI132">
        <v>7.29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400</v>
      </c>
      <c r="AU132" t="s">
        <v>3</v>
      </c>
      <c r="AV132">
        <v>0</v>
      </c>
      <c r="AW132">
        <v>2</v>
      </c>
      <c r="AX132">
        <v>35696497</v>
      </c>
      <c r="AY132">
        <v>1</v>
      </c>
      <c r="AZ132">
        <v>0</v>
      </c>
      <c r="BA132">
        <v>127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Y132*Source!I158</f>
        <v>6</v>
      </c>
      <c r="CY132">
        <f>AA132</f>
        <v>3.65</v>
      </c>
      <c r="CZ132">
        <f>AE132</f>
        <v>0.5</v>
      </c>
      <c r="DA132">
        <f>AI132</f>
        <v>7.29</v>
      </c>
      <c r="DB132">
        <f t="shared" si="26"/>
        <v>200</v>
      </c>
      <c r="DC132">
        <f t="shared" si="27"/>
        <v>0</v>
      </c>
    </row>
    <row r="133" spans="1:107">
      <c r="A133">
        <f>ROW(Source!A160)</f>
        <v>160</v>
      </c>
      <c r="B133">
        <v>33806715</v>
      </c>
      <c r="C133">
        <v>34139630</v>
      </c>
      <c r="D133">
        <v>9431548</v>
      </c>
      <c r="E133">
        <v>1</v>
      </c>
      <c r="F133">
        <v>1</v>
      </c>
      <c r="G133">
        <v>1</v>
      </c>
      <c r="H133">
        <v>1</v>
      </c>
      <c r="I133" t="s">
        <v>495</v>
      </c>
      <c r="J133" t="s">
        <v>3</v>
      </c>
      <c r="K133" t="s">
        <v>496</v>
      </c>
      <c r="L133">
        <v>1369</v>
      </c>
      <c r="N133">
        <v>1013</v>
      </c>
      <c r="O133" t="s">
        <v>268</v>
      </c>
      <c r="P133" t="s">
        <v>268</v>
      </c>
      <c r="Q133">
        <v>1</v>
      </c>
      <c r="W133">
        <v>0</v>
      </c>
      <c r="X133">
        <v>1246207434</v>
      </c>
      <c r="Y133">
        <v>31.6</v>
      </c>
      <c r="AA133">
        <v>0</v>
      </c>
      <c r="AB133">
        <v>0</v>
      </c>
      <c r="AC133">
        <v>0</v>
      </c>
      <c r="AD133">
        <v>323.88</v>
      </c>
      <c r="AE133">
        <v>0</v>
      </c>
      <c r="AF133">
        <v>0</v>
      </c>
      <c r="AG133">
        <v>0</v>
      </c>
      <c r="AH133">
        <v>323.88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31.6</v>
      </c>
      <c r="AU133" t="s">
        <v>3</v>
      </c>
      <c r="AV133">
        <v>1</v>
      </c>
      <c r="AW133">
        <v>2</v>
      </c>
      <c r="AX133">
        <v>34139631</v>
      </c>
      <c r="AY133">
        <v>2</v>
      </c>
      <c r="AZ133">
        <v>131072</v>
      </c>
      <c r="BA133">
        <v>128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Y133*Source!I160</f>
        <v>0.316</v>
      </c>
      <c r="CY133">
        <f>AD133</f>
        <v>323.88</v>
      </c>
      <c r="CZ133">
        <f>AH133</f>
        <v>323.88</v>
      </c>
      <c r="DA133">
        <f>AL133</f>
        <v>1</v>
      </c>
      <c r="DB133">
        <f t="shared" si="26"/>
        <v>10234.61</v>
      </c>
      <c r="DC133">
        <f t="shared" si="27"/>
        <v>0</v>
      </c>
    </row>
    <row r="134" spans="1:107">
      <c r="A134">
        <f>ROW(Source!A160)</f>
        <v>160</v>
      </c>
      <c r="B134">
        <v>33806715</v>
      </c>
      <c r="C134">
        <v>34139630</v>
      </c>
      <c r="D134">
        <v>121548</v>
      </c>
      <c r="E134">
        <v>1</v>
      </c>
      <c r="F134">
        <v>1</v>
      </c>
      <c r="G134">
        <v>1</v>
      </c>
      <c r="H134">
        <v>1</v>
      </c>
      <c r="I134" t="s">
        <v>86</v>
      </c>
      <c r="J134" t="s">
        <v>3</v>
      </c>
      <c r="K134" t="s">
        <v>269</v>
      </c>
      <c r="L134">
        <v>608254</v>
      </c>
      <c r="N134">
        <v>1013</v>
      </c>
      <c r="O134" t="s">
        <v>270</v>
      </c>
      <c r="P134" t="s">
        <v>270</v>
      </c>
      <c r="Q134">
        <v>1</v>
      </c>
      <c r="W134">
        <v>0</v>
      </c>
      <c r="X134">
        <v>-185737400</v>
      </c>
      <c r="Y134">
        <v>0.03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0.03</v>
      </c>
      <c r="AU134" t="s">
        <v>3</v>
      </c>
      <c r="AV134">
        <v>2</v>
      </c>
      <c r="AW134">
        <v>2</v>
      </c>
      <c r="AX134">
        <v>34139632</v>
      </c>
      <c r="AY134">
        <v>1</v>
      </c>
      <c r="AZ134">
        <v>0</v>
      </c>
      <c r="BA134">
        <v>129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Y134*Source!I160</f>
        <v>2.9999999999999997E-4</v>
      </c>
      <c r="CY134">
        <f>AD134</f>
        <v>0</v>
      </c>
      <c r="CZ134">
        <f>AH134</f>
        <v>0</v>
      </c>
      <c r="DA134">
        <f>AL134</f>
        <v>1</v>
      </c>
      <c r="DB134">
        <f t="shared" si="26"/>
        <v>0</v>
      </c>
      <c r="DC134">
        <f t="shared" si="27"/>
        <v>0</v>
      </c>
    </row>
    <row r="135" spans="1:107">
      <c r="A135">
        <f>ROW(Source!A160)</f>
        <v>160</v>
      </c>
      <c r="B135">
        <v>33806715</v>
      </c>
      <c r="C135">
        <v>34139630</v>
      </c>
      <c r="D135">
        <v>24316470</v>
      </c>
      <c r="E135">
        <v>1</v>
      </c>
      <c r="F135">
        <v>1</v>
      </c>
      <c r="G135">
        <v>1</v>
      </c>
      <c r="H135">
        <v>2</v>
      </c>
      <c r="I135" t="s">
        <v>423</v>
      </c>
      <c r="J135" t="s">
        <v>424</v>
      </c>
      <c r="K135" t="s">
        <v>425</v>
      </c>
      <c r="L135">
        <v>1368</v>
      </c>
      <c r="N135">
        <v>1011</v>
      </c>
      <c r="O135" t="s">
        <v>274</v>
      </c>
      <c r="P135" t="s">
        <v>274</v>
      </c>
      <c r="Q135">
        <v>1</v>
      </c>
      <c r="W135">
        <v>0</v>
      </c>
      <c r="X135">
        <v>-1522137766</v>
      </c>
      <c r="Y135">
        <v>0.03</v>
      </c>
      <c r="AA135">
        <v>0</v>
      </c>
      <c r="AB135">
        <v>1097.4000000000001</v>
      </c>
      <c r="AC135">
        <v>444.29</v>
      </c>
      <c r="AD135">
        <v>0</v>
      </c>
      <c r="AE135">
        <v>0</v>
      </c>
      <c r="AF135">
        <v>134.65</v>
      </c>
      <c r="AG135">
        <v>13.5</v>
      </c>
      <c r="AH135">
        <v>0</v>
      </c>
      <c r="AI135">
        <v>1</v>
      </c>
      <c r="AJ135">
        <v>8.15</v>
      </c>
      <c r="AK135">
        <v>32.909999999999997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0.03</v>
      </c>
      <c r="AU135" t="s">
        <v>3</v>
      </c>
      <c r="AV135">
        <v>0</v>
      </c>
      <c r="AW135">
        <v>2</v>
      </c>
      <c r="AX135">
        <v>34139633</v>
      </c>
      <c r="AY135">
        <v>1</v>
      </c>
      <c r="AZ135">
        <v>0</v>
      </c>
      <c r="BA135">
        <v>130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Y135*Source!I160</f>
        <v>2.9999999999999997E-4</v>
      </c>
      <c r="CY135">
        <f>AB135</f>
        <v>1097.4000000000001</v>
      </c>
      <c r="CZ135">
        <f>AF135</f>
        <v>134.65</v>
      </c>
      <c r="DA135">
        <f>AJ135</f>
        <v>8.15</v>
      </c>
      <c r="DB135">
        <f t="shared" si="26"/>
        <v>4.04</v>
      </c>
      <c r="DC135">
        <f t="shared" si="27"/>
        <v>0.41</v>
      </c>
    </row>
    <row r="136" spans="1:107">
      <c r="A136">
        <f>ROW(Source!A160)</f>
        <v>160</v>
      </c>
      <c r="B136">
        <v>33806715</v>
      </c>
      <c r="C136">
        <v>34139630</v>
      </c>
      <c r="D136">
        <v>24281578</v>
      </c>
      <c r="E136">
        <v>1</v>
      </c>
      <c r="F136">
        <v>1</v>
      </c>
      <c r="G136">
        <v>1</v>
      </c>
      <c r="H136">
        <v>2</v>
      </c>
      <c r="I136" t="s">
        <v>307</v>
      </c>
      <c r="J136" t="s">
        <v>497</v>
      </c>
      <c r="K136" t="s">
        <v>309</v>
      </c>
      <c r="L136">
        <v>1368</v>
      </c>
      <c r="N136">
        <v>1011</v>
      </c>
      <c r="O136" t="s">
        <v>274</v>
      </c>
      <c r="P136" t="s">
        <v>274</v>
      </c>
      <c r="Q136">
        <v>1</v>
      </c>
      <c r="W136">
        <v>0</v>
      </c>
      <c r="X136">
        <v>-766305843</v>
      </c>
      <c r="Y136">
        <v>4.0999999999999996</v>
      </c>
      <c r="AA136">
        <v>0</v>
      </c>
      <c r="AB136">
        <v>7.33</v>
      </c>
      <c r="AC136">
        <v>0</v>
      </c>
      <c r="AD136">
        <v>0</v>
      </c>
      <c r="AE136">
        <v>0</v>
      </c>
      <c r="AF136">
        <v>1.95</v>
      </c>
      <c r="AG136">
        <v>0</v>
      </c>
      <c r="AH136">
        <v>0</v>
      </c>
      <c r="AI136">
        <v>1</v>
      </c>
      <c r="AJ136">
        <v>3.76</v>
      </c>
      <c r="AK136">
        <v>32.909999999999997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4.0999999999999996</v>
      </c>
      <c r="AU136" t="s">
        <v>3</v>
      </c>
      <c r="AV136">
        <v>0</v>
      </c>
      <c r="AW136">
        <v>2</v>
      </c>
      <c r="AX136">
        <v>34139634</v>
      </c>
      <c r="AY136">
        <v>1</v>
      </c>
      <c r="AZ136">
        <v>0</v>
      </c>
      <c r="BA136">
        <v>131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Y136*Source!I160</f>
        <v>4.0999999999999995E-2</v>
      </c>
      <c r="CY136">
        <f>AB136</f>
        <v>7.33</v>
      </c>
      <c r="CZ136">
        <f>AF136</f>
        <v>1.95</v>
      </c>
      <c r="DA136">
        <f>AJ136</f>
        <v>3.76</v>
      </c>
      <c r="DB136">
        <f t="shared" si="26"/>
        <v>8</v>
      </c>
      <c r="DC136">
        <f t="shared" si="27"/>
        <v>0</v>
      </c>
    </row>
    <row r="137" spans="1:107">
      <c r="A137">
        <f>ROW(Source!A160)</f>
        <v>160</v>
      </c>
      <c r="B137">
        <v>33806715</v>
      </c>
      <c r="C137">
        <v>34139630</v>
      </c>
      <c r="D137">
        <v>24262102</v>
      </c>
      <c r="E137">
        <v>1</v>
      </c>
      <c r="F137">
        <v>1</v>
      </c>
      <c r="G137">
        <v>1</v>
      </c>
      <c r="H137">
        <v>2</v>
      </c>
      <c r="I137" t="s">
        <v>278</v>
      </c>
      <c r="J137" t="s">
        <v>426</v>
      </c>
      <c r="K137" t="s">
        <v>280</v>
      </c>
      <c r="L137">
        <v>1368</v>
      </c>
      <c r="N137">
        <v>1011</v>
      </c>
      <c r="O137" t="s">
        <v>274</v>
      </c>
      <c r="P137" t="s">
        <v>274</v>
      </c>
      <c r="Q137">
        <v>1</v>
      </c>
      <c r="W137">
        <v>0</v>
      </c>
      <c r="X137">
        <v>-365761310</v>
      </c>
      <c r="Y137">
        <v>0.02</v>
      </c>
      <c r="AA137">
        <v>0</v>
      </c>
      <c r="AB137">
        <v>918.77</v>
      </c>
      <c r="AC137">
        <v>381.76</v>
      </c>
      <c r="AD137">
        <v>0</v>
      </c>
      <c r="AE137">
        <v>0</v>
      </c>
      <c r="AF137">
        <v>87.17</v>
      </c>
      <c r="AG137">
        <v>11.6</v>
      </c>
      <c r="AH137">
        <v>0</v>
      </c>
      <c r="AI137">
        <v>1</v>
      </c>
      <c r="AJ137">
        <v>10.54</v>
      </c>
      <c r="AK137">
        <v>32.909999999999997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0.02</v>
      </c>
      <c r="AU137" t="s">
        <v>3</v>
      </c>
      <c r="AV137">
        <v>0</v>
      </c>
      <c r="AW137">
        <v>2</v>
      </c>
      <c r="AX137">
        <v>34139635</v>
      </c>
      <c r="AY137">
        <v>1</v>
      </c>
      <c r="AZ137">
        <v>0</v>
      </c>
      <c r="BA137">
        <v>132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Y137*Source!I160</f>
        <v>2.0000000000000001E-4</v>
      </c>
      <c r="CY137">
        <f>AB137</f>
        <v>918.77</v>
      </c>
      <c r="CZ137">
        <f>AF137</f>
        <v>87.17</v>
      </c>
      <c r="DA137">
        <f>AJ137</f>
        <v>10.54</v>
      </c>
      <c r="DB137">
        <f t="shared" si="26"/>
        <v>1.74</v>
      </c>
      <c r="DC137">
        <f t="shared" si="27"/>
        <v>0.23</v>
      </c>
    </row>
    <row r="138" spans="1:107">
      <c r="A138">
        <f>ROW(Source!A160)</f>
        <v>160</v>
      </c>
      <c r="B138">
        <v>33806715</v>
      </c>
      <c r="C138">
        <v>34139630</v>
      </c>
      <c r="D138">
        <v>24572074</v>
      </c>
      <c r="E138">
        <v>1</v>
      </c>
      <c r="F138">
        <v>1</v>
      </c>
      <c r="G138">
        <v>1</v>
      </c>
      <c r="H138">
        <v>3</v>
      </c>
      <c r="I138" t="s">
        <v>498</v>
      </c>
      <c r="J138" t="s">
        <v>499</v>
      </c>
      <c r="K138" t="s">
        <v>500</v>
      </c>
      <c r="L138">
        <v>1348</v>
      </c>
      <c r="N138">
        <v>1009</v>
      </c>
      <c r="O138" t="s">
        <v>101</v>
      </c>
      <c r="P138" t="s">
        <v>101</v>
      </c>
      <c r="Q138">
        <v>1000</v>
      </c>
      <c r="W138">
        <v>0</v>
      </c>
      <c r="X138">
        <v>-97012155</v>
      </c>
      <c r="Y138">
        <v>1.6000000000000001E-4</v>
      </c>
      <c r="AA138">
        <v>114134</v>
      </c>
      <c r="AB138">
        <v>0</v>
      </c>
      <c r="AC138">
        <v>0</v>
      </c>
      <c r="AD138">
        <v>0</v>
      </c>
      <c r="AE138">
        <v>29800</v>
      </c>
      <c r="AF138">
        <v>0</v>
      </c>
      <c r="AG138">
        <v>0</v>
      </c>
      <c r="AH138">
        <v>0</v>
      </c>
      <c r="AI138">
        <v>3.83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1.6000000000000001E-4</v>
      </c>
      <c r="AU138" t="s">
        <v>3</v>
      </c>
      <c r="AV138">
        <v>0</v>
      </c>
      <c r="AW138">
        <v>2</v>
      </c>
      <c r="AX138">
        <v>34139636</v>
      </c>
      <c r="AY138">
        <v>1</v>
      </c>
      <c r="AZ138">
        <v>0</v>
      </c>
      <c r="BA138">
        <v>133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Y138*Source!I160</f>
        <v>1.6000000000000001E-6</v>
      </c>
      <c r="CY138">
        <f>AA138</f>
        <v>114134</v>
      </c>
      <c r="CZ138">
        <f>AE138</f>
        <v>29800</v>
      </c>
      <c r="DA138">
        <f>AI138</f>
        <v>3.83</v>
      </c>
      <c r="DB138">
        <f t="shared" si="26"/>
        <v>4.7699999999999996</v>
      </c>
      <c r="DC138">
        <f t="shared" si="27"/>
        <v>0</v>
      </c>
    </row>
    <row r="139" spans="1:107">
      <c r="A139">
        <f>ROW(Source!A160)</f>
        <v>160</v>
      </c>
      <c r="B139">
        <v>33806715</v>
      </c>
      <c r="C139">
        <v>34139630</v>
      </c>
      <c r="D139">
        <v>24386722</v>
      </c>
      <c r="E139">
        <v>1</v>
      </c>
      <c r="F139">
        <v>1</v>
      </c>
      <c r="G139">
        <v>1</v>
      </c>
      <c r="H139">
        <v>3</v>
      </c>
      <c r="I139" t="s">
        <v>356</v>
      </c>
      <c r="J139" t="s">
        <v>501</v>
      </c>
      <c r="K139" t="s">
        <v>358</v>
      </c>
      <c r="L139">
        <v>1348</v>
      </c>
      <c r="N139">
        <v>1009</v>
      </c>
      <c r="O139" t="s">
        <v>101</v>
      </c>
      <c r="P139" t="s">
        <v>101</v>
      </c>
      <c r="Q139">
        <v>1000</v>
      </c>
      <c r="W139">
        <v>0</v>
      </c>
      <c r="X139">
        <v>362825473</v>
      </c>
      <c r="Y139">
        <v>2.9999999999999997E-4</v>
      </c>
      <c r="AA139">
        <v>98197</v>
      </c>
      <c r="AB139">
        <v>0</v>
      </c>
      <c r="AC139">
        <v>0</v>
      </c>
      <c r="AD139">
        <v>0</v>
      </c>
      <c r="AE139">
        <v>12430</v>
      </c>
      <c r="AF139">
        <v>0</v>
      </c>
      <c r="AG139">
        <v>0</v>
      </c>
      <c r="AH139">
        <v>0</v>
      </c>
      <c r="AI139">
        <v>7.9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2.9999999999999997E-4</v>
      </c>
      <c r="AU139" t="s">
        <v>3</v>
      </c>
      <c r="AV139">
        <v>0</v>
      </c>
      <c r="AW139">
        <v>2</v>
      </c>
      <c r="AX139">
        <v>34139637</v>
      </c>
      <c r="AY139">
        <v>1</v>
      </c>
      <c r="AZ139">
        <v>0</v>
      </c>
      <c r="BA139">
        <v>134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Y139*Source!I160</f>
        <v>2.9999999999999997E-6</v>
      </c>
      <c r="CY139">
        <f>AA139</f>
        <v>98197</v>
      </c>
      <c r="CZ139">
        <f>AE139</f>
        <v>12430</v>
      </c>
      <c r="DA139">
        <f>AI139</f>
        <v>7.9</v>
      </c>
      <c r="DB139">
        <f t="shared" si="26"/>
        <v>3.73</v>
      </c>
      <c r="DC139">
        <f t="shared" si="27"/>
        <v>0</v>
      </c>
    </row>
    <row r="140" spans="1:107">
      <c r="A140">
        <f>ROW(Source!A160)</f>
        <v>160</v>
      </c>
      <c r="B140">
        <v>33806715</v>
      </c>
      <c r="C140">
        <v>34139630</v>
      </c>
      <c r="D140">
        <v>24552971</v>
      </c>
      <c r="E140">
        <v>1</v>
      </c>
      <c r="F140">
        <v>1</v>
      </c>
      <c r="G140">
        <v>1</v>
      </c>
      <c r="H140">
        <v>3</v>
      </c>
      <c r="I140" t="s">
        <v>439</v>
      </c>
      <c r="J140" t="s">
        <v>440</v>
      </c>
      <c r="K140" t="s">
        <v>441</v>
      </c>
      <c r="L140">
        <v>1346</v>
      </c>
      <c r="N140">
        <v>1009</v>
      </c>
      <c r="O140" t="s">
        <v>84</v>
      </c>
      <c r="P140" t="s">
        <v>84</v>
      </c>
      <c r="Q140">
        <v>1</v>
      </c>
      <c r="W140">
        <v>0</v>
      </c>
      <c r="X140">
        <v>295609945</v>
      </c>
      <c r="Y140">
        <v>0.11</v>
      </c>
      <c r="AA140">
        <v>99.71</v>
      </c>
      <c r="AB140">
        <v>0</v>
      </c>
      <c r="AC140">
        <v>0</v>
      </c>
      <c r="AD140">
        <v>0</v>
      </c>
      <c r="AE140">
        <v>30.4</v>
      </c>
      <c r="AF140">
        <v>0</v>
      </c>
      <c r="AG140">
        <v>0</v>
      </c>
      <c r="AH140">
        <v>0</v>
      </c>
      <c r="AI140">
        <v>3.28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0.11</v>
      </c>
      <c r="AU140" t="s">
        <v>3</v>
      </c>
      <c r="AV140">
        <v>0</v>
      </c>
      <c r="AW140">
        <v>2</v>
      </c>
      <c r="AX140">
        <v>34139638</v>
      </c>
      <c r="AY140">
        <v>1</v>
      </c>
      <c r="AZ140">
        <v>0</v>
      </c>
      <c r="BA140">
        <v>135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Y140*Source!I160</f>
        <v>1.1000000000000001E-3</v>
      </c>
      <c r="CY140">
        <f>AA140</f>
        <v>99.71</v>
      </c>
      <c r="CZ140">
        <f>AE140</f>
        <v>30.4</v>
      </c>
      <c r="DA140">
        <f>AI140</f>
        <v>3.28</v>
      </c>
      <c r="DB140">
        <f t="shared" si="26"/>
        <v>3.34</v>
      </c>
      <c r="DC140">
        <f t="shared" si="27"/>
        <v>0</v>
      </c>
    </row>
    <row r="141" spans="1:107">
      <c r="A141">
        <f>ROW(Source!A160)</f>
        <v>160</v>
      </c>
      <c r="B141">
        <v>33806715</v>
      </c>
      <c r="C141">
        <v>34139630</v>
      </c>
      <c r="D141">
        <v>24358570</v>
      </c>
      <c r="E141">
        <v>1</v>
      </c>
      <c r="F141">
        <v>1</v>
      </c>
      <c r="G141">
        <v>1</v>
      </c>
      <c r="H141">
        <v>3</v>
      </c>
      <c r="I141" t="s">
        <v>442</v>
      </c>
      <c r="J141" t="s">
        <v>443</v>
      </c>
      <c r="K141" t="s">
        <v>444</v>
      </c>
      <c r="L141">
        <v>1355</v>
      </c>
      <c r="N141">
        <v>1010</v>
      </c>
      <c r="O141" t="s">
        <v>193</v>
      </c>
      <c r="P141" t="s">
        <v>193</v>
      </c>
      <c r="Q141">
        <v>100</v>
      </c>
      <c r="W141">
        <v>0</v>
      </c>
      <c r="X141">
        <v>628216102</v>
      </c>
      <c r="Y141">
        <v>1.02</v>
      </c>
      <c r="AA141">
        <v>55.04</v>
      </c>
      <c r="AB141">
        <v>0</v>
      </c>
      <c r="AC141">
        <v>0</v>
      </c>
      <c r="AD141">
        <v>0</v>
      </c>
      <c r="AE141">
        <v>86</v>
      </c>
      <c r="AF141">
        <v>0</v>
      </c>
      <c r="AG141">
        <v>0</v>
      </c>
      <c r="AH141">
        <v>0</v>
      </c>
      <c r="AI141">
        <v>0.64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1.02</v>
      </c>
      <c r="AU141" t="s">
        <v>3</v>
      </c>
      <c r="AV141">
        <v>0</v>
      </c>
      <c r="AW141">
        <v>2</v>
      </c>
      <c r="AX141">
        <v>34139639</v>
      </c>
      <c r="AY141">
        <v>1</v>
      </c>
      <c r="AZ141">
        <v>0</v>
      </c>
      <c r="BA141">
        <v>136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Y141*Source!I160</f>
        <v>1.0200000000000001E-2</v>
      </c>
      <c r="CY141">
        <f>AA141</f>
        <v>55.04</v>
      </c>
      <c r="CZ141">
        <f>AE141</f>
        <v>86</v>
      </c>
      <c r="DA141">
        <f>AI141</f>
        <v>0.64</v>
      </c>
      <c r="DB141">
        <f t="shared" si="26"/>
        <v>87.72</v>
      </c>
      <c r="DC141">
        <f t="shared" si="27"/>
        <v>0</v>
      </c>
    </row>
    <row r="142" spans="1:107">
      <c r="A142">
        <f>ROW(Source!A160)</f>
        <v>160</v>
      </c>
      <c r="B142">
        <v>33806715</v>
      </c>
      <c r="C142">
        <v>34139630</v>
      </c>
      <c r="D142">
        <v>24519631</v>
      </c>
      <c r="E142">
        <v>1</v>
      </c>
      <c r="F142">
        <v>1</v>
      </c>
      <c r="G142">
        <v>1</v>
      </c>
      <c r="H142">
        <v>3</v>
      </c>
      <c r="I142" t="s">
        <v>362</v>
      </c>
      <c r="J142" t="s">
        <v>448</v>
      </c>
      <c r="K142" t="s">
        <v>364</v>
      </c>
      <c r="L142">
        <v>1374</v>
      </c>
      <c r="N142">
        <v>1013</v>
      </c>
      <c r="O142" t="s">
        <v>365</v>
      </c>
      <c r="P142" t="s">
        <v>365</v>
      </c>
      <c r="Q142">
        <v>1</v>
      </c>
      <c r="W142">
        <v>0</v>
      </c>
      <c r="X142">
        <v>1223377994</v>
      </c>
      <c r="Y142">
        <v>6.27</v>
      </c>
      <c r="AA142">
        <v>1</v>
      </c>
      <c r="AB142">
        <v>0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6.27</v>
      </c>
      <c r="AU142" t="s">
        <v>3</v>
      </c>
      <c r="AV142">
        <v>0</v>
      </c>
      <c r="AW142">
        <v>2</v>
      </c>
      <c r="AX142">
        <v>34139640</v>
      </c>
      <c r="AY142">
        <v>1</v>
      </c>
      <c r="AZ142">
        <v>0</v>
      </c>
      <c r="BA142">
        <v>137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Y142*Source!I160</f>
        <v>6.2699999999999992E-2</v>
      </c>
      <c r="CY142">
        <f>AA142</f>
        <v>1</v>
      </c>
      <c r="CZ142">
        <f>AE142</f>
        <v>1</v>
      </c>
      <c r="DA142">
        <f>AI142</f>
        <v>1</v>
      </c>
      <c r="DB142">
        <f t="shared" si="26"/>
        <v>6.27</v>
      </c>
      <c r="DC142">
        <f t="shared" si="27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37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ROW(Source!A62)</f>
        <v>62</v>
      </c>
      <c r="B1">
        <v>33893388</v>
      </c>
      <c r="C1">
        <v>33893378</v>
      </c>
      <c r="D1">
        <v>18410631</v>
      </c>
      <c r="E1">
        <v>1</v>
      </c>
      <c r="F1">
        <v>1</v>
      </c>
      <c r="G1">
        <v>1</v>
      </c>
      <c r="H1">
        <v>1</v>
      </c>
      <c r="I1" t="s">
        <v>266</v>
      </c>
      <c r="J1" t="s">
        <v>3</v>
      </c>
      <c r="K1" t="s">
        <v>267</v>
      </c>
      <c r="L1">
        <v>1369</v>
      </c>
      <c r="N1">
        <v>1013</v>
      </c>
      <c r="O1" t="s">
        <v>268</v>
      </c>
      <c r="P1" t="s">
        <v>268</v>
      </c>
      <c r="Q1">
        <v>1</v>
      </c>
      <c r="X1">
        <v>5.94</v>
      </c>
      <c r="Y1">
        <v>0</v>
      </c>
      <c r="Z1">
        <v>0</v>
      </c>
      <c r="AA1">
        <v>0</v>
      </c>
      <c r="AB1">
        <v>245.88</v>
      </c>
      <c r="AC1">
        <v>0</v>
      </c>
      <c r="AD1">
        <v>1</v>
      </c>
      <c r="AE1">
        <v>1</v>
      </c>
      <c r="AF1" t="s">
        <v>75</v>
      </c>
      <c r="AG1">
        <v>6.8309999999999995</v>
      </c>
      <c r="AH1">
        <v>2</v>
      </c>
      <c r="AI1">
        <v>33893379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ROW(Source!A62)</f>
        <v>62</v>
      </c>
      <c r="B2">
        <v>33893389</v>
      </c>
      <c r="C2">
        <v>33893378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86</v>
      </c>
      <c r="J2" t="s">
        <v>3</v>
      </c>
      <c r="K2" t="s">
        <v>269</v>
      </c>
      <c r="L2">
        <v>608254</v>
      </c>
      <c r="N2">
        <v>1013</v>
      </c>
      <c r="O2" t="s">
        <v>270</v>
      </c>
      <c r="P2" t="s">
        <v>270</v>
      </c>
      <c r="Q2">
        <v>1</v>
      </c>
      <c r="X2">
        <v>0.04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74</v>
      </c>
      <c r="AG2">
        <v>0.05</v>
      </c>
      <c r="AH2">
        <v>2</v>
      </c>
      <c r="AI2">
        <v>33893380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ROW(Source!A62)</f>
        <v>62</v>
      </c>
      <c r="B3">
        <v>33893390</v>
      </c>
      <c r="C3">
        <v>33893378</v>
      </c>
      <c r="D3">
        <v>29172554</v>
      </c>
      <c r="E3">
        <v>1</v>
      </c>
      <c r="F3">
        <v>1</v>
      </c>
      <c r="G3">
        <v>1</v>
      </c>
      <c r="H3">
        <v>2</v>
      </c>
      <c r="I3" t="s">
        <v>271</v>
      </c>
      <c r="J3" t="s">
        <v>272</v>
      </c>
      <c r="K3" t="s">
        <v>273</v>
      </c>
      <c r="L3">
        <v>1368</v>
      </c>
      <c r="N3">
        <v>1011</v>
      </c>
      <c r="O3" t="s">
        <v>274</v>
      </c>
      <c r="P3" t="s">
        <v>274</v>
      </c>
      <c r="Q3">
        <v>1</v>
      </c>
      <c r="X3">
        <v>0.04</v>
      </c>
      <c r="Y3">
        <v>0</v>
      </c>
      <c r="Z3">
        <v>27.66</v>
      </c>
      <c r="AA3">
        <v>11.6</v>
      </c>
      <c r="AB3">
        <v>0</v>
      </c>
      <c r="AC3">
        <v>0</v>
      </c>
      <c r="AD3">
        <v>1</v>
      </c>
      <c r="AE3">
        <v>0</v>
      </c>
      <c r="AF3" t="s">
        <v>74</v>
      </c>
      <c r="AG3">
        <v>0.05</v>
      </c>
      <c r="AH3">
        <v>2</v>
      </c>
      <c r="AI3">
        <v>33893381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ROW(Source!A62)</f>
        <v>62</v>
      </c>
      <c r="B4">
        <v>33893391</v>
      </c>
      <c r="C4">
        <v>33893378</v>
      </c>
      <c r="D4">
        <v>29174653</v>
      </c>
      <c r="E4">
        <v>1</v>
      </c>
      <c r="F4">
        <v>1</v>
      </c>
      <c r="G4">
        <v>1</v>
      </c>
      <c r="H4">
        <v>2</v>
      </c>
      <c r="I4" t="s">
        <v>275</v>
      </c>
      <c r="J4" t="s">
        <v>276</v>
      </c>
      <c r="K4" t="s">
        <v>277</v>
      </c>
      <c r="L4">
        <v>1368</v>
      </c>
      <c r="N4">
        <v>1011</v>
      </c>
      <c r="O4" t="s">
        <v>274</v>
      </c>
      <c r="P4" t="s">
        <v>274</v>
      </c>
      <c r="Q4">
        <v>1</v>
      </c>
      <c r="X4">
        <v>5.12</v>
      </c>
      <c r="Y4">
        <v>0</v>
      </c>
      <c r="Z4">
        <v>6.82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74</v>
      </c>
      <c r="AG4">
        <v>6.4</v>
      </c>
      <c r="AH4">
        <v>2</v>
      </c>
      <c r="AI4">
        <v>33893382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ROW(Source!A62)</f>
        <v>62</v>
      </c>
      <c r="B5">
        <v>33893392</v>
      </c>
      <c r="C5">
        <v>33893378</v>
      </c>
      <c r="D5">
        <v>29174913</v>
      </c>
      <c r="E5">
        <v>1</v>
      </c>
      <c r="F5">
        <v>1</v>
      </c>
      <c r="G5">
        <v>1</v>
      </c>
      <c r="H5">
        <v>2</v>
      </c>
      <c r="I5" t="s">
        <v>278</v>
      </c>
      <c r="J5" t="s">
        <v>279</v>
      </c>
      <c r="K5" t="s">
        <v>280</v>
      </c>
      <c r="L5">
        <v>1368</v>
      </c>
      <c r="N5">
        <v>1011</v>
      </c>
      <c r="O5" t="s">
        <v>274</v>
      </c>
      <c r="P5" t="s">
        <v>274</v>
      </c>
      <c r="Q5">
        <v>1</v>
      </c>
      <c r="X5">
        <v>0.1</v>
      </c>
      <c r="Y5">
        <v>0</v>
      </c>
      <c r="Z5">
        <v>87.17</v>
      </c>
      <c r="AA5">
        <v>11.6</v>
      </c>
      <c r="AB5">
        <v>0</v>
      </c>
      <c r="AC5">
        <v>0</v>
      </c>
      <c r="AD5">
        <v>1</v>
      </c>
      <c r="AE5">
        <v>0</v>
      </c>
      <c r="AF5" t="s">
        <v>74</v>
      </c>
      <c r="AG5">
        <v>0.125</v>
      </c>
      <c r="AH5">
        <v>2</v>
      </c>
      <c r="AI5">
        <v>33893383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ROW(Source!A62)</f>
        <v>62</v>
      </c>
      <c r="B6">
        <v>33893393</v>
      </c>
      <c r="C6">
        <v>33893378</v>
      </c>
      <c r="D6">
        <v>29107800</v>
      </c>
      <c r="E6">
        <v>1</v>
      </c>
      <c r="F6">
        <v>1</v>
      </c>
      <c r="G6">
        <v>1</v>
      </c>
      <c r="H6">
        <v>3</v>
      </c>
      <c r="I6" t="s">
        <v>281</v>
      </c>
      <c r="J6" t="s">
        <v>282</v>
      </c>
      <c r="K6" t="s">
        <v>283</v>
      </c>
      <c r="L6">
        <v>1346</v>
      </c>
      <c r="N6">
        <v>1009</v>
      </c>
      <c r="O6" t="s">
        <v>84</v>
      </c>
      <c r="P6" t="s">
        <v>84</v>
      </c>
      <c r="Q6">
        <v>1</v>
      </c>
      <c r="X6">
        <v>1</v>
      </c>
      <c r="Y6">
        <v>1.81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</v>
      </c>
      <c r="AH6">
        <v>2</v>
      </c>
      <c r="AI6">
        <v>33893384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ROW(Source!A62)</f>
        <v>62</v>
      </c>
      <c r="B7">
        <v>33893394</v>
      </c>
      <c r="C7">
        <v>33893378</v>
      </c>
      <c r="D7">
        <v>29122063</v>
      </c>
      <c r="E7">
        <v>1</v>
      </c>
      <c r="F7">
        <v>1</v>
      </c>
      <c r="G7">
        <v>1</v>
      </c>
      <c r="H7">
        <v>3</v>
      </c>
      <c r="I7" t="s">
        <v>284</v>
      </c>
      <c r="J7" t="s">
        <v>285</v>
      </c>
      <c r="K7" t="s">
        <v>286</v>
      </c>
      <c r="L7">
        <v>1346</v>
      </c>
      <c r="N7">
        <v>1009</v>
      </c>
      <c r="O7" t="s">
        <v>84</v>
      </c>
      <c r="P7" t="s">
        <v>84</v>
      </c>
      <c r="Q7">
        <v>1</v>
      </c>
      <c r="X7">
        <v>9.1999999999999993</v>
      </c>
      <c r="Y7">
        <v>16.59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9.1999999999999993</v>
      </c>
      <c r="AH7">
        <v>2</v>
      </c>
      <c r="AI7">
        <v>33893385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ROW(Source!A62)</f>
        <v>62</v>
      </c>
      <c r="B8">
        <v>33893395</v>
      </c>
      <c r="C8">
        <v>33893378</v>
      </c>
      <c r="D8">
        <v>29150040</v>
      </c>
      <c r="E8">
        <v>1</v>
      </c>
      <c r="F8">
        <v>1</v>
      </c>
      <c r="G8">
        <v>1</v>
      </c>
      <c r="H8">
        <v>3</v>
      </c>
      <c r="I8" t="s">
        <v>287</v>
      </c>
      <c r="J8" t="s">
        <v>288</v>
      </c>
      <c r="K8" t="s">
        <v>289</v>
      </c>
      <c r="L8">
        <v>1339</v>
      </c>
      <c r="N8">
        <v>1007</v>
      </c>
      <c r="O8" t="s">
        <v>290</v>
      </c>
      <c r="P8" t="s">
        <v>290</v>
      </c>
      <c r="Q8">
        <v>1</v>
      </c>
      <c r="X8">
        <v>0.01</v>
      </c>
      <c r="Y8">
        <v>2.44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0.01</v>
      </c>
      <c r="AH8">
        <v>2</v>
      </c>
      <c r="AI8">
        <v>33893387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ROW(Source!A64)</f>
        <v>64</v>
      </c>
      <c r="B9">
        <v>33890525</v>
      </c>
      <c r="C9">
        <v>33890515</v>
      </c>
      <c r="D9">
        <v>18413627</v>
      </c>
      <c r="E9">
        <v>1</v>
      </c>
      <c r="F9">
        <v>1</v>
      </c>
      <c r="G9">
        <v>1</v>
      </c>
      <c r="H9">
        <v>1</v>
      </c>
      <c r="I9" t="s">
        <v>291</v>
      </c>
      <c r="J9" t="s">
        <v>3</v>
      </c>
      <c r="K9" t="s">
        <v>292</v>
      </c>
      <c r="L9">
        <v>1369</v>
      </c>
      <c r="N9">
        <v>1013</v>
      </c>
      <c r="O9" t="s">
        <v>268</v>
      </c>
      <c r="P9" t="s">
        <v>268</v>
      </c>
      <c r="Q9">
        <v>1</v>
      </c>
      <c r="X9">
        <v>61.9</v>
      </c>
      <c r="Y9">
        <v>0</v>
      </c>
      <c r="Z9">
        <v>0</v>
      </c>
      <c r="AA9">
        <v>0</v>
      </c>
      <c r="AB9">
        <v>288.31</v>
      </c>
      <c r="AC9">
        <v>0</v>
      </c>
      <c r="AD9">
        <v>1</v>
      </c>
      <c r="AE9">
        <v>1</v>
      </c>
      <c r="AF9" t="s">
        <v>3</v>
      </c>
      <c r="AG9">
        <v>61.9</v>
      </c>
      <c r="AH9">
        <v>2</v>
      </c>
      <c r="AI9">
        <v>33890516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ROW(Source!A64)</f>
        <v>64</v>
      </c>
      <c r="B10">
        <v>33890526</v>
      </c>
      <c r="C10">
        <v>33890515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86</v>
      </c>
      <c r="J10" t="s">
        <v>3</v>
      </c>
      <c r="K10" t="s">
        <v>269</v>
      </c>
      <c r="L10">
        <v>608254</v>
      </c>
      <c r="N10">
        <v>1013</v>
      </c>
      <c r="O10" t="s">
        <v>270</v>
      </c>
      <c r="P10" t="s">
        <v>270</v>
      </c>
      <c r="Q10">
        <v>1</v>
      </c>
      <c r="X10">
        <v>0.2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0.2</v>
      </c>
      <c r="AH10">
        <v>2</v>
      </c>
      <c r="AI10">
        <v>33890517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ROW(Source!A64)</f>
        <v>64</v>
      </c>
      <c r="B11">
        <v>33890527</v>
      </c>
      <c r="C11">
        <v>33890515</v>
      </c>
      <c r="D11">
        <v>29172556</v>
      </c>
      <c r="E11">
        <v>1</v>
      </c>
      <c r="F11">
        <v>1</v>
      </c>
      <c r="G11">
        <v>1</v>
      </c>
      <c r="H11">
        <v>2</v>
      </c>
      <c r="I11" t="s">
        <v>293</v>
      </c>
      <c r="J11" t="s">
        <v>294</v>
      </c>
      <c r="K11" t="s">
        <v>295</v>
      </c>
      <c r="L11">
        <v>1368</v>
      </c>
      <c r="N11">
        <v>1011</v>
      </c>
      <c r="O11" t="s">
        <v>274</v>
      </c>
      <c r="P11" t="s">
        <v>274</v>
      </c>
      <c r="Q11">
        <v>1</v>
      </c>
      <c r="X11">
        <v>0.2</v>
      </c>
      <c r="Y11">
        <v>0</v>
      </c>
      <c r="Z11">
        <v>31.26</v>
      </c>
      <c r="AA11">
        <v>13.5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0.2</v>
      </c>
      <c r="AH11">
        <v>2</v>
      </c>
      <c r="AI11">
        <v>33890518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ROW(Source!A64)</f>
        <v>64</v>
      </c>
      <c r="B12">
        <v>33890528</v>
      </c>
      <c r="C12">
        <v>33890515</v>
      </c>
      <c r="D12">
        <v>29174913</v>
      </c>
      <c r="E12">
        <v>1</v>
      </c>
      <c r="F12">
        <v>1</v>
      </c>
      <c r="G12">
        <v>1</v>
      </c>
      <c r="H12">
        <v>2</v>
      </c>
      <c r="I12" t="s">
        <v>278</v>
      </c>
      <c r="J12" t="s">
        <v>279</v>
      </c>
      <c r="K12" t="s">
        <v>280</v>
      </c>
      <c r="L12">
        <v>1368</v>
      </c>
      <c r="N12">
        <v>1011</v>
      </c>
      <c r="O12" t="s">
        <v>274</v>
      </c>
      <c r="P12" t="s">
        <v>274</v>
      </c>
      <c r="Q12">
        <v>1</v>
      </c>
      <c r="X12">
        <v>0.2</v>
      </c>
      <c r="Y12">
        <v>0</v>
      </c>
      <c r="Z12">
        <v>87.17</v>
      </c>
      <c r="AA12">
        <v>11.6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</v>
      </c>
      <c r="AH12">
        <v>2</v>
      </c>
      <c r="AI12">
        <v>33890519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ROW(Source!A64)</f>
        <v>64</v>
      </c>
      <c r="B13">
        <v>33890529</v>
      </c>
      <c r="C13">
        <v>33890515</v>
      </c>
      <c r="D13">
        <v>29110103</v>
      </c>
      <c r="E13">
        <v>1</v>
      </c>
      <c r="F13">
        <v>1</v>
      </c>
      <c r="G13">
        <v>1</v>
      </c>
      <c r="H13">
        <v>3</v>
      </c>
      <c r="I13" t="s">
        <v>296</v>
      </c>
      <c r="J13" t="s">
        <v>297</v>
      </c>
      <c r="K13" t="s">
        <v>298</v>
      </c>
      <c r="L13">
        <v>1346</v>
      </c>
      <c r="N13">
        <v>1009</v>
      </c>
      <c r="O13" t="s">
        <v>84</v>
      </c>
      <c r="P13" t="s">
        <v>84</v>
      </c>
      <c r="Q13">
        <v>1</v>
      </c>
      <c r="X13">
        <v>4</v>
      </c>
      <c r="Y13">
        <v>24.41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4</v>
      </c>
      <c r="AH13">
        <v>2</v>
      </c>
      <c r="AI13">
        <v>33890520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ROW(Source!A64)</f>
        <v>64</v>
      </c>
      <c r="B14">
        <v>33890530</v>
      </c>
      <c r="C14">
        <v>33890515</v>
      </c>
      <c r="D14">
        <v>29114240</v>
      </c>
      <c r="E14">
        <v>1</v>
      </c>
      <c r="F14">
        <v>1</v>
      </c>
      <c r="G14">
        <v>1</v>
      </c>
      <c r="H14">
        <v>3</v>
      </c>
      <c r="I14" t="s">
        <v>299</v>
      </c>
      <c r="J14" t="s">
        <v>300</v>
      </c>
      <c r="K14" t="s">
        <v>301</v>
      </c>
      <c r="L14">
        <v>1348</v>
      </c>
      <c r="N14">
        <v>1009</v>
      </c>
      <c r="O14" t="s">
        <v>101</v>
      </c>
      <c r="P14" t="s">
        <v>101</v>
      </c>
      <c r="Q14">
        <v>1000</v>
      </c>
      <c r="X14">
        <v>2.7000000000000001E-3</v>
      </c>
      <c r="Y14">
        <v>14830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2.7000000000000001E-3</v>
      </c>
      <c r="AH14">
        <v>2</v>
      </c>
      <c r="AI14">
        <v>33890521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ROW(Source!A64)</f>
        <v>64</v>
      </c>
      <c r="B15">
        <v>33890531</v>
      </c>
      <c r="C15">
        <v>33890515</v>
      </c>
      <c r="D15">
        <v>29139870</v>
      </c>
      <c r="E15">
        <v>1</v>
      </c>
      <c r="F15">
        <v>1</v>
      </c>
      <c r="G15">
        <v>1</v>
      </c>
      <c r="H15">
        <v>3</v>
      </c>
      <c r="I15" t="s">
        <v>95</v>
      </c>
      <c r="J15" t="s">
        <v>97</v>
      </c>
      <c r="K15" t="s">
        <v>96</v>
      </c>
      <c r="L15">
        <v>1346</v>
      </c>
      <c r="N15">
        <v>1009</v>
      </c>
      <c r="O15" t="s">
        <v>84</v>
      </c>
      <c r="P15" t="s">
        <v>84</v>
      </c>
      <c r="Q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0</v>
      </c>
      <c r="AF15" t="s">
        <v>3</v>
      </c>
      <c r="AG15">
        <v>0</v>
      </c>
      <c r="AH15">
        <v>2</v>
      </c>
      <c r="AI15">
        <v>33890522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ROW(Source!A64)</f>
        <v>64</v>
      </c>
      <c r="B16">
        <v>33890532</v>
      </c>
      <c r="C16">
        <v>33890515</v>
      </c>
      <c r="D16">
        <v>29144276</v>
      </c>
      <c r="E16">
        <v>1</v>
      </c>
      <c r="F16">
        <v>1</v>
      </c>
      <c r="G16">
        <v>1</v>
      </c>
      <c r="H16">
        <v>3</v>
      </c>
      <c r="I16" t="s">
        <v>302</v>
      </c>
      <c r="J16" t="s">
        <v>303</v>
      </c>
      <c r="K16" t="s">
        <v>304</v>
      </c>
      <c r="L16">
        <v>1301</v>
      </c>
      <c r="N16">
        <v>1003</v>
      </c>
      <c r="O16" t="s">
        <v>126</v>
      </c>
      <c r="P16" t="s">
        <v>126</v>
      </c>
      <c r="Q16">
        <v>1</v>
      </c>
      <c r="X16">
        <v>99.8</v>
      </c>
      <c r="Y16">
        <v>104.07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99.8</v>
      </c>
      <c r="AH16">
        <v>2</v>
      </c>
      <c r="AI16">
        <v>33890523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ROW(Source!A64)</f>
        <v>64</v>
      </c>
      <c r="B17">
        <v>33890533</v>
      </c>
      <c r="C17">
        <v>33890515</v>
      </c>
      <c r="D17">
        <v>29164349</v>
      </c>
      <c r="E17">
        <v>1</v>
      </c>
      <c r="F17">
        <v>1</v>
      </c>
      <c r="G17">
        <v>1</v>
      </c>
      <c r="H17">
        <v>3</v>
      </c>
      <c r="I17" t="s">
        <v>99</v>
      </c>
      <c r="J17" t="s">
        <v>102</v>
      </c>
      <c r="K17" t="s">
        <v>100</v>
      </c>
      <c r="L17">
        <v>1348</v>
      </c>
      <c r="N17">
        <v>1009</v>
      </c>
      <c r="O17" t="s">
        <v>101</v>
      </c>
      <c r="P17" t="s">
        <v>101</v>
      </c>
      <c r="Q17">
        <v>1000</v>
      </c>
      <c r="X17">
        <v>0.11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3</v>
      </c>
      <c r="AG17">
        <v>0.11</v>
      </c>
      <c r="AH17">
        <v>2</v>
      </c>
      <c r="AI17">
        <v>33890524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ROW(Source!A67)</f>
        <v>67</v>
      </c>
      <c r="B18">
        <v>33889542</v>
      </c>
      <c r="C18">
        <v>33889541</v>
      </c>
      <c r="D18">
        <v>18411117</v>
      </c>
      <c r="E18">
        <v>1</v>
      </c>
      <c r="F18">
        <v>1</v>
      </c>
      <c r="G18">
        <v>1</v>
      </c>
      <c r="H18">
        <v>1</v>
      </c>
      <c r="I18" t="s">
        <v>305</v>
      </c>
      <c r="J18" t="s">
        <v>3</v>
      </c>
      <c r="K18" t="s">
        <v>306</v>
      </c>
      <c r="L18">
        <v>1369</v>
      </c>
      <c r="N18">
        <v>1013</v>
      </c>
      <c r="O18" t="s">
        <v>268</v>
      </c>
      <c r="P18" t="s">
        <v>268</v>
      </c>
      <c r="Q18">
        <v>1</v>
      </c>
      <c r="X18">
        <v>8.99</v>
      </c>
      <c r="Y18">
        <v>0</v>
      </c>
      <c r="Z18">
        <v>0</v>
      </c>
      <c r="AA18">
        <v>0</v>
      </c>
      <c r="AB18">
        <v>279.58999999999997</v>
      </c>
      <c r="AC18">
        <v>0</v>
      </c>
      <c r="AD18">
        <v>1</v>
      </c>
      <c r="AE18">
        <v>1</v>
      </c>
      <c r="AF18" t="s">
        <v>75</v>
      </c>
      <c r="AG18">
        <v>10.3385</v>
      </c>
      <c r="AH18">
        <v>2</v>
      </c>
      <c r="AI18">
        <v>33889542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ROW(Source!A67)</f>
        <v>67</v>
      </c>
      <c r="B19">
        <v>33889543</v>
      </c>
      <c r="C19">
        <v>33889541</v>
      </c>
      <c r="D19">
        <v>121548</v>
      </c>
      <c r="E19">
        <v>1</v>
      </c>
      <c r="F19">
        <v>1</v>
      </c>
      <c r="G19">
        <v>1</v>
      </c>
      <c r="H19">
        <v>1</v>
      </c>
      <c r="I19" t="s">
        <v>86</v>
      </c>
      <c r="J19" t="s">
        <v>3</v>
      </c>
      <c r="K19" t="s">
        <v>269</v>
      </c>
      <c r="L19">
        <v>608254</v>
      </c>
      <c r="N19">
        <v>1013</v>
      </c>
      <c r="O19" t="s">
        <v>270</v>
      </c>
      <c r="P19" t="s">
        <v>270</v>
      </c>
      <c r="Q19">
        <v>1</v>
      </c>
      <c r="X19">
        <v>7.0000000000000007E-2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2</v>
      </c>
      <c r="AF19" t="s">
        <v>74</v>
      </c>
      <c r="AG19">
        <v>8.7500000000000008E-2</v>
      </c>
      <c r="AH19">
        <v>2</v>
      </c>
      <c r="AI19">
        <v>33889543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ROW(Source!A67)</f>
        <v>67</v>
      </c>
      <c r="B20">
        <v>33889544</v>
      </c>
      <c r="C20">
        <v>33889541</v>
      </c>
      <c r="D20">
        <v>29172556</v>
      </c>
      <c r="E20">
        <v>1</v>
      </c>
      <c r="F20">
        <v>1</v>
      </c>
      <c r="G20">
        <v>1</v>
      </c>
      <c r="H20">
        <v>2</v>
      </c>
      <c r="I20" t="s">
        <v>293</v>
      </c>
      <c r="J20" t="s">
        <v>294</v>
      </c>
      <c r="K20" t="s">
        <v>295</v>
      </c>
      <c r="L20">
        <v>1368</v>
      </c>
      <c r="N20">
        <v>1011</v>
      </c>
      <c r="O20" t="s">
        <v>274</v>
      </c>
      <c r="P20" t="s">
        <v>274</v>
      </c>
      <c r="Q20">
        <v>1</v>
      </c>
      <c r="X20">
        <v>7.0000000000000007E-2</v>
      </c>
      <c r="Y20">
        <v>0</v>
      </c>
      <c r="Z20">
        <v>31.26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74</v>
      </c>
      <c r="AG20">
        <v>8.7500000000000008E-2</v>
      </c>
      <c r="AH20">
        <v>2</v>
      </c>
      <c r="AI20">
        <v>33889544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ROW(Source!A67)</f>
        <v>67</v>
      </c>
      <c r="B21">
        <v>33889545</v>
      </c>
      <c r="C21">
        <v>33889541</v>
      </c>
      <c r="D21">
        <v>29174500</v>
      </c>
      <c r="E21">
        <v>1</v>
      </c>
      <c r="F21">
        <v>1</v>
      </c>
      <c r="G21">
        <v>1</v>
      </c>
      <c r="H21">
        <v>2</v>
      </c>
      <c r="I21" t="s">
        <v>307</v>
      </c>
      <c r="J21" t="s">
        <v>308</v>
      </c>
      <c r="K21" t="s">
        <v>309</v>
      </c>
      <c r="L21">
        <v>1368</v>
      </c>
      <c r="N21">
        <v>1011</v>
      </c>
      <c r="O21" t="s">
        <v>274</v>
      </c>
      <c r="P21" t="s">
        <v>274</v>
      </c>
      <c r="Q21">
        <v>1</v>
      </c>
      <c r="X21">
        <v>0.2</v>
      </c>
      <c r="Y21">
        <v>0</v>
      </c>
      <c r="Z21">
        <v>1.95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74</v>
      </c>
      <c r="AG21">
        <v>0.25</v>
      </c>
      <c r="AH21">
        <v>2</v>
      </c>
      <c r="AI21">
        <v>33889545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ROW(Source!A67)</f>
        <v>67</v>
      </c>
      <c r="B22">
        <v>33889546</v>
      </c>
      <c r="C22">
        <v>33889541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278</v>
      </c>
      <c r="J22" t="s">
        <v>279</v>
      </c>
      <c r="K22" t="s">
        <v>280</v>
      </c>
      <c r="L22">
        <v>1368</v>
      </c>
      <c r="N22">
        <v>1011</v>
      </c>
      <c r="O22" t="s">
        <v>274</v>
      </c>
      <c r="P22" t="s">
        <v>274</v>
      </c>
      <c r="Q22">
        <v>1</v>
      </c>
      <c r="X22">
        <v>0.14000000000000001</v>
      </c>
      <c r="Y22">
        <v>0</v>
      </c>
      <c r="Z22">
        <v>87.17</v>
      </c>
      <c r="AA22">
        <v>11.6</v>
      </c>
      <c r="AB22">
        <v>0</v>
      </c>
      <c r="AC22">
        <v>0</v>
      </c>
      <c r="AD22">
        <v>1</v>
      </c>
      <c r="AE22">
        <v>0</v>
      </c>
      <c r="AF22" t="s">
        <v>74</v>
      </c>
      <c r="AG22">
        <v>0.17500000000000002</v>
      </c>
      <c r="AH22">
        <v>2</v>
      </c>
      <c r="AI22">
        <v>33889546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ROW(Source!A67)</f>
        <v>67</v>
      </c>
      <c r="B23">
        <v>33889547</v>
      </c>
      <c r="C23">
        <v>33889541</v>
      </c>
      <c r="D23">
        <v>29107886</v>
      </c>
      <c r="E23">
        <v>1</v>
      </c>
      <c r="F23">
        <v>1</v>
      </c>
      <c r="G23">
        <v>1</v>
      </c>
      <c r="H23">
        <v>3</v>
      </c>
      <c r="I23" t="s">
        <v>310</v>
      </c>
      <c r="J23" t="s">
        <v>311</v>
      </c>
      <c r="K23" t="s">
        <v>312</v>
      </c>
      <c r="L23">
        <v>1348</v>
      </c>
      <c r="N23">
        <v>1009</v>
      </c>
      <c r="O23" t="s">
        <v>101</v>
      </c>
      <c r="P23" t="s">
        <v>101</v>
      </c>
      <c r="Q23">
        <v>1000</v>
      </c>
      <c r="X23">
        <v>1.4E-3</v>
      </c>
      <c r="Y23">
        <v>30029.99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1.4E-3</v>
      </c>
      <c r="AH23">
        <v>2</v>
      </c>
      <c r="AI23">
        <v>33889547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ROW(Source!A67)</f>
        <v>67</v>
      </c>
      <c r="B24">
        <v>33889548</v>
      </c>
      <c r="C24">
        <v>33889541</v>
      </c>
      <c r="D24">
        <v>29110398</v>
      </c>
      <c r="E24">
        <v>1</v>
      </c>
      <c r="F24">
        <v>1</v>
      </c>
      <c r="G24">
        <v>1</v>
      </c>
      <c r="H24">
        <v>3</v>
      </c>
      <c r="I24" t="s">
        <v>313</v>
      </c>
      <c r="J24" t="s">
        <v>314</v>
      </c>
      <c r="K24" t="s">
        <v>315</v>
      </c>
      <c r="L24">
        <v>1348</v>
      </c>
      <c r="N24">
        <v>1009</v>
      </c>
      <c r="O24" t="s">
        <v>101</v>
      </c>
      <c r="P24" t="s">
        <v>101</v>
      </c>
      <c r="Q24">
        <v>1000</v>
      </c>
      <c r="X24">
        <v>4.0000000000000002E-4</v>
      </c>
      <c r="Y24">
        <v>15118.99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4.0000000000000002E-4</v>
      </c>
      <c r="AH24">
        <v>2</v>
      </c>
      <c r="AI24">
        <v>33889548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ROW(Source!A67)</f>
        <v>67</v>
      </c>
      <c r="B25">
        <v>33889549</v>
      </c>
      <c r="C25">
        <v>33889541</v>
      </c>
      <c r="D25">
        <v>29110573</v>
      </c>
      <c r="E25">
        <v>1</v>
      </c>
      <c r="F25">
        <v>1</v>
      </c>
      <c r="G25">
        <v>1</v>
      </c>
      <c r="H25">
        <v>3</v>
      </c>
      <c r="I25" t="s">
        <v>316</v>
      </c>
      <c r="J25" t="s">
        <v>317</v>
      </c>
      <c r="K25" t="s">
        <v>318</v>
      </c>
      <c r="L25">
        <v>1348</v>
      </c>
      <c r="N25">
        <v>1009</v>
      </c>
      <c r="O25" t="s">
        <v>101</v>
      </c>
      <c r="P25" t="s">
        <v>101</v>
      </c>
      <c r="Q25">
        <v>1000</v>
      </c>
      <c r="X25">
        <v>2.0000000000000001E-4</v>
      </c>
      <c r="Y25">
        <v>16950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2.0000000000000001E-4</v>
      </c>
      <c r="AH25">
        <v>2</v>
      </c>
      <c r="AI25">
        <v>33889549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ROW(Source!A67)</f>
        <v>67</v>
      </c>
      <c r="B26">
        <v>33889550</v>
      </c>
      <c r="C26">
        <v>33889541</v>
      </c>
      <c r="D26">
        <v>29109252</v>
      </c>
      <c r="E26">
        <v>1</v>
      </c>
      <c r="F26">
        <v>1</v>
      </c>
      <c r="G26">
        <v>1</v>
      </c>
      <c r="H26">
        <v>3</v>
      </c>
      <c r="I26" t="s">
        <v>319</v>
      </c>
      <c r="J26" t="s">
        <v>320</v>
      </c>
      <c r="K26" t="s">
        <v>321</v>
      </c>
      <c r="L26">
        <v>1348</v>
      </c>
      <c r="N26">
        <v>1009</v>
      </c>
      <c r="O26" t="s">
        <v>101</v>
      </c>
      <c r="P26" t="s">
        <v>101</v>
      </c>
      <c r="Q26">
        <v>1000</v>
      </c>
      <c r="X26">
        <v>2E-3</v>
      </c>
      <c r="Y26">
        <v>1836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2E-3</v>
      </c>
      <c r="AH26">
        <v>2</v>
      </c>
      <c r="AI26">
        <v>33889550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ROW(Source!A67)</f>
        <v>67</v>
      </c>
      <c r="B27">
        <v>33889551</v>
      </c>
      <c r="C27">
        <v>33889541</v>
      </c>
      <c r="D27">
        <v>29107963</v>
      </c>
      <c r="E27">
        <v>1</v>
      </c>
      <c r="F27">
        <v>1</v>
      </c>
      <c r="G27">
        <v>1</v>
      </c>
      <c r="H27">
        <v>3</v>
      </c>
      <c r="I27" t="s">
        <v>322</v>
      </c>
      <c r="J27" t="s">
        <v>323</v>
      </c>
      <c r="K27" t="s">
        <v>324</v>
      </c>
      <c r="L27">
        <v>1346</v>
      </c>
      <c r="N27">
        <v>1009</v>
      </c>
      <c r="O27" t="s">
        <v>84</v>
      </c>
      <c r="P27" t="s">
        <v>84</v>
      </c>
      <c r="Q27">
        <v>1</v>
      </c>
      <c r="X27">
        <v>0.02</v>
      </c>
      <c r="Y27">
        <v>37.29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0.02</v>
      </c>
      <c r="AH27">
        <v>2</v>
      </c>
      <c r="AI27">
        <v>33889551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ROW(Source!A67)</f>
        <v>67</v>
      </c>
      <c r="B28">
        <v>33889552</v>
      </c>
      <c r="C28">
        <v>33889541</v>
      </c>
      <c r="D28">
        <v>29107847</v>
      </c>
      <c r="E28">
        <v>1</v>
      </c>
      <c r="F28">
        <v>1</v>
      </c>
      <c r="G28">
        <v>1</v>
      </c>
      <c r="H28">
        <v>3</v>
      </c>
      <c r="I28" t="s">
        <v>325</v>
      </c>
      <c r="J28" t="s">
        <v>326</v>
      </c>
      <c r="K28" t="s">
        <v>327</v>
      </c>
      <c r="L28">
        <v>1346</v>
      </c>
      <c r="N28">
        <v>1009</v>
      </c>
      <c r="O28" t="s">
        <v>84</v>
      </c>
      <c r="P28" t="s">
        <v>84</v>
      </c>
      <c r="Q28">
        <v>1</v>
      </c>
      <c r="X28">
        <v>2</v>
      </c>
      <c r="Y28">
        <v>9.61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2</v>
      </c>
      <c r="AH28">
        <v>2</v>
      </c>
      <c r="AI28">
        <v>33889552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ROW(Source!A67)</f>
        <v>67</v>
      </c>
      <c r="B29">
        <v>33889553</v>
      </c>
      <c r="C29">
        <v>33889541</v>
      </c>
      <c r="D29">
        <v>29114696</v>
      </c>
      <c r="E29">
        <v>1</v>
      </c>
      <c r="F29">
        <v>1</v>
      </c>
      <c r="G29">
        <v>1</v>
      </c>
      <c r="H29">
        <v>3</v>
      </c>
      <c r="I29" t="s">
        <v>328</v>
      </c>
      <c r="J29" t="s">
        <v>329</v>
      </c>
      <c r="K29" t="s">
        <v>330</v>
      </c>
      <c r="L29">
        <v>1348</v>
      </c>
      <c r="N29">
        <v>1009</v>
      </c>
      <c r="O29" t="s">
        <v>101</v>
      </c>
      <c r="P29" t="s">
        <v>101</v>
      </c>
      <c r="Q29">
        <v>1000</v>
      </c>
      <c r="X29">
        <v>6.9999999999999999E-4</v>
      </c>
      <c r="Y29">
        <v>11350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6.9999999999999999E-4</v>
      </c>
      <c r="AH29">
        <v>2</v>
      </c>
      <c r="AI29">
        <v>33889553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ROW(Source!A67)</f>
        <v>67</v>
      </c>
      <c r="B30">
        <v>33889554</v>
      </c>
      <c r="C30">
        <v>33889541</v>
      </c>
      <c r="D30">
        <v>29114474</v>
      </c>
      <c r="E30">
        <v>1</v>
      </c>
      <c r="F30">
        <v>1</v>
      </c>
      <c r="G30">
        <v>1</v>
      </c>
      <c r="H30">
        <v>3</v>
      </c>
      <c r="I30" t="s">
        <v>331</v>
      </c>
      <c r="J30" t="s">
        <v>332</v>
      </c>
      <c r="K30" t="s">
        <v>333</v>
      </c>
      <c r="L30">
        <v>1358</v>
      </c>
      <c r="N30">
        <v>1010</v>
      </c>
      <c r="O30" t="s">
        <v>113</v>
      </c>
      <c r="P30" t="s">
        <v>113</v>
      </c>
      <c r="Q30">
        <v>10</v>
      </c>
      <c r="X30">
        <v>4</v>
      </c>
      <c r="Y30">
        <v>2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4</v>
      </c>
      <c r="AH30">
        <v>2</v>
      </c>
      <c r="AI30">
        <v>33889554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ROW(Source!A67)</f>
        <v>67</v>
      </c>
      <c r="B31">
        <v>33889555</v>
      </c>
      <c r="C31">
        <v>33889541</v>
      </c>
      <c r="D31">
        <v>29142382</v>
      </c>
      <c r="E31">
        <v>1</v>
      </c>
      <c r="F31">
        <v>1</v>
      </c>
      <c r="G31">
        <v>1</v>
      </c>
      <c r="H31">
        <v>3</v>
      </c>
      <c r="I31" t="s">
        <v>334</v>
      </c>
      <c r="J31" t="s">
        <v>335</v>
      </c>
      <c r="K31" t="s">
        <v>336</v>
      </c>
      <c r="L31">
        <v>1035</v>
      </c>
      <c r="N31">
        <v>1013</v>
      </c>
      <c r="O31" t="s">
        <v>337</v>
      </c>
      <c r="P31" t="s">
        <v>337</v>
      </c>
      <c r="Q31">
        <v>1</v>
      </c>
      <c r="X31">
        <v>10</v>
      </c>
      <c r="Y31">
        <v>101.7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10</v>
      </c>
      <c r="AH31">
        <v>2</v>
      </c>
      <c r="AI31">
        <v>33889555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ROW(Source!A68)</f>
        <v>68</v>
      </c>
      <c r="B32">
        <v>33889660</v>
      </c>
      <c r="C32">
        <v>33889659</v>
      </c>
      <c r="D32">
        <v>18411117</v>
      </c>
      <c r="E32">
        <v>1</v>
      </c>
      <c r="F32">
        <v>1</v>
      </c>
      <c r="G32">
        <v>1</v>
      </c>
      <c r="H32">
        <v>1</v>
      </c>
      <c r="I32" t="s">
        <v>305</v>
      </c>
      <c r="J32" t="s">
        <v>3</v>
      </c>
      <c r="K32" t="s">
        <v>306</v>
      </c>
      <c r="L32">
        <v>1369</v>
      </c>
      <c r="N32">
        <v>1013</v>
      </c>
      <c r="O32" t="s">
        <v>268</v>
      </c>
      <c r="P32" t="s">
        <v>268</v>
      </c>
      <c r="Q32">
        <v>1</v>
      </c>
      <c r="X32">
        <v>7</v>
      </c>
      <c r="Y32">
        <v>0</v>
      </c>
      <c r="Z32">
        <v>0</v>
      </c>
      <c r="AA32">
        <v>0</v>
      </c>
      <c r="AB32">
        <v>279.58999999999997</v>
      </c>
      <c r="AC32">
        <v>0</v>
      </c>
      <c r="AD32">
        <v>1</v>
      </c>
      <c r="AE32">
        <v>1</v>
      </c>
      <c r="AF32" t="s">
        <v>75</v>
      </c>
      <c r="AG32">
        <v>8.0499999999999989</v>
      </c>
      <c r="AH32">
        <v>2</v>
      </c>
      <c r="AI32">
        <v>33889660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ROW(Source!A68)</f>
        <v>68</v>
      </c>
      <c r="B33">
        <v>33889661</v>
      </c>
      <c r="C33">
        <v>33889659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307</v>
      </c>
      <c r="J33" t="s">
        <v>308</v>
      </c>
      <c r="K33" t="s">
        <v>309</v>
      </c>
      <c r="L33">
        <v>1368</v>
      </c>
      <c r="N33">
        <v>1011</v>
      </c>
      <c r="O33" t="s">
        <v>274</v>
      </c>
      <c r="P33" t="s">
        <v>274</v>
      </c>
      <c r="Q33">
        <v>1</v>
      </c>
      <c r="X33">
        <v>0.1</v>
      </c>
      <c r="Y33">
        <v>0</v>
      </c>
      <c r="Z33">
        <v>1.95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74</v>
      </c>
      <c r="AG33">
        <v>0.125</v>
      </c>
      <c r="AH33">
        <v>2</v>
      </c>
      <c r="AI33">
        <v>33889661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ROW(Source!A68)</f>
        <v>68</v>
      </c>
      <c r="B34">
        <v>33889662</v>
      </c>
      <c r="C34">
        <v>33889659</v>
      </c>
      <c r="D34">
        <v>29110398</v>
      </c>
      <c r="E34">
        <v>1</v>
      </c>
      <c r="F34">
        <v>1</v>
      </c>
      <c r="G34">
        <v>1</v>
      </c>
      <c r="H34">
        <v>3</v>
      </c>
      <c r="I34" t="s">
        <v>313</v>
      </c>
      <c r="J34" t="s">
        <v>314</v>
      </c>
      <c r="K34" t="s">
        <v>315</v>
      </c>
      <c r="L34">
        <v>1348</v>
      </c>
      <c r="N34">
        <v>1009</v>
      </c>
      <c r="O34" t="s">
        <v>101</v>
      </c>
      <c r="P34" t="s">
        <v>101</v>
      </c>
      <c r="Q34">
        <v>1000</v>
      </c>
      <c r="X34">
        <v>2.5999999999999998E-4</v>
      </c>
      <c r="Y34">
        <v>15118.99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2.5999999999999998E-4</v>
      </c>
      <c r="AH34">
        <v>2</v>
      </c>
      <c r="AI34">
        <v>33889662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ROW(Source!A68)</f>
        <v>68</v>
      </c>
      <c r="B35">
        <v>33889663</v>
      </c>
      <c r="C35">
        <v>33889659</v>
      </c>
      <c r="D35">
        <v>29110573</v>
      </c>
      <c r="E35">
        <v>1</v>
      </c>
      <c r="F35">
        <v>1</v>
      </c>
      <c r="G35">
        <v>1</v>
      </c>
      <c r="H35">
        <v>3</v>
      </c>
      <c r="I35" t="s">
        <v>316</v>
      </c>
      <c r="J35" t="s">
        <v>317</v>
      </c>
      <c r="K35" t="s">
        <v>318</v>
      </c>
      <c r="L35">
        <v>1348</v>
      </c>
      <c r="N35">
        <v>1009</v>
      </c>
      <c r="O35" t="s">
        <v>101</v>
      </c>
      <c r="P35" t="s">
        <v>101</v>
      </c>
      <c r="Q35">
        <v>1000</v>
      </c>
      <c r="X35">
        <v>1.2999999999999999E-4</v>
      </c>
      <c r="Y35">
        <v>16950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1.2999999999999999E-4</v>
      </c>
      <c r="AH35">
        <v>2</v>
      </c>
      <c r="AI35">
        <v>33889663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ROW(Source!A68)</f>
        <v>68</v>
      </c>
      <c r="B36">
        <v>33889664</v>
      </c>
      <c r="C36">
        <v>33889659</v>
      </c>
      <c r="D36">
        <v>29107963</v>
      </c>
      <c r="E36">
        <v>1</v>
      </c>
      <c r="F36">
        <v>1</v>
      </c>
      <c r="G36">
        <v>1</v>
      </c>
      <c r="H36">
        <v>3</v>
      </c>
      <c r="I36" t="s">
        <v>322</v>
      </c>
      <c r="J36" t="s">
        <v>323</v>
      </c>
      <c r="K36" t="s">
        <v>324</v>
      </c>
      <c r="L36">
        <v>1346</v>
      </c>
      <c r="N36">
        <v>1009</v>
      </c>
      <c r="O36" t="s">
        <v>84</v>
      </c>
      <c r="P36" t="s">
        <v>84</v>
      </c>
      <c r="Q36">
        <v>1</v>
      </c>
      <c r="X36">
        <v>0.13</v>
      </c>
      <c r="Y36">
        <v>37.29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0.13</v>
      </c>
      <c r="AH36">
        <v>2</v>
      </c>
      <c r="AI36">
        <v>33889664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ROW(Source!A68)</f>
        <v>68</v>
      </c>
      <c r="B37">
        <v>33889665</v>
      </c>
      <c r="C37">
        <v>33889659</v>
      </c>
      <c r="D37">
        <v>29114689</v>
      </c>
      <c r="E37">
        <v>1</v>
      </c>
      <c r="F37">
        <v>1</v>
      </c>
      <c r="G37">
        <v>1</v>
      </c>
      <c r="H37">
        <v>3</v>
      </c>
      <c r="I37" t="s">
        <v>338</v>
      </c>
      <c r="J37" t="s">
        <v>339</v>
      </c>
      <c r="K37" t="s">
        <v>340</v>
      </c>
      <c r="L37">
        <v>1348</v>
      </c>
      <c r="N37">
        <v>1009</v>
      </c>
      <c r="O37" t="s">
        <v>101</v>
      </c>
      <c r="P37" t="s">
        <v>101</v>
      </c>
      <c r="Q37">
        <v>1000</v>
      </c>
      <c r="X37">
        <v>1E-4</v>
      </c>
      <c r="Y37">
        <v>12429.99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1E-4</v>
      </c>
      <c r="AH37">
        <v>2</v>
      </c>
      <c r="AI37">
        <v>33889665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ROW(Source!A68)</f>
        <v>68</v>
      </c>
      <c r="B38">
        <v>33889666</v>
      </c>
      <c r="C38">
        <v>33889659</v>
      </c>
      <c r="D38">
        <v>29114471</v>
      </c>
      <c r="E38">
        <v>1</v>
      </c>
      <c r="F38">
        <v>1</v>
      </c>
      <c r="G38">
        <v>1</v>
      </c>
      <c r="H38">
        <v>3</v>
      </c>
      <c r="I38" t="s">
        <v>341</v>
      </c>
      <c r="J38" t="s">
        <v>342</v>
      </c>
      <c r="K38" t="s">
        <v>343</v>
      </c>
      <c r="L38">
        <v>1358</v>
      </c>
      <c r="N38">
        <v>1010</v>
      </c>
      <c r="O38" t="s">
        <v>113</v>
      </c>
      <c r="P38" t="s">
        <v>113</v>
      </c>
      <c r="Q38">
        <v>10</v>
      </c>
      <c r="X38">
        <v>2</v>
      </c>
      <c r="Y38">
        <v>1.6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</v>
      </c>
      <c r="AH38">
        <v>2</v>
      </c>
      <c r="AI38">
        <v>33889666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ROW(Source!A68)</f>
        <v>68</v>
      </c>
      <c r="B39">
        <v>33889667</v>
      </c>
      <c r="C39">
        <v>33889659</v>
      </c>
      <c r="D39">
        <v>29142422</v>
      </c>
      <c r="E39">
        <v>1</v>
      </c>
      <c r="F39">
        <v>1</v>
      </c>
      <c r="G39">
        <v>1</v>
      </c>
      <c r="H39">
        <v>3</v>
      </c>
      <c r="I39" t="s">
        <v>344</v>
      </c>
      <c r="J39" t="s">
        <v>345</v>
      </c>
      <c r="K39" t="s">
        <v>346</v>
      </c>
      <c r="L39">
        <v>1354</v>
      </c>
      <c r="N39">
        <v>1010</v>
      </c>
      <c r="O39" t="s">
        <v>347</v>
      </c>
      <c r="P39" t="s">
        <v>347</v>
      </c>
      <c r="Q39">
        <v>1</v>
      </c>
      <c r="X39">
        <v>10</v>
      </c>
      <c r="Y39">
        <v>143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10</v>
      </c>
      <c r="AH39">
        <v>2</v>
      </c>
      <c r="AI39">
        <v>33889667</v>
      </c>
      <c r="AJ39">
        <v>40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ROW(Source!A69)</f>
        <v>69</v>
      </c>
      <c r="B40">
        <v>33893407</v>
      </c>
      <c r="C40">
        <v>33893397</v>
      </c>
      <c r="D40">
        <v>18410280</v>
      </c>
      <c r="E40">
        <v>1</v>
      </c>
      <c r="F40">
        <v>1</v>
      </c>
      <c r="G40">
        <v>1</v>
      </c>
      <c r="H40">
        <v>1</v>
      </c>
      <c r="I40" t="s">
        <v>348</v>
      </c>
      <c r="J40" t="s">
        <v>3</v>
      </c>
      <c r="K40" t="s">
        <v>349</v>
      </c>
      <c r="L40">
        <v>1369</v>
      </c>
      <c r="N40">
        <v>1013</v>
      </c>
      <c r="O40" t="s">
        <v>268</v>
      </c>
      <c r="P40" t="s">
        <v>268</v>
      </c>
      <c r="Q40">
        <v>1</v>
      </c>
      <c r="X40">
        <v>16.29</v>
      </c>
      <c r="Y40">
        <v>0</v>
      </c>
      <c r="Z40">
        <v>0</v>
      </c>
      <c r="AA40">
        <v>0</v>
      </c>
      <c r="AB40">
        <v>276.39</v>
      </c>
      <c r="AC40">
        <v>0</v>
      </c>
      <c r="AD40">
        <v>1</v>
      </c>
      <c r="AE40">
        <v>1</v>
      </c>
      <c r="AF40" t="s">
        <v>3</v>
      </c>
      <c r="AG40">
        <v>16.29</v>
      </c>
      <c r="AH40">
        <v>2</v>
      </c>
      <c r="AI40">
        <v>33893398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ROW(Source!A69)</f>
        <v>69</v>
      </c>
      <c r="B41">
        <v>33893408</v>
      </c>
      <c r="C41">
        <v>33893397</v>
      </c>
      <c r="D41">
        <v>121548</v>
      </c>
      <c r="E41">
        <v>1</v>
      </c>
      <c r="F41">
        <v>1</v>
      </c>
      <c r="G41">
        <v>1</v>
      </c>
      <c r="H41">
        <v>1</v>
      </c>
      <c r="I41" t="s">
        <v>86</v>
      </c>
      <c r="J41" t="s">
        <v>3</v>
      </c>
      <c r="K41" t="s">
        <v>269</v>
      </c>
      <c r="L41">
        <v>608254</v>
      </c>
      <c r="N41">
        <v>1013</v>
      </c>
      <c r="O41" t="s">
        <v>270</v>
      </c>
      <c r="P41" t="s">
        <v>270</v>
      </c>
      <c r="Q41">
        <v>1</v>
      </c>
      <c r="X41">
        <v>0.01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2</v>
      </c>
      <c r="AF41" t="s">
        <v>3</v>
      </c>
      <c r="AG41">
        <v>0.01</v>
      </c>
      <c r="AH41">
        <v>2</v>
      </c>
      <c r="AI41">
        <v>33893399</v>
      </c>
      <c r="AJ41">
        <v>42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ROW(Source!A69)</f>
        <v>69</v>
      </c>
      <c r="B42">
        <v>33893409</v>
      </c>
      <c r="C42">
        <v>33893397</v>
      </c>
      <c r="D42">
        <v>29172556</v>
      </c>
      <c r="E42">
        <v>1</v>
      </c>
      <c r="F42">
        <v>1</v>
      </c>
      <c r="G42">
        <v>1</v>
      </c>
      <c r="H42">
        <v>2</v>
      </c>
      <c r="I42" t="s">
        <v>293</v>
      </c>
      <c r="J42" t="s">
        <v>294</v>
      </c>
      <c r="K42" t="s">
        <v>295</v>
      </c>
      <c r="L42">
        <v>1368</v>
      </c>
      <c r="N42">
        <v>1011</v>
      </c>
      <c r="O42" t="s">
        <v>274</v>
      </c>
      <c r="P42" t="s">
        <v>274</v>
      </c>
      <c r="Q42">
        <v>1</v>
      </c>
      <c r="X42">
        <v>0.01</v>
      </c>
      <c r="Y42">
        <v>0</v>
      </c>
      <c r="Z42">
        <v>31.26</v>
      </c>
      <c r="AA42">
        <v>13.5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0.01</v>
      </c>
      <c r="AH42">
        <v>2</v>
      </c>
      <c r="AI42">
        <v>33893400</v>
      </c>
      <c r="AJ42">
        <v>43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ROW(Source!A69)</f>
        <v>69</v>
      </c>
      <c r="B43">
        <v>33893410</v>
      </c>
      <c r="C43">
        <v>33893397</v>
      </c>
      <c r="D43">
        <v>29173472</v>
      </c>
      <c r="E43">
        <v>1</v>
      </c>
      <c r="F43">
        <v>1</v>
      </c>
      <c r="G43">
        <v>1</v>
      </c>
      <c r="H43">
        <v>2</v>
      </c>
      <c r="I43" t="s">
        <v>350</v>
      </c>
      <c r="J43" t="s">
        <v>351</v>
      </c>
      <c r="K43" t="s">
        <v>352</v>
      </c>
      <c r="L43">
        <v>1368</v>
      </c>
      <c r="N43">
        <v>1011</v>
      </c>
      <c r="O43" t="s">
        <v>274</v>
      </c>
      <c r="P43" t="s">
        <v>274</v>
      </c>
      <c r="Q43">
        <v>1</v>
      </c>
      <c r="X43">
        <v>6.08</v>
      </c>
      <c r="Y43">
        <v>0</v>
      </c>
      <c r="Z43">
        <v>3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6.08</v>
      </c>
      <c r="AH43">
        <v>2</v>
      </c>
      <c r="AI43">
        <v>33893401</v>
      </c>
      <c r="AJ43">
        <v>44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ROW(Source!A69)</f>
        <v>69</v>
      </c>
      <c r="B44">
        <v>33893411</v>
      </c>
      <c r="C44">
        <v>33893397</v>
      </c>
      <c r="D44">
        <v>29174580</v>
      </c>
      <c r="E44">
        <v>1</v>
      </c>
      <c r="F44">
        <v>1</v>
      </c>
      <c r="G44">
        <v>1</v>
      </c>
      <c r="H44">
        <v>2</v>
      </c>
      <c r="I44" t="s">
        <v>353</v>
      </c>
      <c r="J44" t="s">
        <v>354</v>
      </c>
      <c r="K44" t="s">
        <v>355</v>
      </c>
      <c r="L44">
        <v>1368</v>
      </c>
      <c r="N44">
        <v>1011</v>
      </c>
      <c r="O44" t="s">
        <v>274</v>
      </c>
      <c r="P44" t="s">
        <v>274</v>
      </c>
      <c r="Q44">
        <v>1</v>
      </c>
      <c r="X44">
        <v>6.08</v>
      </c>
      <c r="Y44">
        <v>0</v>
      </c>
      <c r="Z44">
        <v>2.08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6.08</v>
      </c>
      <c r="AH44">
        <v>2</v>
      </c>
      <c r="AI44">
        <v>33893402</v>
      </c>
      <c r="AJ44">
        <v>45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ROW(Source!A69)</f>
        <v>69</v>
      </c>
      <c r="B45">
        <v>33893412</v>
      </c>
      <c r="C45">
        <v>33893397</v>
      </c>
      <c r="D45">
        <v>29114688</v>
      </c>
      <c r="E45">
        <v>1</v>
      </c>
      <c r="F45">
        <v>1</v>
      </c>
      <c r="G45">
        <v>1</v>
      </c>
      <c r="H45">
        <v>3</v>
      </c>
      <c r="I45" t="s">
        <v>356</v>
      </c>
      <c r="J45" t="s">
        <v>357</v>
      </c>
      <c r="K45" t="s">
        <v>358</v>
      </c>
      <c r="L45">
        <v>1348</v>
      </c>
      <c r="N45">
        <v>1009</v>
      </c>
      <c r="O45" t="s">
        <v>101</v>
      </c>
      <c r="P45" t="s">
        <v>101</v>
      </c>
      <c r="Q45">
        <v>1000</v>
      </c>
      <c r="X45">
        <v>1E-3</v>
      </c>
      <c r="Y45">
        <v>12430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1E-3</v>
      </c>
      <c r="AH45">
        <v>2</v>
      </c>
      <c r="AI45">
        <v>33893403</v>
      </c>
      <c r="AJ45">
        <v>46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ROW(Source!A69)</f>
        <v>69</v>
      </c>
      <c r="B46">
        <v>33893413</v>
      </c>
      <c r="C46">
        <v>33893397</v>
      </c>
      <c r="D46">
        <v>29114472</v>
      </c>
      <c r="E46">
        <v>1</v>
      </c>
      <c r="F46">
        <v>1</v>
      </c>
      <c r="G46">
        <v>1</v>
      </c>
      <c r="H46">
        <v>3</v>
      </c>
      <c r="I46" t="s">
        <v>359</v>
      </c>
      <c r="J46" t="s">
        <v>360</v>
      </c>
      <c r="K46" t="s">
        <v>361</v>
      </c>
      <c r="L46">
        <v>1358</v>
      </c>
      <c r="N46">
        <v>1010</v>
      </c>
      <c r="O46" t="s">
        <v>113</v>
      </c>
      <c r="P46" t="s">
        <v>113</v>
      </c>
      <c r="Q46">
        <v>10</v>
      </c>
      <c r="X46">
        <v>20</v>
      </c>
      <c r="Y46">
        <v>1.79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20</v>
      </c>
      <c r="AH46">
        <v>2</v>
      </c>
      <c r="AI46">
        <v>33893404</v>
      </c>
      <c r="AJ46">
        <v>47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ROW(Source!A69)</f>
        <v>69</v>
      </c>
      <c r="B47">
        <v>33893414</v>
      </c>
      <c r="C47">
        <v>33893397</v>
      </c>
      <c r="D47">
        <v>29171808</v>
      </c>
      <c r="E47">
        <v>1</v>
      </c>
      <c r="F47">
        <v>1</v>
      </c>
      <c r="G47">
        <v>1</v>
      </c>
      <c r="H47">
        <v>3</v>
      </c>
      <c r="I47" t="s">
        <v>362</v>
      </c>
      <c r="J47" t="s">
        <v>363</v>
      </c>
      <c r="K47" t="s">
        <v>364</v>
      </c>
      <c r="L47">
        <v>1374</v>
      </c>
      <c r="N47">
        <v>1013</v>
      </c>
      <c r="O47" t="s">
        <v>365</v>
      </c>
      <c r="P47" t="s">
        <v>365</v>
      </c>
      <c r="Q47">
        <v>1</v>
      </c>
      <c r="X47">
        <v>3.1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3.1</v>
      </c>
      <c r="AH47">
        <v>2</v>
      </c>
      <c r="AI47">
        <v>33893406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ROW(Source!A76)</f>
        <v>76</v>
      </c>
      <c r="B48">
        <v>33891214</v>
      </c>
      <c r="C48">
        <v>33891201</v>
      </c>
      <c r="D48">
        <v>18411117</v>
      </c>
      <c r="E48">
        <v>1</v>
      </c>
      <c r="F48">
        <v>1</v>
      </c>
      <c r="G48">
        <v>1</v>
      </c>
      <c r="H48">
        <v>1</v>
      </c>
      <c r="I48" t="s">
        <v>305</v>
      </c>
      <c r="J48" t="s">
        <v>3</v>
      </c>
      <c r="K48" t="s">
        <v>306</v>
      </c>
      <c r="L48">
        <v>1369</v>
      </c>
      <c r="N48">
        <v>1013</v>
      </c>
      <c r="O48" t="s">
        <v>268</v>
      </c>
      <c r="P48" t="s">
        <v>268</v>
      </c>
      <c r="Q48">
        <v>1</v>
      </c>
      <c r="X48">
        <v>79.81</v>
      </c>
      <c r="Y48">
        <v>0</v>
      </c>
      <c r="Z48">
        <v>0</v>
      </c>
      <c r="AA48">
        <v>0</v>
      </c>
      <c r="AB48">
        <v>279.58999999999997</v>
      </c>
      <c r="AC48">
        <v>0</v>
      </c>
      <c r="AD48">
        <v>1</v>
      </c>
      <c r="AE48">
        <v>1</v>
      </c>
      <c r="AF48" t="s">
        <v>75</v>
      </c>
      <c r="AG48">
        <v>91.781499999999994</v>
      </c>
      <c r="AH48">
        <v>2</v>
      </c>
      <c r="AI48">
        <v>33891202</v>
      </c>
      <c r="AJ48">
        <v>50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ROW(Source!A76)</f>
        <v>76</v>
      </c>
      <c r="B49">
        <v>33891215</v>
      </c>
      <c r="C49">
        <v>33891201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86</v>
      </c>
      <c r="J49" t="s">
        <v>3</v>
      </c>
      <c r="K49" t="s">
        <v>269</v>
      </c>
      <c r="L49">
        <v>608254</v>
      </c>
      <c r="N49">
        <v>1013</v>
      </c>
      <c r="O49" t="s">
        <v>270</v>
      </c>
      <c r="P49" t="s">
        <v>270</v>
      </c>
      <c r="Q49">
        <v>1</v>
      </c>
      <c r="X49">
        <v>13.84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2</v>
      </c>
      <c r="AF49" t="s">
        <v>74</v>
      </c>
      <c r="AG49">
        <v>17.3</v>
      </c>
      <c r="AH49">
        <v>2</v>
      </c>
      <c r="AI49">
        <v>33891203</v>
      </c>
      <c r="AJ49">
        <v>51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ROW(Source!A76)</f>
        <v>76</v>
      </c>
      <c r="B50">
        <v>33891216</v>
      </c>
      <c r="C50">
        <v>33891201</v>
      </c>
      <c r="D50">
        <v>29172556</v>
      </c>
      <c r="E50">
        <v>1</v>
      </c>
      <c r="F50">
        <v>1</v>
      </c>
      <c r="G50">
        <v>1</v>
      </c>
      <c r="H50">
        <v>2</v>
      </c>
      <c r="I50" t="s">
        <v>293</v>
      </c>
      <c r="J50" t="s">
        <v>294</v>
      </c>
      <c r="K50" t="s">
        <v>295</v>
      </c>
      <c r="L50">
        <v>1368</v>
      </c>
      <c r="N50">
        <v>1011</v>
      </c>
      <c r="O50" t="s">
        <v>274</v>
      </c>
      <c r="P50" t="s">
        <v>274</v>
      </c>
      <c r="Q50">
        <v>1</v>
      </c>
      <c r="X50">
        <v>0.92</v>
      </c>
      <c r="Y50">
        <v>0</v>
      </c>
      <c r="Z50">
        <v>31.26</v>
      </c>
      <c r="AA50">
        <v>13.5</v>
      </c>
      <c r="AB50">
        <v>0</v>
      </c>
      <c r="AC50">
        <v>0</v>
      </c>
      <c r="AD50">
        <v>1</v>
      </c>
      <c r="AE50">
        <v>0</v>
      </c>
      <c r="AF50" t="s">
        <v>74</v>
      </c>
      <c r="AG50">
        <v>1.1500000000000001</v>
      </c>
      <c r="AH50">
        <v>2</v>
      </c>
      <c r="AI50">
        <v>33891204</v>
      </c>
      <c r="AJ50">
        <v>52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ROW(Source!A76)</f>
        <v>76</v>
      </c>
      <c r="B51">
        <v>33891217</v>
      </c>
      <c r="C51">
        <v>33891201</v>
      </c>
      <c r="D51">
        <v>29172710</v>
      </c>
      <c r="E51">
        <v>1</v>
      </c>
      <c r="F51">
        <v>1</v>
      </c>
      <c r="G51">
        <v>1</v>
      </c>
      <c r="H51">
        <v>2</v>
      </c>
      <c r="I51" t="s">
        <v>366</v>
      </c>
      <c r="J51" t="s">
        <v>367</v>
      </c>
      <c r="K51" t="s">
        <v>368</v>
      </c>
      <c r="L51">
        <v>1368</v>
      </c>
      <c r="N51">
        <v>1011</v>
      </c>
      <c r="O51" t="s">
        <v>274</v>
      </c>
      <c r="P51" t="s">
        <v>274</v>
      </c>
      <c r="Q51">
        <v>1</v>
      </c>
      <c r="X51">
        <v>9.93</v>
      </c>
      <c r="Y51">
        <v>0</v>
      </c>
      <c r="Z51">
        <v>46.56</v>
      </c>
      <c r="AA51">
        <v>10.06</v>
      </c>
      <c r="AB51">
        <v>0</v>
      </c>
      <c r="AC51">
        <v>0</v>
      </c>
      <c r="AD51">
        <v>1</v>
      </c>
      <c r="AE51">
        <v>0</v>
      </c>
      <c r="AF51" t="s">
        <v>74</v>
      </c>
      <c r="AG51">
        <v>12.4125</v>
      </c>
      <c r="AH51">
        <v>2</v>
      </c>
      <c r="AI51">
        <v>33891205</v>
      </c>
      <c r="AJ51">
        <v>53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ROW(Source!A76)</f>
        <v>76</v>
      </c>
      <c r="B52">
        <v>33891218</v>
      </c>
      <c r="C52">
        <v>33891201</v>
      </c>
      <c r="D52">
        <v>29173142</v>
      </c>
      <c r="E52">
        <v>1</v>
      </c>
      <c r="F52">
        <v>1</v>
      </c>
      <c r="G52">
        <v>1</v>
      </c>
      <c r="H52">
        <v>2</v>
      </c>
      <c r="I52" t="s">
        <v>369</v>
      </c>
      <c r="J52" t="s">
        <v>370</v>
      </c>
      <c r="K52" t="s">
        <v>371</v>
      </c>
      <c r="L52">
        <v>1368</v>
      </c>
      <c r="N52">
        <v>1011</v>
      </c>
      <c r="O52" t="s">
        <v>274</v>
      </c>
      <c r="P52" t="s">
        <v>274</v>
      </c>
      <c r="Q52">
        <v>1</v>
      </c>
      <c r="X52">
        <v>2.99</v>
      </c>
      <c r="Y52">
        <v>0</v>
      </c>
      <c r="Z52">
        <v>16.3</v>
      </c>
      <c r="AA52">
        <v>10.06</v>
      </c>
      <c r="AB52">
        <v>0</v>
      </c>
      <c r="AC52">
        <v>0</v>
      </c>
      <c r="AD52">
        <v>1</v>
      </c>
      <c r="AE52">
        <v>0</v>
      </c>
      <c r="AF52" t="s">
        <v>74</v>
      </c>
      <c r="AG52">
        <v>3.7375000000000003</v>
      </c>
      <c r="AH52">
        <v>2</v>
      </c>
      <c r="AI52">
        <v>33891206</v>
      </c>
      <c r="AJ52">
        <v>54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ROW(Source!A76)</f>
        <v>76</v>
      </c>
      <c r="B53">
        <v>33891219</v>
      </c>
      <c r="C53">
        <v>33891201</v>
      </c>
      <c r="D53">
        <v>29174145</v>
      </c>
      <c r="E53">
        <v>1</v>
      </c>
      <c r="F53">
        <v>1</v>
      </c>
      <c r="G53">
        <v>1</v>
      </c>
      <c r="H53">
        <v>2</v>
      </c>
      <c r="I53" t="s">
        <v>372</v>
      </c>
      <c r="J53" t="s">
        <v>373</v>
      </c>
      <c r="K53" t="s">
        <v>374</v>
      </c>
      <c r="L53">
        <v>1368</v>
      </c>
      <c r="N53">
        <v>1011</v>
      </c>
      <c r="O53" t="s">
        <v>274</v>
      </c>
      <c r="P53" t="s">
        <v>274</v>
      </c>
      <c r="Q53">
        <v>1</v>
      </c>
      <c r="X53">
        <v>9.93</v>
      </c>
      <c r="Y53">
        <v>0</v>
      </c>
      <c r="Z53">
        <v>7.54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74</v>
      </c>
      <c r="AG53">
        <v>12.4125</v>
      </c>
      <c r="AH53">
        <v>2</v>
      </c>
      <c r="AI53">
        <v>33891207</v>
      </c>
      <c r="AJ53">
        <v>55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ROW(Source!A76)</f>
        <v>76</v>
      </c>
      <c r="B54">
        <v>33891220</v>
      </c>
      <c r="C54">
        <v>33891201</v>
      </c>
      <c r="D54">
        <v>29174913</v>
      </c>
      <c r="E54">
        <v>1</v>
      </c>
      <c r="F54">
        <v>1</v>
      </c>
      <c r="G54">
        <v>1</v>
      </c>
      <c r="H54">
        <v>2</v>
      </c>
      <c r="I54" t="s">
        <v>278</v>
      </c>
      <c r="J54" t="s">
        <v>279</v>
      </c>
      <c r="K54" t="s">
        <v>280</v>
      </c>
      <c r="L54">
        <v>1368</v>
      </c>
      <c r="N54">
        <v>1011</v>
      </c>
      <c r="O54" t="s">
        <v>274</v>
      </c>
      <c r="P54" t="s">
        <v>274</v>
      </c>
      <c r="Q54">
        <v>1</v>
      </c>
      <c r="X54">
        <v>2.65</v>
      </c>
      <c r="Y54">
        <v>0</v>
      </c>
      <c r="Z54">
        <v>87.17</v>
      </c>
      <c r="AA54">
        <v>11.6</v>
      </c>
      <c r="AB54">
        <v>0</v>
      </c>
      <c r="AC54">
        <v>0</v>
      </c>
      <c r="AD54">
        <v>1</v>
      </c>
      <c r="AE54">
        <v>0</v>
      </c>
      <c r="AF54" t="s">
        <v>74</v>
      </c>
      <c r="AG54">
        <v>3.3125</v>
      </c>
      <c r="AH54">
        <v>2</v>
      </c>
      <c r="AI54">
        <v>33891208</v>
      </c>
      <c r="AJ54">
        <v>56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ROW(Source!A76)</f>
        <v>76</v>
      </c>
      <c r="B55">
        <v>33891221</v>
      </c>
      <c r="C55">
        <v>33891201</v>
      </c>
      <c r="D55">
        <v>29108452</v>
      </c>
      <c r="E55">
        <v>1</v>
      </c>
      <c r="F55">
        <v>1</v>
      </c>
      <c r="G55">
        <v>1</v>
      </c>
      <c r="H55">
        <v>3</v>
      </c>
      <c r="I55" t="s">
        <v>375</v>
      </c>
      <c r="J55" t="s">
        <v>376</v>
      </c>
      <c r="K55" t="s">
        <v>377</v>
      </c>
      <c r="L55">
        <v>1348</v>
      </c>
      <c r="N55">
        <v>1009</v>
      </c>
      <c r="O55" t="s">
        <v>101</v>
      </c>
      <c r="P55" t="s">
        <v>101</v>
      </c>
      <c r="Q55">
        <v>1000</v>
      </c>
      <c r="X55">
        <v>0.1</v>
      </c>
      <c r="Y55">
        <v>12485.99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0.1</v>
      </c>
      <c r="AH55">
        <v>2</v>
      </c>
      <c r="AI55">
        <v>33891209</v>
      </c>
      <c r="AJ55">
        <v>57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ROW(Source!A76)</f>
        <v>76</v>
      </c>
      <c r="B56">
        <v>33891222</v>
      </c>
      <c r="C56">
        <v>33891201</v>
      </c>
      <c r="D56">
        <v>29109244</v>
      </c>
      <c r="E56">
        <v>1</v>
      </c>
      <c r="F56">
        <v>1</v>
      </c>
      <c r="G56">
        <v>1</v>
      </c>
      <c r="H56">
        <v>3</v>
      </c>
      <c r="I56" t="s">
        <v>378</v>
      </c>
      <c r="J56" t="s">
        <v>379</v>
      </c>
      <c r="K56" t="s">
        <v>380</v>
      </c>
      <c r="L56">
        <v>1348</v>
      </c>
      <c r="N56">
        <v>1009</v>
      </c>
      <c r="O56" t="s">
        <v>101</v>
      </c>
      <c r="P56" t="s">
        <v>101</v>
      </c>
      <c r="Q56">
        <v>1000</v>
      </c>
      <c r="X56">
        <v>1.67</v>
      </c>
      <c r="Y56">
        <v>600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1.67</v>
      </c>
      <c r="AH56">
        <v>2</v>
      </c>
      <c r="AI56">
        <v>33891210</v>
      </c>
      <c r="AJ56">
        <v>58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ROW(Source!A76)</f>
        <v>76</v>
      </c>
      <c r="B57">
        <v>33891223</v>
      </c>
      <c r="C57">
        <v>33891201</v>
      </c>
      <c r="D57">
        <v>29110564</v>
      </c>
      <c r="E57">
        <v>1</v>
      </c>
      <c r="F57">
        <v>1</v>
      </c>
      <c r="G57">
        <v>1</v>
      </c>
      <c r="H57">
        <v>3</v>
      </c>
      <c r="I57" t="s">
        <v>381</v>
      </c>
      <c r="J57" t="s">
        <v>382</v>
      </c>
      <c r="K57" t="s">
        <v>383</v>
      </c>
      <c r="L57">
        <v>1348</v>
      </c>
      <c r="N57">
        <v>1009</v>
      </c>
      <c r="O57" t="s">
        <v>101</v>
      </c>
      <c r="P57" t="s">
        <v>101</v>
      </c>
      <c r="Q57">
        <v>1000</v>
      </c>
      <c r="X57">
        <v>3.2000000000000001E-2</v>
      </c>
      <c r="Y57">
        <v>13673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3.2000000000000001E-2</v>
      </c>
      <c r="AH57">
        <v>2</v>
      </c>
      <c r="AI57">
        <v>33891211</v>
      </c>
      <c r="AJ57">
        <v>59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ROW(Source!A76)</f>
        <v>76</v>
      </c>
      <c r="B58">
        <v>33891224</v>
      </c>
      <c r="C58">
        <v>33891201</v>
      </c>
      <c r="D58">
        <v>29149608</v>
      </c>
      <c r="E58">
        <v>1</v>
      </c>
      <c r="F58">
        <v>1</v>
      </c>
      <c r="G58">
        <v>1</v>
      </c>
      <c r="H58">
        <v>3</v>
      </c>
      <c r="I58" t="s">
        <v>384</v>
      </c>
      <c r="J58" t="s">
        <v>385</v>
      </c>
      <c r="K58" t="s">
        <v>386</v>
      </c>
      <c r="L58">
        <v>1339</v>
      </c>
      <c r="N58">
        <v>1007</v>
      </c>
      <c r="O58" t="s">
        <v>290</v>
      </c>
      <c r="P58" t="s">
        <v>290</v>
      </c>
      <c r="Q58">
        <v>1</v>
      </c>
      <c r="X58">
        <v>2.3199999999999998</v>
      </c>
      <c r="Y58">
        <v>55.26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2.3199999999999998</v>
      </c>
      <c r="AH58">
        <v>2</v>
      </c>
      <c r="AI58">
        <v>33891212</v>
      </c>
      <c r="AJ58">
        <v>60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ROW(Source!A76)</f>
        <v>76</v>
      </c>
      <c r="B59">
        <v>33891225</v>
      </c>
      <c r="C59">
        <v>33891201</v>
      </c>
      <c r="D59">
        <v>29150040</v>
      </c>
      <c r="E59">
        <v>1</v>
      </c>
      <c r="F59">
        <v>1</v>
      </c>
      <c r="G59">
        <v>1</v>
      </c>
      <c r="H59">
        <v>3</v>
      </c>
      <c r="I59" t="s">
        <v>287</v>
      </c>
      <c r="J59" t="s">
        <v>288</v>
      </c>
      <c r="K59" t="s">
        <v>289</v>
      </c>
      <c r="L59">
        <v>1339</v>
      </c>
      <c r="N59">
        <v>1007</v>
      </c>
      <c r="O59" t="s">
        <v>290</v>
      </c>
      <c r="P59" t="s">
        <v>290</v>
      </c>
      <c r="Q59">
        <v>1</v>
      </c>
      <c r="X59">
        <v>0.73899999999999999</v>
      </c>
      <c r="Y59">
        <v>2.44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0.73899999999999999</v>
      </c>
      <c r="AH59">
        <v>2</v>
      </c>
      <c r="AI59">
        <v>33891213</v>
      </c>
      <c r="AJ59">
        <v>61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ROW(Source!A77)</f>
        <v>77</v>
      </c>
      <c r="B60">
        <v>33891345</v>
      </c>
      <c r="C60">
        <v>33891331</v>
      </c>
      <c r="D60">
        <v>31427453</v>
      </c>
      <c r="E60">
        <v>1</v>
      </c>
      <c r="F60">
        <v>1</v>
      </c>
      <c r="G60">
        <v>1</v>
      </c>
      <c r="H60">
        <v>1</v>
      </c>
      <c r="I60" t="s">
        <v>387</v>
      </c>
      <c r="J60" t="s">
        <v>3</v>
      </c>
      <c r="K60" t="s">
        <v>388</v>
      </c>
      <c r="L60">
        <v>1369</v>
      </c>
      <c r="N60">
        <v>1013</v>
      </c>
      <c r="O60" t="s">
        <v>268</v>
      </c>
      <c r="P60" t="s">
        <v>268</v>
      </c>
      <c r="Q60">
        <v>1</v>
      </c>
      <c r="X60">
        <v>76.63</v>
      </c>
      <c r="Y60">
        <v>0</v>
      </c>
      <c r="Z60">
        <v>0</v>
      </c>
      <c r="AA60">
        <v>0</v>
      </c>
      <c r="AB60">
        <v>254.01</v>
      </c>
      <c r="AC60">
        <v>0</v>
      </c>
      <c r="AD60">
        <v>1</v>
      </c>
      <c r="AE60">
        <v>1</v>
      </c>
      <c r="AF60" t="s">
        <v>75</v>
      </c>
      <c r="AG60">
        <v>88.124499999999983</v>
      </c>
      <c r="AH60">
        <v>2</v>
      </c>
      <c r="AI60">
        <v>33891332</v>
      </c>
      <c r="AJ60">
        <v>62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ROW(Source!A77)</f>
        <v>77</v>
      </c>
      <c r="B61">
        <v>33891346</v>
      </c>
      <c r="C61">
        <v>33891331</v>
      </c>
      <c r="D61">
        <v>121548</v>
      </c>
      <c r="E61">
        <v>1</v>
      </c>
      <c r="F61">
        <v>1</v>
      </c>
      <c r="G61">
        <v>1</v>
      </c>
      <c r="H61">
        <v>1</v>
      </c>
      <c r="I61" t="s">
        <v>86</v>
      </c>
      <c r="J61" t="s">
        <v>3</v>
      </c>
      <c r="K61" t="s">
        <v>269</v>
      </c>
      <c r="L61">
        <v>608254</v>
      </c>
      <c r="N61">
        <v>1013</v>
      </c>
      <c r="O61" t="s">
        <v>270</v>
      </c>
      <c r="P61" t="s">
        <v>270</v>
      </c>
      <c r="Q61">
        <v>1</v>
      </c>
      <c r="X61">
        <v>4.22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2</v>
      </c>
      <c r="AF61" t="s">
        <v>74</v>
      </c>
      <c r="AG61">
        <v>5.2749999999999995</v>
      </c>
      <c r="AH61">
        <v>2</v>
      </c>
      <c r="AI61">
        <v>33891333</v>
      </c>
      <c r="AJ61">
        <v>63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ROW(Source!A77)</f>
        <v>77</v>
      </c>
      <c r="B62">
        <v>33891347</v>
      </c>
      <c r="C62">
        <v>33891331</v>
      </c>
      <c r="D62">
        <v>31425428</v>
      </c>
      <c r="E62">
        <v>1</v>
      </c>
      <c r="F62">
        <v>1</v>
      </c>
      <c r="G62">
        <v>1</v>
      </c>
      <c r="H62">
        <v>2</v>
      </c>
      <c r="I62" t="s">
        <v>389</v>
      </c>
      <c r="J62" t="s">
        <v>390</v>
      </c>
      <c r="K62" t="s">
        <v>391</v>
      </c>
      <c r="L62">
        <v>1368</v>
      </c>
      <c r="N62">
        <v>1011</v>
      </c>
      <c r="O62" t="s">
        <v>274</v>
      </c>
      <c r="P62" t="s">
        <v>274</v>
      </c>
      <c r="Q62">
        <v>1</v>
      </c>
      <c r="X62">
        <v>0.36</v>
      </c>
      <c r="Y62">
        <v>0</v>
      </c>
      <c r="Z62">
        <v>99.89</v>
      </c>
      <c r="AA62">
        <v>10.06</v>
      </c>
      <c r="AB62">
        <v>0</v>
      </c>
      <c r="AC62">
        <v>0</v>
      </c>
      <c r="AD62">
        <v>1</v>
      </c>
      <c r="AE62">
        <v>0</v>
      </c>
      <c r="AF62" t="s">
        <v>74</v>
      </c>
      <c r="AG62">
        <v>0.44999999999999996</v>
      </c>
      <c r="AH62">
        <v>2</v>
      </c>
      <c r="AI62">
        <v>33891334</v>
      </c>
      <c r="AJ62">
        <v>64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ROW(Source!A77)</f>
        <v>77</v>
      </c>
      <c r="B63">
        <v>33891348</v>
      </c>
      <c r="C63">
        <v>33891331</v>
      </c>
      <c r="D63">
        <v>31425452</v>
      </c>
      <c r="E63">
        <v>1</v>
      </c>
      <c r="F63">
        <v>1</v>
      </c>
      <c r="G63">
        <v>1</v>
      </c>
      <c r="H63">
        <v>2</v>
      </c>
      <c r="I63" t="s">
        <v>392</v>
      </c>
      <c r="J63" t="s">
        <v>393</v>
      </c>
      <c r="K63" t="s">
        <v>394</v>
      </c>
      <c r="L63">
        <v>1368</v>
      </c>
      <c r="N63">
        <v>1011</v>
      </c>
      <c r="O63" t="s">
        <v>274</v>
      </c>
      <c r="P63" t="s">
        <v>274</v>
      </c>
      <c r="Q63">
        <v>1</v>
      </c>
      <c r="X63">
        <v>2.2999999999999998</v>
      </c>
      <c r="Y63">
        <v>0</v>
      </c>
      <c r="Z63">
        <v>29.46</v>
      </c>
      <c r="AA63">
        <v>11.6</v>
      </c>
      <c r="AB63">
        <v>0</v>
      </c>
      <c r="AC63">
        <v>0</v>
      </c>
      <c r="AD63">
        <v>1</v>
      </c>
      <c r="AE63">
        <v>0</v>
      </c>
      <c r="AF63" t="s">
        <v>74</v>
      </c>
      <c r="AG63">
        <v>2.875</v>
      </c>
      <c r="AH63">
        <v>2</v>
      </c>
      <c r="AI63">
        <v>33891335</v>
      </c>
      <c r="AJ63">
        <v>65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ROW(Source!A77)</f>
        <v>77</v>
      </c>
      <c r="B64">
        <v>33891349</v>
      </c>
      <c r="C64">
        <v>33891331</v>
      </c>
      <c r="D64">
        <v>31425505</v>
      </c>
      <c r="E64">
        <v>1</v>
      </c>
      <c r="F64">
        <v>1</v>
      </c>
      <c r="G64">
        <v>1</v>
      </c>
      <c r="H64">
        <v>2</v>
      </c>
      <c r="I64" t="s">
        <v>395</v>
      </c>
      <c r="J64" t="s">
        <v>396</v>
      </c>
      <c r="K64" t="s">
        <v>397</v>
      </c>
      <c r="L64">
        <v>1368</v>
      </c>
      <c r="N64">
        <v>1011</v>
      </c>
      <c r="O64" t="s">
        <v>274</v>
      </c>
      <c r="P64" t="s">
        <v>274</v>
      </c>
      <c r="Q64">
        <v>1</v>
      </c>
      <c r="X64">
        <v>1.56</v>
      </c>
      <c r="Y64">
        <v>0</v>
      </c>
      <c r="Z64">
        <v>12.4</v>
      </c>
      <c r="AA64">
        <v>10.06</v>
      </c>
      <c r="AB64">
        <v>0</v>
      </c>
      <c r="AC64">
        <v>0</v>
      </c>
      <c r="AD64">
        <v>1</v>
      </c>
      <c r="AE64">
        <v>0</v>
      </c>
      <c r="AF64" t="s">
        <v>74</v>
      </c>
      <c r="AG64">
        <v>1.9500000000000002</v>
      </c>
      <c r="AH64">
        <v>2</v>
      </c>
      <c r="AI64">
        <v>33891336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ROW(Source!A77)</f>
        <v>77</v>
      </c>
      <c r="B65">
        <v>33891350</v>
      </c>
      <c r="C65">
        <v>33891331</v>
      </c>
      <c r="D65">
        <v>31425668</v>
      </c>
      <c r="E65">
        <v>1</v>
      </c>
      <c r="F65">
        <v>1</v>
      </c>
      <c r="G65">
        <v>1</v>
      </c>
      <c r="H65">
        <v>2</v>
      </c>
      <c r="I65" t="s">
        <v>398</v>
      </c>
      <c r="J65" t="s">
        <v>399</v>
      </c>
      <c r="K65" t="s">
        <v>400</v>
      </c>
      <c r="L65">
        <v>1368</v>
      </c>
      <c r="N65">
        <v>1011</v>
      </c>
      <c r="O65" t="s">
        <v>274</v>
      </c>
      <c r="P65" t="s">
        <v>274</v>
      </c>
      <c r="Q65">
        <v>1</v>
      </c>
      <c r="X65">
        <v>0.05</v>
      </c>
      <c r="Y65">
        <v>0</v>
      </c>
      <c r="Z65">
        <v>9.9700000000000006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74</v>
      </c>
      <c r="AG65">
        <v>6.25E-2</v>
      </c>
      <c r="AH65">
        <v>2</v>
      </c>
      <c r="AI65">
        <v>33891337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ROW(Source!A77)</f>
        <v>77</v>
      </c>
      <c r="B66">
        <v>33891351</v>
      </c>
      <c r="C66">
        <v>33891331</v>
      </c>
      <c r="D66">
        <v>31425703</v>
      </c>
      <c r="E66">
        <v>1</v>
      </c>
      <c r="F66">
        <v>1</v>
      </c>
      <c r="G66">
        <v>1</v>
      </c>
      <c r="H66">
        <v>2</v>
      </c>
      <c r="I66" t="s">
        <v>278</v>
      </c>
      <c r="J66" t="s">
        <v>401</v>
      </c>
      <c r="K66" t="s">
        <v>280</v>
      </c>
      <c r="L66">
        <v>1368</v>
      </c>
      <c r="N66">
        <v>1011</v>
      </c>
      <c r="O66" t="s">
        <v>274</v>
      </c>
      <c r="P66" t="s">
        <v>274</v>
      </c>
      <c r="Q66">
        <v>1</v>
      </c>
      <c r="X66">
        <v>0.28000000000000003</v>
      </c>
      <c r="Y66">
        <v>0</v>
      </c>
      <c r="Z66">
        <v>87.17</v>
      </c>
      <c r="AA66">
        <v>11.6</v>
      </c>
      <c r="AB66">
        <v>0</v>
      </c>
      <c r="AC66">
        <v>0</v>
      </c>
      <c r="AD66">
        <v>1</v>
      </c>
      <c r="AE66">
        <v>0</v>
      </c>
      <c r="AF66" t="s">
        <v>74</v>
      </c>
      <c r="AG66">
        <v>0.35000000000000003</v>
      </c>
      <c r="AH66">
        <v>2</v>
      </c>
      <c r="AI66">
        <v>33891338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ROW(Source!A77)</f>
        <v>77</v>
      </c>
      <c r="B67">
        <v>33891352</v>
      </c>
      <c r="C67">
        <v>33891331</v>
      </c>
      <c r="D67">
        <v>31423684</v>
      </c>
      <c r="E67">
        <v>1</v>
      </c>
      <c r="F67">
        <v>1</v>
      </c>
      <c r="G67">
        <v>1</v>
      </c>
      <c r="H67">
        <v>3</v>
      </c>
      <c r="I67" t="s">
        <v>281</v>
      </c>
      <c r="J67" t="s">
        <v>402</v>
      </c>
      <c r="K67" t="s">
        <v>283</v>
      </c>
      <c r="L67">
        <v>1346</v>
      </c>
      <c r="N67">
        <v>1009</v>
      </c>
      <c r="O67" t="s">
        <v>84</v>
      </c>
      <c r="P67" t="s">
        <v>84</v>
      </c>
      <c r="Q67">
        <v>1</v>
      </c>
      <c r="X67">
        <v>0.5</v>
      </c>
      <c r="Y67">
        <v>1.81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0.5</v>
      </c>
      <c r="AH67">
        <v>2</v>
      </c>
      <c r="AI67">
        <v>33891340</v>
      </c>
      <c r="AJ67">
        <v>70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ROW(Source!A77)</f>
        <v>77</v>
      </c>
      <c r="B68">
        <v>33891353</v>
      </c>
      <c r="C68">
        <v>33891331</v>
      </c>
      <c r="D68">
        <v>31423686</v>
      </c>
      <c r="E68">
        <v>1</v>
      </c>
      <c r="F68">
        <v>1</v>
      </c>
      <c r="G68">
        <v>1</v>
      </c>
      <c r="H68">
        <v>3</v>
      </c>
      <c r="I68" t="s">
        <v>403</v>
      </c>
      <c r="J68" t="s">
        <v>404</v>
      </c>
      <c r="K68" t="s">
        <v>405</v>
      </c>
      <c r="L68">
        <v>1348</v>
      </c>
      <c r="N68">
        <v>1009</v>
      </c>
      <c r="O68" t="s">
        <v>101</v>
      </c>
      <c r="P68" t="s">
        <v>101</v>
      </c>
      <c r="Q68">
        <v>1000</v>
      </c>
      <c r="X68">
        <v>0.05</v>
      </c>
      <c r="Y68">
        <v>6532.53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0.05</v>
      </c>
      <c r="AH68">
        <v>2</v>
      </c>
      <c r="AI68">
        <v>33891341</v>
      </c>
      <c r="AJ68">
        <v>71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ROW(Source!A77)</f>
        <v>77</v>
      </c>
      <c r="B69">
        <v>33891354</v>
      </c>
      <c r="C69">
        <v>33891331</v>
      </c>
      <c r="D69">
        <v>31423740</v>
      </c>
      <c r="E69">
        <v>1</v>
      </c>
      <c r="F69">
        <v>1</v>
      </c>
      <c r="G69">
        <v>1</v>
      </c>
      <c r="H69">
        <v>3</v>
      </c>
      <c r="I69" t="s">
        <v>406</v>
      </c>
      <c r="J69" t="s">
        <v>407</v>
      </c>
      <c r="K69" t="s">
        <v>408</v>
      </c>
      <c r="L69">
        <v>1346</v>
      </c>
      <c r="N69">
        <v>1009</v>
      </c>
      <c r="O69" t="s">
        <v>84</v>
      </c>
      <c r="P69" t="s">
        <v>84</v>
      </c>
      <c r="Q69">
        <v>1</v>
      </c>
      <c r="X69">
        <v>430</v>
      </c>
      <c r="Y69">
        <v>3.86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430</v>
      </c>
      <c r="AH69">
        <v>2</v>
      </c>
      <c r="AI69">
        <v>33891342</v>
      </c>
      <c r="AJ69">
        <v>72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ROW(Source!A77)</f>
        <v>77</v>
      </c>
      <c r="B70">
        <v>33891355</v>
      </c>
      <c r="C70">
        <v>33891331</v>
      </c>
      <c r="D70">
        <v>31423757</v>
      </c>
      <c r="E70">
        <v>1</v>
      </c>
      <c r="F70">
        <v>1</v>
      </c>
      <c r="G70">
        <v>1</v>
      </c>
      <c r="H70">
        <v>3</v>
      </c>
      <c r="I70" t="s">
        <v>409</v>
      </c>
      <c r="J70" t="s">
        <v>410</v>
      </c>
      <c r="K70" t="s">
        <v>411</v>
      </c>
      <c r="L70">
        <v>1327</v>
      </c>
      <c r="N70">
        <v>1005</v>
      </c>
      <c r="O70" t="s">
        <v>143</v>
      </c>
      <c r="P70" t="s">
        <v>143</v>
      </c>
      <c r="Q70">
        <v>1</v>
      </c>
      <c r="X70">
        <v>102</v>
      </c>
      <c r="Y70">
        <v>69.209999999999994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102</v>
      </c>
      <c r="AH70">
        <v>2</v>
      </c>
      <c r="AI70">
        <v>33891343</v>
      </c>
      <c r="AJ70">
        <v>73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ROW(Source!A77)</f>
        <v>77</v>
      </c>
      <c r="B71">
        <v>33891356</v>
      </c>
      <c r="C71">
        <v>33891331</v>
      </c>
      <c r="D71">
        <v>31424695</v>
      </c>
      <c r="E71">
        <v>1</v>
      </c>
      <c r="F71">
        <v>1</v>
      </c>
      <c r="G71">
        <v>1</v>
      </c>
      <c r="H71">
        <v>3</v>
      </c>
      <c r="I71" t="s">
        <v>287</v>
      </c>
      <c r="J71" t="s">
        <v>412</v>
      </c>
      <c r="K71" t="s">
        <v>289</v>
      </c>
      <c r="L71">
        <v>1339</v>
      </c>
      <c r="N71">
        <v>1007</v>
      </c>
      <c r="O71" t="s">
        <v>290</v>
      </c>
      <c r="P71" t="s">
        <v>290</v>
      </c>
      <c r="Q71">
        <v>1</v>
      </c>
      <c r="X71">
        <v>3.5</v>
      </c>
      <c r="Y71">
        <v>2.44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3.5</v>
      </c>
      <c r="AH71">
        <v>2</v>
      </c>
      <c r="AI71">
        <v>33891344</v>
      </c>
      <c r="AJ71">
        <v>74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ROW(Source!A79)</f>
        <v>79</v>
      </c>
      <c r="B72">
        <v>33891363</v>
      </c>
      <c r="C72">
        <v>33891358</v>
      </c>
      <c r="D72">
        <v>18416200</v>
      </c>
      <c r="E72">
        <v>1</v>
      </c>
      <c r="F72">
        <v>1</v>
      </c>
      <c r="G72">
        <v>1</v>
      </c>
      <c r="H72">
        <v>1</v>
      </c>
      <c r="I72" t="s">
        <v>413</v>
      </c>
      <c r="J72" t="s">
        <v>3</v>
      </c>
      <c r="K72" t="s">
        <v>414</v>
      </c>
      <c r="L72">
        <v>1369</v>
      </c>
      <c r="N72">
        <v>1013</v>
      </c>
      <c r="O72" t="s">
        <v>268</v>
      </c>
      <c r="P72" t="s">
        <v>268</v>
      </c>
      <c r="Q72">
        <v>1</v>
      </c>
      <c r="X72">
        <v>8.99</v>
      </c>
      <c r="Y72">
        <v>0</v>
      </c>
      <c r="Z72">
        <v>0</v>
      </c>
      <c r="AA72">
        <v>0</v>
      </c>
      <c r="AB72">
        <v>283.66000000000003</v>
      </c>
      <c r="AC72">
        <v>0</v>
      </c>
      <c r="AD72">
        <v>1</v>
      </c>
      <c r="AE72">
        <v>1</v>
      </c>
      <c r="AF72" t="s">
        <v>75</v>
      </c>
      <c r="AG72">
        <v>10.3385</v>
      </c>
      <c r="AH72">
        <v>2</v>
      </c>
      <c r="AI72">
        <v>33891359</v>
      </c>
      <c r="AJ72">
        <v>75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ROW(Source!A79)</f>
        <v>79</v>
      </c>
      <c r="B73">
        <v>33891364</v>
      </c>
      <c r="C73">
        <v>33891358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278</v>
      </c>
      <c r="J73" t="s">
        <v>279</v>
      </c>
      <c r="K73" t="s">
        <v>280</v>
      </c>
      <c r="L73">
        <v>1368</v>
      </c>
      <c r="N73">
        <v>1011</v>
      </c>
      <c r="O73" t="s">
        <v>274</v>
      </c>
      <c r="P73" t="s">
        <v>274</v>
      </c>
      <c r="Q73">
        <v>1</v>
      </c>
      <c r="X73">
        <v>0.03</v>
      </c>
      <c r="Y73">
        <v>0</v>
      </c>
      <c r="Z73">
        <v>87.17</v>
      </c>
      <c r="AA73">
        <v>11.6</v>
      </c>
      <c r="AB73">
        <v>0</v>
      </c>
      <c r="AC73">
        <v>0</v>
      </c>
      <c r="AD73">
        <v>1</v>
      </c>
      <c r="AE73">
        <v>0</v>
      </c>
      <c r="AF73" t="s">
        <v>74</v>
      </c>
      <c r="AG73">
        <v>3.7499999999999999E-2</v>
      </c>
      <c r="AH73">
        <v>2</v>
      </c>
      <c r="AI73">
        <v>33891360</v>
      </c>
      <c r="AJ73">
        <v>76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ROW(Source!A79)</f>
        <v>79</v>
      </c>
      <c r="B74">
        <v>33891365</v>
      </c>
      <c r="C74">
        <v>33891358</v>
      </c>
      <c r="D74">
        <v>29111241</v>
      </c>
      <c r="E74">
        <v>1</v>
      </c>
      <c r="F74">
        <v>1</v>
      </c>
      <c r="G74">
        <v>1</v>
      </c>
      <c r="H74">
        <v>3</v>
      </c>
      <c r="I74" t="s">
        <v>415</v>
      </c>
      <c r="J74" t="s">
        <v>416</v>
      </c>
      <c r="K74" t="s">
        <v>417</v>
      </c>
      <c r="L74">
        <v>1346</v>
      </c>
      <c r="N74">
        <v>1009</v>
      </c>
      <c r="O74" t="s">
        <v>84</v>
      </c>
      <c r="P74" t="s">
        <v>84</v>
      </c>
      <c r="Q74">
        <v>1</v>
      </c>
      <c r="X74">
        <v>5.15</v>
      </c>
      <c r="Y74">
        <v>8.35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5.15</v>
      </c>
      <c r="AH74">
        <v>2</v>
      </c>
      <c r="AI74">
        <v>33891361</v>
      </c>
      <c r="AJ74">
        <v>77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ROW(Source!A79)</f>
        <v>79</v>
      </c>
      <c r="B75">
        <v>33891366</v>
      </c>
      <c r="C75">
        <v>33891358</v>
      </c>
      <c r="D75">
        <v>29110997</v>
      </c>
      <c r="E75">
        <v>1</v>
      </c>
      <c r="F75">
        <v>1</v>
      </c>
      <c r="G75">
        <v>1</v>
      </c>
      <c r="H75">
        <v>3</v>
      </c>
      <c r="I75" t="s">
        <v>418</v>
      </c>
      <c r="J75" t="s">
        <v>419</v>
      </c>
      <c r="K75" t="s">
        <v>420</v>
      </c>
      <c r="L75">
        <v>1301</v>
      </c>
      <c r="N75">
        <v>1003</v>
      </c>
      <c r="O75" t="s">
        <v>126</v>
      </c>
      <c r="P75" t="s">
        <v>126</v>
      </c>
      <c r="Q75">
        <v>1</v>
      </c>
      <c r="X75">
        <v>101</v>
      </c>
      <c r="Y75">
        <v>12.3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101</v>
      </c>
      <c r="AH75">
        <v>2</v>
      </c>
      <c r="AI75">
        <v>33891362</v>
      </c>
      <c r="AJ75">
        <v>78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ROW(Source!A115)</f>
        <v>115</v>
      </c>
      <c r="B76">
        <v>34139616</v>
      </c>
      <c r="C76">
        <v>34139615</v>
      </c>
      <c r="D76">
        <v>9430636</v>
      </c>
      <c r="E76">
        <v>1</v>
      </c>
      <c r="F76">
        <v>1</v>
      </c>
      <c r="G76">
        <v>1</v>
      </c>
      <c r="H76">
        <v>1</v>
      </c>
      <c r="I76" t="s">
        <v>421</v>
      </c>
      <c r="J76" t="s">
        <v>3</v>
      </c>
      <c r="K76" t="s">
        <v>422</v>
      </c>
      <c r="L76">
        <v>1369</v>
      </c>
      <c r="N76">
        <v>1013</v>
      </c>
      <c r="O76" t="s">
        <v>268</v>
      </c>
      <c r="P76" t="s">
        <v>268</v>
      </c>
      <c r="Q76">
        <v>1</v>
      </c>
      <c r="X76">
        <v>16.16</v>
      </c>
      <c r="Y76">
        <v>0</v>
      </c>
      <c r="Z76">
        <v>0</v>
      </c>
      <c r="AA76">
        <v>0</v>
      </c>
      <c r="AB76">
        <v>273.2</v>
      </c>
      <c r="AC76">
        <v>0</v>
      </c>
      <c r="AD76">
        <v>1</v>
      </c>
      <c r="AE76">
        <v>1</v>
      </c>
      <c r="AF76" t="s">
        <v>3</v>
      </c>
      <c r="AG76">
        <v>16.16</v>
      </c>
      <c r="AH76">
        <v>2</v>
      </c>
      <c r="AI76">
        <v>34139616</v>
      </c>
      <c r="AJ76">
        <v>79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ROW(Source!A115)</f>
        <v>115</v>
      </c>
      <c r="B77">
        <v>34139617</v>
      </c>
      <c r="C77">
        <v>34139615</v>
      </c>
      <c r="D77">
        <v>121548</v>
      </c>
      <c r="E77">
        <v>1</v>
      </c>
      <c r="F77">
        <v>1</v>
      </c>
      <c r="G77">
        <v>1</v>
      </c>
      <c r="H77">
        <v>1</v>
      </c>
      <c r="I77" t="s">
        <v>86</v>
      </c>
      <c r="J77" t="s">
        <v>3</v>
      </c>
      <c r="K77" t="s">
        <v>269</v>
      </c>
      <c r="L77">
        <v>608254</v>
      </c>
      <c r="N77">
        <v>1013</v>
      </c>
      <c r="O77" t="s">
        <v>270</v>
      </c>
      <c r="P77" t="s">
        <v>270</v>
      </c>
      <c r="Q77">
        <v>1</v>
      </c>
      <c r="X77">
        <v>0.18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3</v>
      </c>
      <c r="AG77">
        <v>0.18</v>
      </c>
      <c r="AH77">
        <v>2</v>
      </c>
      <c r="AI77">
        <v>34139617</v>
      </c>
      <c r="AJ77">
        <v>80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ROW(Source!A115)</f>
        <v>115</v>
      </c>
      <c r="B78">
        <v>34139618</v>
      </c>
      <c r="C78">
        <v>34139615</v>
      </c>
      <c r="D78">
        <v>24316470</v>
      </c>
      <c r="E78">
        <v>1</v>
      </c>
      <c r="F78">
        <v>1</v>
      </c>
      <c r="G78">
        <v>1</v>
      </c>
      <c r="H78">
        <v>2</v>
      </c>
      <c r="I78" t="s">
        <v>423</v>
      </c>
      <c r="J78" t="s">
        <v>424</v>
      </c>
      <c r="K78" t="s">
        <v>425</v>
      </c>
      <c r="L78">
        <v>1368</v>
      </c>
      <c r="N78">
        <v>1011</v>
      </c>
      <c r="O78" t="s">
        <v>274</v>
      </c>
      <c r="P78" t="s">
        <v>274</v>
      </c>
      <c r="Q78">
        <v>1</v>
      </c>
      <c r="X78">
        <v>0.18</v>
      </c>
      <c r="Y78">
        <v>0</v>
      </c>
      <c r="Z78">
        <v>134.65</v>
      </c>
      <c r="AA78">
        <v>13.5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0.18</v>
      </c>
      <c r="AH78">
        <v>2</v>
      </c>
      <c r="AI78">
        <v>34139618</v>
      </c>
      <c r="AJ78">
        <v>81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ROW(Source!A115)</f>
        <v>115</v>
      </c>
      <c r="B79">
        <v>34139619</v>
      </c>
      <c r="C79">
        <v>34139615</v>
      </c>
      <c r="D79">
        <v>24262102</v>
      </c>
      <c r="E79">
        <v>1</v>
      </c>
      <c r="F79">
        <v>1</v>
      </c>
      <c r="G79">
        <v>1</v>
      </c>
      <c r="H79">
        <v>2</v>
      </c>
      <c r="I79" t="s">
        <v>278</v>
      </c>
      <c r="J79" t="s">
        <v>426</v>
      </c>
      <c r="K79" t="s">
        <v>280</v>
      </c>
      <c r="L79">
        <v>1368</v>
      </c>
      <c r="N79">
        <v>1011</v>
      </c>
      <c r="O79" t="s">
        <v>274</v>
      </c>
      <c r="P79" t="s">
        <v>274</v>
      </c>
      <c r="Q79">
        <v>1</v>
      </c>
      <c r="X79">
        <v>0.18</v>
      </c>
      <c r="Y79">
        <v>0</v>
      </c>
      <c r="Z79">
        <v>87.17</v>
      </c>
      <c r="AA79">
        <v>11.6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0.18</v>
      </c>
      <c r="AH79">
        <v>2</v>
      </c>
      <c r="AI79">
        <v>34139619</v>
      </c>
      <c r="AJ79">
        <v>82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ROW(Source!A115)</f>
        <v>115</v>
      </c>
      <c r="B80">
        <v>34139620</v>
      </c>
      <c r="C80">
        <v>34139615</v>
      </c>
      <c r="D80">
        <v>24305918</v>
      </c>
      <c r="E80">
        <v>1</v>
      </c>
      <c r="F80">
        <v>1</v>
      </c>
      <c r="G80">
        <v>1</v>
      </c>
      <c r="H80">
        <v>3</v>
      </c>
      <c r="I80" t="s">
        <v>427</v>
      </c>
      <c r="J80" t="s">
        <v>428</v>
      </c>
      <c r="K80" t="s">
        <v>429</v>
      </c>
      <c r="L80">
        <v>1348</v>
      </c>
      <c r="N80">
        <v>1009</v>
      </c>
      <c r="O80" t="s">
        <v>101</v>
      </c>
      <c r="P80" t="s">
        <v>101</v>
      </c>
      <c r="Q80">
        <v>1000</v>
      </c>
      <c r="X80">
        <v>3.3E-4</v>
      </c>
      <c r="Y80">
        <v>19800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3.3E-4</v>
      </c>
      <c r="AH80">
        <v>2</v>
      </c>
      <c r="AI80">
        <v>34139620</v>
      </c>
      <c r="AJ80">
        <v>83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ROW(Source!A115)</f>
        <v>115</v>
      </c>
      <c r="B81">
        <v>34139621</v>
      </c>
      <c r="C81">
        <v>34139615</v>
      </c>
      <c r="D81">
        <v>24326171</v>
      </c>
      <c r="E81">
        <v>1</v>
      </c>
      <c r="F81">
        <v>1</v>
      </c>
      <c r="G81">
        <v>1</v>
      </c>
      <c r="H81">
        <v>3</v>
      </c>
      <c r="I81" t="s">
        <v>430</v>
      </c>
      <c r="J81" t="s">
        <v>431</v>
      </c>
      <c r="K81" t="s">
        <v>432</v>
      </c>
      <c r="L81">
        <v>1348</v>
      </c>
      <c r="N81">
        <v>1009</v>
      </c>
      <c r="O81" t="s">
        <v>101</v>
      </c>
      <c r="P81" t="s">
        <v>101</v>
      </c>
      <c r="Q81">
        <v>1000</v>
      </c>
      <c r="X81">
        <v>1.4E-3</v>
      </c>
      <c r="Y81">
        <v>3960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1.4E-3</v>
      </c>
      <c r="AH81">
        <v>2</v>
      </c>
      <c r="AI81">
        <v>34139621</v>
      </c>
      <c r="AJ81">
        <v>84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ROW(Source!A115)</f>
        <v>115</v>
      </c>
      <c r="B82">
        <v>34139622</v>
      </c>
      <c r="C82">
        <v>34139615</v>
      </c>
      <c r="D82">
        <v>24330817</v>
      </c>
      <c r="E82">
        <v>1</v>
      </c>
      <c r="F82">
        <v>1</v>
      </c>
      <c r="G82">
        <v>1</v>
      </c>
      <c r="H82">
        <v>3</v>
      </c>
      <c r="I82" t="s">
        <v>433</v>
      </c>
      <c r="J82" t="s">
        <v>434</v>
      </c>
      <c r="K82" t="s">
        <v>435</v>
      </c>
      <c r="L82">
        <v>1348</v>
      </c>
      <c r="N82">
        <v>1009</v>
      </c>
      <c r="O82" t="s">
        <v>101</v>
      </c>
      <c r="P82" t="s">
        <v>101</v>
      </c>
      <c r="Q82">
        <v>1000</v>
      </c>
      <c r="X82">
        <v>2.9999999999999997E-4</v>
      </c>
      <c r="Y82">
        <v>1820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2.9999999999999997E-4</v>
      </c>
      <c r="AH82">
        <v>2</v>
      </c>
      <c r="AI82">
        <v>34139622</v>
      </c>
      <c r="AJ82">
        <v>85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ROW(Source!A115)</f>
        <v>115</v>
      </c>
      <c r="B83">
        <v>34139623</v>
      </c>
      <c r="C83">
        <v>34139615</v>
      </c>
      <c r="D83">
        <v>24551895</v>
      </c>
      <c r="E83">
        <v>1</v>
      </c>
      <c r="F83">
        <v>1</v>
      </c>
      <c r="G83">
        <v>1</v>
      </c>
      <c r="H83">
        <v>3</v>
      </c>
      <c r="I83" t="s">
        <v>436</v>
      </c>
      <c r="J83" t="s">
        <v>437</v>
      </c>
      <c r="K83" t="s">
        <v>438</v>
      </c>
      <c r="L83">
        <v>1346</v>
      </c>
      <c r="N83">
        <v>1009</v>
      </c>
      <c r="O83" t="s">
        <v>84</v>
      </c>
      <c r="P83" t="s">
        <v>84</v>
      </c>
      <c r="Q83">
        <v>1</v>
      </c>
      <c r="X83">
        <v>0.04</v>
      </c>
      <c r="Y83">
        <v>28.6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0.04</v>
      </c>
      <c r="AH83">
        <v>2</v>
      </c>
      <c r="AI83">
        <v>34139623</v>
      </c>
      <c r="AJ83">
        <v>86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ROW(Source!A115)</f>
        <v>115</v>
      </c>
      <c r="B84">
        <v>34139624</v>
      </c>
      <c r="C84">
        <v>34139615</v>
      </c>
      <c r="D84">
        <v>24552971</v>
      </c>
      <c r="E84">
        <v>1</v>
      </c>
      <c r="F84">
        <v>1</v>
      </c>
      <c r="G84">
        <v>1</v>
      </c>
      <c r="H84">
        <v>3</v>
      </c>
      <c r="I84" t="s">
        <v>439</v>
      </c>
      <c r="J84" t="s">
        <v>440</v>
      </c>
      <c r="K84" t="s">
        <v>441</v>
      </c>
      <c r="L84">
        <v>1346</v>
      </c>
      <c r="N84">
        <v>1009</v>
      </c>
      <c r="O84" t="s">
        <v>84</v>
      </c>
      <c r="P84" t="s">
        <v>84</v>
      </c>
      <c r="Q84">
        <v>1</v>
      </c>
      <c r="X84">
        <v>0.16</v>
      </c>
      <c r="Y84">
        <v>30.4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0.16</v>
      </c>
      <c r="AH84">
        <v>2</v>
      </c>
      <c r="AI84">
        <v>34139624</v>
      </c>
      <c r="AJ84">
        <v>87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ROW(Source!A115)</f>
        <v>115</v>
      </c>
      <c r="B85">
        <v>34139625</v>
      </c>
      <c r="C85">
        <v>34139615</v>
      </c>
      <c r="D85">
        <v>24358570</v>
      </c>
      <c r="E85">
        <v>1</v>
      </c>
      <c r="F85">
        <v>1</v>
      </c>
      <c r="G85">
        <v>1</v>
      </c>
      <c r="H85">
        <v>3</v>
      </c>
      <c r="I85" t="s">
        <v>442</v>
      </c>
      <c r="J85" t="s">
        <v>443</v>
      </c>
      <c r="K85" t="s">
        <v>444</v>
      </c>
      <c r="L85">
        <v>1355</v>
      </c>
      <c r="N85">
        <v>1010</v>
      </c>
      <c r="O85" t="s">
        <v>193</v>
      </c>
      <c r="P85" t="s">
        <v>193</v>
      </c>
      <c r="Q85">
        <v>100</v>
      </c>
      <c r="X85">
        <v>0.32</v>
      </c>
      <c r="Y85">
        <v>86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0.32</v>
      </c>
      <c r="AH85">
        <v>2</v>
      </c>
      <c r="AI85">
        <v>34139625</v>
      </c>
      <c r="AJ85">
        <v>88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ROW(Source!A115)</f>
        <v>115</v>
      </c>
      <c r="B86">
        <v>34139626</v>
      </c>
      <c r="C86">
        <v>34139615</v>
      </c>
      <c r="D86">
        <v>24312272</v>
      </c>
      <c r="E86">
        <v>1</v>
      </c>
      <c r="F86">
        <v>1</v>
      </c>
      <c r="G86">
        <v>1</v>
      </c>
      <c r="H86">
        <v>3</v>
      </c>
      <c r="I86" t="s">
        <v>445</v>
      </c>
      <c r="J86" t="s">
        <v>446</v>
      </c>
      <c r="K86" t="s">
        <v>447</v>
      </c>
      <c r="L86">
        <v>1348</v>
      </c>
      <c r="N86">
        <v>1009</v>
      </c>
      <c r="O86" t="s">
        <v>101</v>
      </c>
      <c r="P86" t="s">
        <v>101</v>
      </c>
      <c r="Q86">
        <v>1000</v>
      </c>
      <c r="X86">
        <v>2.1000000000000001E-2</v>
      </c>
      <c r="Y86">
        <v>729.98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2.1000000000000001E-2</v>
      </c>
      <c r="AH86">
        <v>2</v>
      </c>
      <c r="AI86">
        <v>34139626</v>
      </c>
      <c r="AJ86">
        <v>89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ROW(Source!A115)</f>
        <v>115</v>
      </c>
      <c r="B87">
        <v>34139627</v>
      </c>
      <c r="C87">
        <v>34139615</v>
      </c>
      <c r="D87">
        <v>24519631</v>
      </c>
      <c r="E87">
        <v>1</v>
      </c>
      <c r="F87">
        <v>1</v>
      </c>
      <c r="G87">
        <v>1</v>
      </c>
      <c r="H87">
        <v>3</v>
      </c>
      <c r="I87" t="s">
        <v>362</v>
      </c>
      <c r="J87" t="s">
        <v>448</v>
      </c>
      <c r="K87" t="s">
        <v>364</v>
      </c>
      <c r="L87">
        <v>1374</v>
      </c>
      <c r="N87">
        <v>1013</v>
      </c>
      <c r="O87" t="s">
        <v>365</v>
      </c>
      <c r="P87" t="s">
        <v>365</v>
      </c>
      <c r="Q87">
        <v>1</v>
      </c>
      <c r="X87">
        <v>3.04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3.04</v>
      </c>
      <c r="AH87">
        <v>2</v>
      </c>
      <c r="AI87">
        <v>34139627</v>
      </c>
      <c r="AJ87">
        <v>91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ROW(Source!A117)</f>
        <v>117</v>
      </c>
      <c r="B88">
        <v>33891488</v>
      </c>
      <c r="C88">
        <v>33891487</v>
      </c>
      <c r="D88">
        <v>18407546</v>
      </c>
      <c r="E88">
        <v>1</v>
      </c>
      <c r="F88">
        <v>1</v>
      </c>
      <c r="G88">
        <v>1</v>
      </c>
      <c r="H88">
        <v>1</v>
      </c>
      <c r="I88" t="s">
        <v>449</v>
      </c>
      <c r="J88" t="s">
        <v>3</v>
      </c>
      <c r="K88" t="s">
        <v>450</v>
      </c>
      <c r="L88">
        <v>1369</v>
      </c>
      <c r="N88">
        <v>1013</v>
      </c>
      <c r="O88" t="s">
        <v>268</v>
      </c>
      <c r="P88" t="s">
        <v>268</v>
      </c>
      <c r="Q88">
        <v>1</v>
      </c>
      <c r="X88">
        <v>102.46</v>
      </c>
      <c r="Y88">
        <v>0</v>
      </c>
      <c r="Z88">
        <v>0</v>
      </c>
      <c r="AA88">
        <v>0</v>
      </c>
      <c r="AB88">
        <v>273.2</v>
      </c>
      <c r="AC88">
        <v>0</v>
      </c>
      <c r="AD88">
        <v>1</v>
      </c>
      <c r="AE88">
        <v>1</v>
      </c>
      <c r="AF88" t="s">
        <v>75</v>
      </c>
      <c r="AG88">
        <v>117.82899999999998</v>
      </c>
      <c r="AH88">
        <v>2</v>
      </c>
      <c r="AI88">
        <v>33891488</v>
      </c>
      <c r="AJ88">
        <v>92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ROW(Source!A117)</f>
        <v>117</v>
      </c>
      <c r="B89">
        <v>33891489</v>
      </c>
      <c r="C89">
        <v>33891487</v>
      </c>
      <c r="D89">
        <v>121548</v>
      </c>
      <c r="E89">
        <v>1</v>
      </c>
      <c r="F89">
        <v>1</v>
      </c>
      <c r="G89">
        <v>1</v>
      </c>
      <c r="H89">
        <v>1</v>
      </c>
      <c r="I89" t="s">
        <v>86</v>
      </c>
      <c r="J89" t="s">
        <v>3</v>
      </c>
      <c r="K89" t="s">
        <v>269</v>
      </c>
      <c r="L89">
        <v>608254</v>
      </c>
      <c r="N89">
        <v>1013</v>
      </c>
      <c r="O89" t="s">
        <v>270</v>
      </c>
      <c r="P89" t="s">
        <v>270</v>
      </c>
      <c r="Q89">
        <v>1</v>
      </c>
      <c r="X89">
        <v>0.76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2</v>
      </c>
      <c r="AF89" t="s">
        <v>74</v>
      </c>
      <c r="AG89">
        <v>0.95</v>
      </c>
      <c r="AH89">
        <v>2</v>
      </c>
      <c r="AI89">
        <v>33891489</v>
      </c>
      <c r="AJ89">
        <v>93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ROW(Source!A117)</f>
        <v>117</v>
      </c>
      <c r="B90">
        <v>33891490</v>
      </c>
      <c r="C90">
        <v>33891487</v>
      </c>
      <c r="D90">
        <v>29172556</v>
      </c>
      <c r="E90">
        <v>1</v>
      </c>
      <c r="F90">
        <v>1</v>
      </c>
      <c r="G90">
        <v>1</v>
      </c>
      <c r="H90">
        <v>2</v>
      </c>
      <c r="I90" t="s">
        <v>293</v>
      </c>
      <c r="J90" t="s">
        <v>294</v>
      </c>
      <c r="K90" t="s">
        <v>295</v>
      </c>
      <c r="L90">
        <v>1368</v>
      </c>
      <c r="N90">
        <v>1011</v>
      </c>
      <c r="O90" t="s">
        <v>274</v>
      </c>
      <c r="P90" t="s">
        <v>274</v>
      </c>
      <c r="Q90">
        <v>1</v>
      </c>
      <c r="X90">
        <v>0.76</v>
      </c>
      <c r="Y90">
        <v>0</v>
      </c>
      <c r="Z90">
        <v>31.26</v>
      </c>
      <c r="AA90">
        <v>13.5</v>
      </c>
      <c r="AB90">
        <v>0</v>
      </c>
      <c r="AC90">
        <v>0</v>
      </c>
      <c r="AD90">
        <v>1</v>
      </c>
      <c r="AE90">
        <v>0</v>
      </c>
      <c r="AF90" t="s">
        <v>74</v>
      </c>
      <c r="AG90">
        <v>0.95</v>
      </c>
      <c r="AH90">
        <v>2</v>
      </c>
      <c r="AI90">
        <v>33891490</v>
      </c>
      <c r="AJ90">
        <v>94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ROW(Source!A117)</f>
        <v>117</v>
      </c>
      <c r="B91">
        <v>33891491</v>
      </c>
      <c r="C91">
        <v>33891487</v>
      </c>
      <c r="D91">
        <v>29174500</v>
      </c>
      <c r="E91">
        <v>1</v>
      </c>
      <c r="F91">
        <v>1</v>
      </c>
      <c r="G91">
        <v>1</v>
      </c>
      <c r="H91">
        <v>2</v>
      </c>
      <c r="I91" t="s">
        <v>307</v>
      </c>
      <c r="J91" t="s">
        <v>308</v>
      </c>
      <c r="K91" t="s">
        <v>309</v>
      </c>
      <c r="L91">
        <v>1368</v>
      </c>
      <c r="N91">
        <v>1011</v>
      </c>
      <c r="O91" t="s">
        <v>274</v>
      </c>
      <c r="P91" t="s">
        <v>274</v>
      </c>
      <c r="Q91">
        <v>1</v>
      </c>
      <c r="X91">
        <v>5.35</v>
      </c>
      <c r="Y91">
        <v>0</v>
      </c>
      <c r="Z91">
        <v>1.95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74</v>
      </c>
      <c r="AG91">
        <v>6.6875</v>
      </c>
      <c r="AH91">
        <v>2</v>
      </c>
      <c r="AI91">
        <v>33891491</v>
      </c>
      <c r="AJ91">
        <v>95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ROW(Source!A117)</f>
        <v>117</v>
      </c>
      <c r="B92">
        <v>33891492</v>
      </c>
      <c r="C92">
        <v>33891487</v>
      </c>
      <c r="D92">
        <v>29174913</v>
      </c>
      <c r="E92">
        <v>1</v>
      </c>
      <c r="F92">
        <v>1</v>
      </c>
      <c r="G92">
        <v>1</v>
      </c>
      <c r="H92">
        <v>2</v>
      </c>
      <c r="I92" t="s">
        <v>278</v>
      </c>
      <c r="J92" t="s">
        <v>279</v>
      </c>
      <c r="K92" t="s">
        <v>280</v>
      </c>
      <c r="L92">
        <v>1368</v>
      </c>
      <c r="N92">
        <v>1011</v>
      </c>
      <c r="O92" t="s">
        <v>274</v>
      </c>
      <c r="P92" t="s">
        <v>274</v>
      </c>
      <c r="Q92">
        <v>1</v>
      </c>
      <c r="X92">
        <v>4.58</v>
      </c>
      <c r="Y92">
        <v>0</v>
      </c>
      <c r="Z92">
        <v>87.17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74</v>
      </c>
      <c r="AG92">
        <v>5.7249999999999996</v>
      </c>
      <c r="AH92">
        <v>2</v>
      </c>
      <c r="AI92">
        <v>33891492</v>
      </c>
      <c r="AJ92">
        <v>96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ROW(Source!A117)</f>
        <v>117</v>
      </c>
      <c r="B93">
        <v>33891493</v>
      </c>
      <c r="C93">
        <v>33891487</v>
      </c>
      <c r="D93">
        <v>29109671</v>
      </c>
      <c r="E93">
        <v>1</v>
      </c>
      <c r="F93">
        <v>1</v>
      </c>
      <c r="G93">
        <v>1</v>
      </c>
      <c r="H93">
        <v>3</v>
      </c>
      <c r="I93" t="s">
        <v>167</v>
      </c>
      <c r="J93" t="s">
        <v>169</v>
      </c>
      <c r="K93" t="s">
        <v>168</v>
      </c>
      <c r="L93">
        <v>1327</v>
      </c>
      <c r="N93">
        <v>1005</v>
      </c>
      <c r="O93" t="s">
        <v>143</v>
      </c>
      <c r="P93" t="s">
        <v>143</v>
      </c>
      <c r="Q93">
        <v>1</v>
      </c>
      <c r="X93">
        <v>103</v>
      </c>
      <c r="Y93">
        <v>51.95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103</v>
      </c>
      <c r="AH93">
        <v>2</v>
      </c>
      <c r="AI93">
        <v>33891493</v>
      </c>
      <c r="AJ93">
        <v>97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ROW(Source!A154)</f>
        <v>154</v>
      </c>
      <c r="B94">
        <v>35696460</v>
      </c>
      <c r="C94">
        <v>35696459</v>
      </c>
      <c r="D94">
        <v>18413230</v>
      </c>
      <c r="E94">
        <v>1</v>
      </c>
      <c r="F94">
        <v>1</v>
      </c>
      <c r="G94">
        <v>1</v>
      </c>
      <c r="H94">
        <v>1</v>
      </c>
      <c r="I94" t="s">
        <v>451</v>
      </c>
      <c r="J94" t="s">
        <v>3</v>
      </c>
      <c r="K94" t="s">
        <v>452</v>
      </c>
      <c r="L94">
        <v>1369</v>
      </c>
      <c r="N94">
        <v>1013</v>
      </c>
      <c r="O94" t="s">
        <v>268</v>
      </c>
      <c r="P94" t="s">
        <v>268</v>
      </c>
      <c r="Q94">
        <v>1</v>
      </c>
      <c r="X94">
        <v>50.15</v>
      </c>
      <c r="Y94">
        <v>0</v>
      </c>
      <c r="Z94">
        <v>0</v>
      </c>
      <c r="AA94">
        <v>0</v>
      </c>
      <c r="AB94">
        <v>299.72000000000003</v>
      </c>
      <c r="AC94">
        <v>0</v>
      </c>
      <c r="AD94">
        <v>1</v>
      </c>
      <c r="AE94">
        <v>1</v>
      </c>
      <c r="AF94" t="s">
        <v>3</v>
      </c>
      <c r="AG94">
        <v>50.15</v>
      </c>
      <c r="AH94">
        <v>2</v>
      </c>
      <c r="AI94">
        <v>35696460</v>
      </c>
      <c r="AJ94">
        <v>99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ROW(Source!A154)</f>
        <v>154</v>
      </c>
      <c r="B95">
        <v>35696461</v>
      </c>
      <c r="C95">
        <v>35696459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86</v>
      </c>
      <c r="J95" t="s">
        <v>3</v>
      </c>
      <c r="K95" t="s">
        <v>269</v>
      </c>
      <c r="L95">
        <v>608254</v>
      </c>
      <c r="N95">
        <v>1013</v>
      </c>
      <c r="O95" t="s">
        <v>270</v>
      </c>
      <c r="P95" t="s">
        <v>270</v>
      </c>
      <c r="Q95">
        <v>1</v>
      </c>
      <c r="X95">
        <v>0.11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2</v>
      </c>
      <c r="AF95" t="s">
        <v>3</v>
      </c>
      <c r="AG95">
        <v>0.11</v>
      </c>
      <c r="AH95">
        <v>2</v>
      </c>
      <c r="AI95">
        <v>35696461</v>
      </c>
      <c r="AJ95">
        <v>100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ROW(Source!A154)</f>
        <v>154</v>
      </c>
      <c r="B96">
        <v>35696462</v>
      </c>
      <c r="C96">
        <v>35696459</v>
      </c>
      <c r="D96">
        <v>29172556</v>
      </c>
      <c r="E96">
        <v>1</v>
      </c>
      <c r="F96">
        <v>1</v>
      </c>
      <c r="G96">
        <v>1</v>
      </c>
      <c r="H96">
        <v>2</v>
      </c>
      <c r="I96" t="s">
        <v>293</v>
      </c>
      <c r="J96" t="s">
        <v>294</v>
      </c>
      <c r="K96" t="s">
        <v>295</v>
      </c>
      <c r="L96">
        <v>1368</v>
      </c>
      <c r="N96">
        <v>1011</v>
      </c>
      <c r="O96" t="s">
        <v>274</v>
      </c>
      <c r="P96" t="s">
        <v>274</v>
      </c>
      <c r="Q96">
        <v>1</v>
      </c>
      <c r="X96">
        <v>0.11</v>
      </c>
      <c r="Y96">
        <v>0</v>
      </c>
      <c r="Z96">
        <v>31.26</v>
      </c>
      <c r="AA96">
        <v>13.5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0.11</v>
      </c>
      <c r="AH96">
        <v>2</v>
      </c>
      <c r="AI96">
        <v>35696462</v>
      </c>
      <c r="AJ96">
        <v>101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ROW(Source!A154)</f>
        <v>154</v>
      </c>
      <c r="B97">
        <v>35696463</v>
      </c>
      <c r="C97">
        <v>35696459</v>
      </c>
      <c r="D97">
        <v>29173472</v>
      </c>
      <c r="E97">
        <v>1</v>
      </c>
      <c r="F97">
        <v>1</v>
      </c>
      <c r="G97">
        <v>1</v>
      </c>
      <c r="H97">
        <v>2</v>
      </c>
      <c r="I97" t="s">
        <v>350</v>
      </c>
      <c r="J97" t="s">
        <v>351</v>
      </c>
      <c r="K97" t="s">
        <v>352</v>
      </c>
      <c r="L97">
        <v>1368</v>
      </c>
      <c r="N97">
        <v>1011</v>
      </c>
      <c r="O97" t="s">
        <v>274</v>
      </c>
      <c r="P97" t="s">
        <v>274</v>
      </c>
      <c r="Q97">
        <v>1</v>
      </c>
      <c r="X97">
        <v>0.14000000000000001</v>
      </c>
      <c r="Y97">
        <v>0</v>
      </c>
      <c r="Z97">
        <v>3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0.14000000000000001</v>
      </c>
      <c r="AH97">
        <v>2</v>
      </c>
      <c r="AI97">
        <v>35696463</v>
      </c>
      <c r="AJ97">
        <v>102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ROW(Source!A154)</f>
        <v>154</v>
      </c>
      <c r="B98">
        <v>35696464</v>
      </c>
      <c r="C98">
        <v>35696459</v>
      </c>
      <c r="D98">
        <v>29174500</v>
      </c>
      <c r="E98">
        <v>1</v>
      </c>
      <c r="F98">
        <v>1</v>
      </c>
      <c r="G98">
        <v>1</v>
      </c>
      <c r="H98">
        <v>2</v>
      </c>
      <c r="I98" t="s">
        <v>307</v>
      </c>
      <c r="J98" t="s">
        <v>308</v>
      </c>
      <c r="K98" t="s">
        <v>309</v>
      </c>
      <c r="L98">
        <v>1368</v>
      </c>
      <c r="N98">
        <v>1011</v>
      </c>
      <c r="O98" t="s">
        <v>274</v>
      </c>
      <c r="P98" t="s">
        <v>274</v>
      </c>
      <c r="Q98">
        <v>1</v>
      </c>
      <c r="X98">
        <v>14.59</v>
      </c>
      <c r="Y98">
        <v>0</v>
      </c>
      <c r="Z98">
        <v>1.95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14.59</v>
      </c>
      <c r="AH98">
        <v>2</v>
      </c>
      <c r="AI98">
        <v>35696464</v>
      </c>
      <c r="AJ98">
        <v>103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ROW(Source!A154)</f>
        <v>154</v>
      </c>
      <c r="B99">
        <v>35696465</v>
      </c>
      <c r="C99">
        <v>35696459</v>
      </c>
      <c r="D99">
        <v>29174591</v>
      </c>
      <c r="E99">
        <v>1</v>
      </c>
      <c r="F99">
        <v>1</v>
      </c>
      <c r="G99">
        <v>1</v>
      </c>
      <c r="H99">
        <v>2</v>
      </c>
      <c r="I99" t="s">
        <v>453</v>
      </c>
      <c r="J99" t="s">
        <v>454</v>
      </c>
      <c r="K99" t="s">
        <v>455</v>
      </c>
      <c r="L99">
        <v>1368</v>
      </c>
      <c r="N99">
        <v>1011</v>
      </c>
      <c r="O99" t="s">
        <v>274</v>
      </c>
      <c r="P99" t="s">
        <v>274</v>
      </c>
      <c r="Q99">
        <v>1</v>
      </c>
      <c r="X99">
        <v>0.26</v>
      </c>
      <c r="Y99">
        <v>0</v>
      </c>
      <c r="Z99">
        <v>0.95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0.26</v>
      </c>
      <c r="AH99">
        <v>2</v>
      </c>
      <c r="AI99">
        <v>35696465</v>
      </c>
      <c r="AJ99">
        <v>104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ROW(Source!A154)</f>
        <v>154</v>
      </c>
      <c r="B100">
        <v>35696466</v>
      </c>
      <c r="C100">
        <v>35696459</v>
      </c>
      <c r="D100">
        <v>29174913</v>
      </c>
      <c r="E100">
        <v>1</v>
      </c>
      <c r="F100">
        <v>1</v>
      </c>
      <c r="G100">
        <v>1</v>
      </c>
      <c r="H100">
        <v>2</v>
      </c>
      <c r="I100" t="s">
        <v>278</v>
      </c>
      <c r="J100" t="s">
        <v>279</v>
      </c>
      <c r="K100" t="s">
        <v>280</v>
      </c>
      <c r="L100">
        <v>1368</v>
      </c>
      <c r="N100">
        <v>1011</v>
      </c>
      <c r="O100" t="s">
        <v>274</v>
      </c>
      <c r="P100" t="s">
        <v>274</v>
      </c>
      <c r="Q100">
        <v>1</v>
      </c>
      <c r="X100">
        <v>0.76</v>
      </c>
      <c r="Y100">
        <v>0</v>
      </c>
      <c r="Z100">
        <v>87.17</v>
      </c>
      <c r="AA100">
        <v>11.6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0.76</v>
      </c>
      <c r="AH100">
        <v>2</v>
      </c>
      <c r="AI100">
        <v>35696466</v>
      </c>
      <c r="AJ100">
        <v>105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ROW(Source!A154)</f>
        <v>154</v>
      </c>
      <c r="B101">
        <v>35696467</v>
      </c>
      <c r="C101">
        <v>35696459</v>
      </c>
      <c r="D101">
        <v>29114697</v>
      </c>
      <c r="E101">
        <v>1</v>
      </c>
      <c r="F101">
        <v>1</v>
      </c>
      <c r="G101">
        <v>1</v>
      </c>
      <c r="H101">
        <v>3</v>
      </c>
      <c r="I101" t="s">
        <v>456</v>
      </c>
      <c r="J101" t="s">
        <v>457</v>
      </c>
      <c r="K101" t="s">
        <v>458</v>
      </c>
      <c r="L101">
        <v>1348</v>
      </c>
      <c r="N101">
        <v>1009</v>
      </c>
      <c r="O101" t="s">
        <v>101</v>
      </c>
      <c r="P101" t="s">
        <v>101</v>
      </c>
      <c r="Q101">
        <v>1000</v>
      </c>
      <c r="X101">
        <v>9.0000000000000006E-5</v>
      </c>
      <c r="Y101">
        <v>11350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9.0000000000000006E-5</v>
      </c>
      <c r="AH101">
        <v>2</v>
      </c>
      <c r="AI101">
        <v>35696467</v>
      </c>
      <c r="AJ101">
        <v>106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ROW(Source!A154)</f>
        <v>154</v>
      </c>
      <c r="B102">
        <v>35696468</v>
      </c>
      <c r="C102">
        <v>35696459</v>
      </c>
      <c r="D102">
        <v>29107779</v>
      </c>
      <c r="E102">
        <v>1</v>
      </c>
      <c r="F102">
        <v>1</v>
      </c>
      <c r="G102">
        <v>1</v>
      </c>
      <c r="H102">
        <v>3</v>
      </c>
      <c r="I102" t="s">
        <v>459</v>
      </c>
      <c r="J102" t="s">
        <v>460</v>
      </c>
      <c r="K102" t="s">
        <v>461</v>
      </c>
      <c r="L102">
        <v>1327</v>
      </c>
      <c r="N102">
        <v>1005</v>
      </c>
      <c r="O102" t="s">
        <v>143</v>
      </c>
      <c r="P102" t="s">
        <v>143</v>
      </c>
      <c r="Q102">
        <v>1</v>
      </c>
      <c r="X102">
        <v>5.0000000000000001E-4</v>
      </c>
      <c r="Y102">
        <v>72.31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5.0000000000000001E-4</v>
      </c>
      <c r="AH102">
        <v>2</v>
      </c>
      <c r="AI102">
        <v>35696468</v>
      </c>
      <c r="AJ102">
        <v>107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ROW(Source!A154)</f>
        <v>154</v>
      </c>
      <c r="B103">
        <v>35696469</v>
      </c>
      <c r="C103">
        <v>35696459</v>
      </c>
      <c r="D103">
        <v>29107800</v>
      </c>
      <c r="E103">
        <v>1</v>
      </c>
      <c r="F103">
        <v>1</v>
      </c>
      <c r="G103">
        <v>1</v>
      </c>
      <c r="H103">
        <v>3</v>
      </c>
      <c r="I103" t="s">
        <v>281</v>
      </c>
      <c r="J103" t="s">
        <v>282</v>
      </c>
      <c r="K103" t="s">
        <v>283</v>
      </c>
      <c r="L103">
        <v>1346</v>
      </c>
      <c r="N103">
        <v>1009</v>
      </c>
      <c r="O103" t="s">
        <v>84</v>
      </c>
      <c r="P103" t="s">
        <v>84</v>
      </c>
      <c r="Q103">
        <v>1</v>
      </c>
      <c r="X103">
        <v>0.25</v>
      </c>
      <c r="Y103">
        <v>1.81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0.25</v>
      </c>
      <c r="AH103">
        <v>2</v>
      </c>
      <c r="AI103">
        <v>35696469</v>
      </c>
      <c r="AJ103">
        <v>108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ROW(Source!A154)</f>
        <v>154</v>
      </c>
      <c r="B104">
        <v>35696470</v>
      </c>
      <c r="C104">
        <v>35696459</v>
      </c>
      <c r="D104">
        <v>29108210</v>
      </c>
      <c r="E104">
        <v>1</v>
      </c>
      <c r="F104">
        <v>1</v>
      </c>
      <c r="G104">
        <v>1</v>
      </c>
      <c r="H104">
        <v>3</v>
      </c>
      <c r="I104" t="s">
        <v>462</v>
      </c>
      <c r="J104" t="s">
        <v>463</v>
      </c>
      <c r="K104" t="s">
        <v>464</v>
      </c>
      <c r="L104">
        <v>1301</v>
      </c>
      <c r="N104">
        <v>1003</v>
      </c>
      <c r="O104" t="s">
        <v>126</v>
      </c>
      <c r="P104" t="s">
        <v>126</v>
      </c>
      <c r="Q104">
        <v>1</v>
      </c>
      <c r="X104">
        <v>88.21</v>
      </c>
      <c r="Y104">
        <v>5.29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88.21</v>
      </c>
      <c r="AH104">
        <v>2</v>
      </c>
      <c r="AI104">
        <v>35696470</v>
      </c>
      <c r="AJ104">
        <v>109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ROW(Source!A154)</f>
        <v>154</v>
      </c>
      <c r="B105">
        <v>35696471</v>
      </c>
      <c r="C105">
        <v>35696459</v>
      </c>
      <c r="D105">
        <v>29108212</v>
      </c>
      <c r="E105">
        <v>1</v>
      </c>
      <c r="F105">
        <v>1</v>
      </c>
      <c r="G105">
        <v>1</v>
      </c>
      <c r="H105">
        <v>3</v>
      </c>
      <c r="I105" t="s">
        <v>465</v>
      </c>
      <c r="J105" t="s">
        <v>466</v>
      </c>
      <c r="K105" t="s">
        <v>467</v>
      </c>
      <c r="L105">
        <v>1301</v>
      </c>
      <c r="N105">
        <v>1003</v>
      </c>
      <c r="O105" t="s">
        <v>126</v>
      </c>
      <c r="P105" t="s">
        <v>126</v>
      </c>
      <c r="Q105">
        <v>1</v>
      </c>
      <c r="X105">
        <v>40.4</v>
      </c>
      <c r="Y105">
        <v>5.29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40.4</v>
      </c>
      <c r="AH105">
        <v>2</v>
      </c>
      <c r="AI105">
        <v>35696471</v>
      </c>
      <c r="AJ105">
        <v>110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ROW(Source!A154)</f>
        <v>154</v>
      </c>
      <c r="B106">
        <v>35696472</v>
      </c>
      <c r="C106">
        <v>35696459</v>
      </c>
      <c r="D106">
        <v>29114332</v>
      </c>
      <c r="E106">
        <v>1</v>
      </c>
      <c r="F106">
        <v>1</v>
      </c>
      <c r="G106">
        <v>1</v>
      </c>
      <c r="H106">
        <v>3</v>
      </c>
      <c r="I106" t="s">
        <v>468</v>
      </c>
      <c r="J106" t="s">
        <v>469</v>
      </c>
      <c r="K106" t="s">
        <v>470</v>
      </c>
      <c r="L106">
        <v>1348</v>
      </c>
      <c r="N106">
        <v>1009</v>
      </c>
      <c r="O106" t="s">
        <v>101</v>
      </c>
      <c r="P106" t="s">
        <v>101</v>
      </c>
      <c r="Q106">
        <v>1000</v>
      </c>
      <c r="X106">
        <v>1.1E-4</v>
      </c>
      <c r="Y106">
        <v>11978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1.1E-4</v>
      </c>
      <c r="AH106">
        <v>2</v>
      </c>
      <c r="AI106">
        <v>35696472</v>
      </c>
      <c r="AJ106">
        <v>111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ROW(Source!A154)</f>
        <v>154</v>
      </c>
      <c r="B107">
        <v>35696473</v>
      </c>
      <c r="C107">
        <v>35696459</v>
      </c>
      <c r="D107">
        <v>29109716</v>
      </c>
      <c r="E107">
        <v>1</v>
      </c>
      <c r="F107">
        <v>1</v>
      </c>
      <c r="G107">
        <v>1</v>
      </c>
      <c r="H107">
        <v>3</v>
      </c>
      <c r="I107" t="s">
        <v>471</v>
      </c>
      <c r="J107" t="s">
        <v>472</v>
      </c>
      <c r="K107" t="s">
        <v>473</v>
      </c>
      <c r="L107">
        <v>1329</v>
      </c>
      <c r="N107">
        <v>1005</v>
      </c>
      <c r="O107" t="s">
        <v>474</v>
      </c>
      <c r="P107" t="s">
        <v>474</v>
      </c>
      <c r="Q107">
        <v>1000</v>
      </c>
      <c r="X107">
        <v>0.1014</v>
      </c>
      <c r="Y107">
        <v>89299.99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0.1014</v>
      </c>
      <c r="AH107">
        <v>2</v>
      </c>
      <c r="AI107">
        <v>35696473</v>
      </c>
      <c r="AJ107">
        <v>112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ROW(Source!A154)</f>
        <v>154</v>
      </c>
      <c r="B108">
        <v>35696474</v>
      </c>
      <c r="C108">
        <v>35696459</v>
      </c>
      <c r="D108">
        <v>29109411</v>
      </c>
      <c r="E108">
        <v>1</v>
      </c>
      <c r="F108">
        <v>1</v>
      </c>
      <c r="G108">
        <v>1</v>
      </c>
      <c r="H108">
        <v>3</v>
      </c>
      <c r="I108" t="s">
        <v>475</v>
      </c>
      <c r="J108" t="s">
        <v>476</v>
      </c>
      <c r="K108" t="s">
        <v>477</v>
      </c>
      <c r="L108">
        <v>1346</v>
      </c>
      <c r="N108">
        <v>1009</v>
      </c>
      <c r="O108" t="s">
        <v>84</v>
      </c>
      <c r="P108" t="s">
        <v>84</v>
      </c>
      <c r="Q108">
        <v>1</v>
      </c>
      <c r="X108">
        <v>0.36</v>
      </c>
      <c r="Y108">
        <v>15.95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0.36</v>
      </c>
      <c r="AH108">
        <v>2</v>
      </c>
      <c r="AI108">
        <v>35696474</v>
      </c>
      <c r="AJ108">
        <v>113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ROW(Source!A154)</f>
        <v>154</v>
      </c>
      <c r="B109">
        <v>35696475</v>
      </c>
      <c r="C109">
        <v>35696459</v>
      </c>
      <c r="D109">
        <v>29115470</v>
      </c>
      <c r="E109">
        <v>1</v>
      </c>
      <c r="F109">
        <v>1</v>
      </c>
      <c r="G109">
        <v>1</v>
      </c>
      <c r="H109">
        <v>3</v>
      </c>
      <c r="I109" t="s">
        <v>478</v>
      </c>
      <c r="J109" t="s">
        <v>479</v>
      </c>
      <c r="K109" t="s">
        <v>480</v>
      </c>
      <c r="L109">
        <v>1339</v>
      </c>
      <c r="N109">
        <v>1007</v>
      </c>
      <c r="O109" t="s">
        <v>290</v>
      </c>
      <c r="P109" t="s">
        <v>290</v>
      </c>
      <c r="Q109">
        <v>1</v>
      </c>
      <c r="X109">
        <v>5.0000000000000001E-3</v>
      </c>
      <c r="Y109">
        <v>1056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5.0000000000000001E-3</v>
      </c>
      <c r="AH109">
        <v>2</v>
      </c>
      <c r="AI109">
        <v>35696475</v>
      </c>
      <c r="AJ109">
        <v>114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ROW(Source!A154)</f>
        <v>154</v>
      </c>
      <c r="B110">
        <v>35696476</v>
      </c>
      <c r="C110">
        <v>35696459</v>
      </c>
      <c r="D110">
        <v>29122725</v>
      </c>
      <c r="E110">
        <v>1</v>
      </c>
      <c r="F110">
        <v>1</v>
      </c>
      <c r="G110">
        <v>1</v>
      </c>
      <c r="H110">
        <v>3</v>
      </c>
      <c r="I110" t="s">
        <v>481</v>
      </c>
      <c r="J110" t="s">
        <v>482</v>
      </c>
      <c r="K110" t="s">
        <v>483</v>
      </c>
      <c r="L110">
        <v>1348</v>
      </c>
      <c r="N110">
        <v>1009</v>
      </c>
      <c r="O110" t="s">
        <v>101</v>
      </c>
      <c r="P110" t="s">
        <v>101</v>
      </c>
      <c r="Q110">
        <v>1000</v>
      </c>
      <c r="X110">
        <v>3.2599999999999999E-3</v>
      </c>
      <c r="Y110">
        <v>15933.15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3.2599999999999999E-3</v>
      </c>
      <c r="AH110">
        <v>2</v>
      </c>
      <c r="AI110">
        <v>35696476</v>
      </c>
      <c r="AJ110">
        <v>115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ROW(Source!A154)</f>
        <v>154</v>
      </c>
      <c r="B111">
        <v>35696477</v>
      </c>
      <c r="C111">
        <v>35696459</v>
      </c>
      <c r="D111">
        <v>29131295</v>
      </c>
      <c r="E111">
        <v>1</v>
      </c>
      <c r="F111">
        <v>1</v>
      </c>
      <c r="G111">
        <v>1</v>
      </c>
      <c r="H111">
        <v>3</v>
      </c>
      <c r="I111" t="s">
        <v>484</v>
      </c>
      <c r="J111" t="s">
        <v>485</v>
      </c>
      <c r="K111" t="s">
        <v>486</v>
      </c>
      <c r="L111">
        <v>1339</v>
      </c>
      <c r="N111">
        <v>1007</v>
      </c>
      <c r="O111" t="s">
        <v>290</v>
      </c>
      <c r="P111" t="s">
        <v>290</v>
      </c>
      <c r="Q111">
        <v>1</v>
      </c>
      <c r="X111">
        <v>0.03</v>
      </c>
      <c r="Y111">
        <v>2499.9899999999998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0.03</v>
      </c>
      <c r="AH111">
        <v>2</v>
      </c>
      <c r="AI111">
        <v>35696477</v>
      </c>
      <c r="AJ111">
        <v>116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ROW(Source!A155)</f>
        <v>155</v>
      </c>
      <c r="B112">
        <v>35696479</v>
      </c>
      <c r="C112">
        <v>35696478</v>
      </c>
      <c r="D112">
        <v>18413230</v>
      </c>
      <c r="E112">
        <v>1</v>
      </c>
      <c r="F112">
        <v>1</v>
      </c>
      <c r="G112">
        <v>1</v>
      </c>
      <c r="H112">
        <v>1</v>
      </c>
      <c r="I112" t="s">
        <v>451</v>
      </c>
      <c r="J112" t="s">
        <v>3</v>
      </c>
      <c r="K112" t="s">
        <v>452</v>
      </c>
      <c r="L112">
        <v>1369</v>
      </c>
      <c r="N112">
        <v>1013</v>
      </c>
      <c r="O112" t="s">
        <v>268</v>
      </c>
      <c r="P112" t="s">
        <v>268</v>
      </c>
      <c r="Q112">
        <v>1</v>
      </c>
      <c r="X112">
        <v>166.47</v>
      </c>
      <c r="Y112">
        <v>0</v>
      </c>
      <c r="Z112">
        <v>0</v>
      </c>
      <c r="AA112">
        <v>0</v>
      </c>
      <c r="AB112">
        <v>299.72000000000003</v>
      </c>
      <c r="AC112">
        <v>0</v>
      </c>
      <c r="AD112">
        <v>1</v>
      </c>
      <c r="AE112">
        <v>1</v>
      </c>
      <c r="AF112" t="s">
        <v>3</v>
      </c>
      <c r="AG112">
        <v>166.47</v>
      </c>
      <c r="AH112">
        <v>2</v>
      </c>
      <c r="AI112">
        <v>35696479</v>
      </c>
      <c r="AJ112">
        <v>117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ROW(Source!A155)</f>
        <v>155</v>
      </c>
      <c r="B113">
        <v>35696480</v>
      </c>
      <c r="C113">
        <v>35696478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86</v>
      </c>
      <c r="J113" t="s">
        <v>3</v>
      </c>
      <c r="K113" t="s">
        <v>269</v>
      </c>
      <c r="L113">
        <v>608254</v>
      </c>
      <c r="N113">
        <v>1013</v>
      </c>
      <c r="O113" t="s">
        <v>270</v>
      </c>
      <c r="P113" t="s">
        <v>270</v>
      </c>
      <c r="Q113">
        <v>1</v>
      </c>
      <c r="X113">
        <v>0.08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3</v>
      </c>
      <c r="AG113">
        <v>0.08</v>
      </c>
      <c r="AH113">
        <v>2</v>
      </c>
      <c r="AI113">
        <v>35696480</v>
      </c>
      <c r="AJ113">
        <v>118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ROW(Source!A155)</f>
        <v>155</v>
      </c>
      <c r="B114">
        <v>35696481</v>
      </c>
      <c r="C114">
        <v>35696478</v>
      </c>
      <c r="D114">
        <v>29172556</v>
      </c>
      <c r="E114">
        <v>1</v>
      </c>
      <c r="F114">
        <v>1</v>
      </c>
      <c r="G114">
        <v>1</v>
      </c>
      <c r="H114">
        <v>2</v>
      </c>
      <c r="I114" t="s">
        <v>293</v>
      </c>
      <c r="J114" t="s">
        <v>294</v>
      </c>
      <c r="K114" t="s">
        <v>295</v>
      </c>
      <c r="L114">
        <v>1368</v>
      </c>
      <c r="N114">
        <v>1011</v>
      </c>
      <c r="O114" t="s">
        <v>274</v>
      </c>
      <c r="P114" t="s">
        <v>274</v>
      </c>
      <c r="Q114">
        <v>1</v>
      </c>
      <c r="X114">
        <v>0.08</v>
      </c>
      <c r="Y114">
        <v>0</v>
      </c>
      <c r="Z114">
        <v>31.26</v>
      </c>
      <c r="AA114">
        <v>13.5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0.08</v>
      </c>
      <c r="AH114">
        <v>2</v>
      </c>
      <c r="AI114">
        <v>35696481</v>
      </c>
      <c r="AJ114">
        <v>119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ROW(Source!A155)</f>
        <v>155</v>
      </c>
      <c r="B115">
        <v>35696482</v>
      </c>
      <c r="C115">
        <v>35696478</v>
      </c>
      <c r="D115">
        <v>29174591</v>
      </c>
      <c r="E115">
        <v>1</v>
      </c>
      <c r="F115">
        <v>1</v>
      </c>
      <c r="G115">
        <v>1</v>
      </c>
      <c r="H115">
        <v>2</v>
      </c>
      <c r="I115" t="s">
        <v>453</v>
      </c>
      <c r="J115" t="s">
        <v>454</v>
      </c>
      <c r="K115" t="s">
        <v>455</v>
      </c>
      <c r="L115">
        <v>1368</v>
      </c>
      <c r="N115">
        <v>1011</v>
      </c>
      <c r="O115" t="s">
        <v>274</v>
      </c>
      <c r="P115" t="s">
        <v>274</v>
      </c>
      <c r="Q115">
        <v>1</v>
      </c>
      <c r="X115">
        <v>0.26</v>
      </c>
      <c r="Y115">
        <v>0</v>
      </c>
      <c r="Z115">
        <v>0.95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0.26</v>
      </c>
      <c r="AH115">
        <v>2</v>
      </c>
      <c r="AI115">
        <v>35696482</v>
      </c>
      <c r="AJ115">
        <v>120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ROW(Source!A155)</f>
        <v>155</v>
      </c>
      <c r="B116">
        <v>35696483</v>
      </c>
      <c r="C116">
        <v>35696478</v>
      </c>
      <c r="D116">
        <v>29174913</v>
      </c>
      <c r="E116">
        <v>1</v>
      </c>
      <c r="F116">
        <v>1</v>
      </c>
      <c r="G116">
        <v>1</v>
      </c>
      <c r="H116">
        <v>2</v>
      </c>
      <c r="I116" t="s">
        <v>278</v>
      </c>
      <c r="J116" t="s">
        <v>279</v>
      </c>
      <c r="K116" t="s">
        <v>280</v>
      </c>
      <c r="L116">
        <v>1368</v>
      </c>
      <c r="N116">
        <v>1011</v>
      </c>
      <c r="O116" t="s">
        <v>274</v>
      </c>
      <c r="P116" t="s">
        <v>274</v>
      </c>
      <c r="Q116">
        <v>1</v>
      </c>
      <c r="X116">
        <v>0.5</v>
      </c>
      <c r="Y116">
        <v>0</v>
      </c>
      <c r="Z116">
        <v>87.17</v>
      </c>
      <c r="AA116">
        <v>11.6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0.5</v>
      </c>
      <c r="AH116">
        <v>2</v>
      </c>
      <c r="AI116">
        <v>35696483</v>
      </c>
      <c r="AJ116">
        <v>121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ROW(Source!A155)</f>
        <v>155</v>
      </c>
      <c r="B117">
        <v>35696484</v>
      </c>
      <c r="C117">
        <v>35696478</v>
      </c>
      <c r="D117">
        <v>29107800</v>
      </c>
      <c r="E117">
        <v>1</v>
      </c>
      <c r="F117">
        <v>1</v>
      </c>
      <c r="G117">
        <v>1</v>
      </c>
      <c r="H117">
        <v>3</v>
      </c>
      <c r="I117" t="s">
        <v>281</v>
      </c>
      <c r="J117" t="s">
        <v>282</v>
      </c>
      <c r="K117" t="s">
        <v>283</v>
      </c>
      <c r="L117">
        <v>1346</v>
      </c>
      <c r="N117">
        <v>1009</v>
      </c>
      <c r="O117" t="s">
        <v>84</v>
      </c>
      <c r="P117" t="s">
        <v>84</v>
      </c>
      <c r="Q117">
        <v>1</v>
      </c>
      <c r="X117">
        <v>0.2</v>
      </c>
      <c r="Y117">
        <v>1.81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0.2</v>
      </c>
      <c r="AH117">
        <v>2</v>
      </c>
      <c r="AI117">
        <v>35696484</v>
      </c>
      <c r="AJ117">
        <v>122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ROW(Source!A155)</f>
        <v>155</v>
      </c>
      <c r="B118">
        <v>35696485</v>
      </c>
      <c r="C118">
        <v>35696478</v>
      </c>
      <c r="D118">
        <v>29109411</v>
      </c>
      <c r="E118">
        <v>1</v>
      </c>
      <c r="F118">
        <v>1</v>
      </c>
      <c r="G118">
        <v>1</v>
      </c>
      <c r="H118">
        <v>3</v>
      </c>
      <c r="I118" t="s">
        <v>475</v>
      </c>
      <c r="J118" t="s">
        <v>476</v>
      </c>
      <c r="K118" t="s">
        <v>477</v>
      </c>
      <c r="L118">
        <v>1346</v>
      </c>
      <c r="N118">
        <v>1009</v>
      </c>
      <c r="O118" t="s">
        <v>84</v>
      </c>
      <c r="P118" t="s">
        <v>84</v>
      </c>
      <c r="Q118">
        <v>1</v>
      </c>
      <c r="X118">
        <v>30</v>
      </c>
      <c r="Y118">
        <v>15.95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30</v>
      </c>
      <c r="AH118">
        <v>2</v>
      </c>
      <c r="AI118">
        <v>35696485</v>
      </c>
      <c r="AJ118">
        <v>123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ROW(Source!A155)</f>
        <v>155</v>
      </c>
      <c r="B119">
        <v>35696486</v>
      </c>
      <c r="C119">
        <v>35696478</v>
      </c>
      <c r="D119">
        <v>29109535</v>
      </c>
      <c r="E119">
        <v>1</v>
      </c>
      <c r="F119">
        <v>1</v>
      </c>
      <c r="G119">
        <v>1</v>
      </c>
      <c r="H119">
        <v>3</v>
      </c>
      <c r="I119" t="s">
        <v>178</v>
      </c>
      <c r="J119" t="s">
        <v>180</v>
      </c>
      <c r="K119" t="s">
        <v>179</v>
      </c>
      <c r="L119">
        <v>1327</v>
      </c>
      <c r="N119">
        <v>1005</v>
      </c>
      <c r="O119" t="s">
        <v>143</v>
      </c>
      <c r="P119" t="s">
        <v>143</v>
      </c>
      <c r="Q119">
        <v>1</v>
      </c>
      <c r="X119">
        <v>105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 t="s">
        <v>3</v>
      </c>
      <c r="AG119">
        <v>105</v>
      </c>
      <c r="AH119">
        <v>2</v>
      </c>
      <c r="AI119">
        <v>35696486</v>
      </c>
      <c r="AJ119">
        <v>124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ROW(Source!A155)</f>
        <v>155</v>
      </c>
      <c r="B120">
        <v>35696487</v>
      </c>
      <c r="C120">
        <v>35696478</v>
      </c>
      <c r="D120">
        <v>29109265</v>
      </c>
      <c r="E120">
        <v>1</v>
      </c>
      <c r="F120">
        <v>1</v>
      </c>
      <c r="G120">
        <v>1</v>
      </c>
      <c r="H120">
        <v>3</v>
      </c>
      <c r="I120" t="s">
        <v>181</v>
      </c>
      <c r="J120" t="s">
        <v>183</v>
      </c>
      <c r="K120" t="s">
        <v>182</v>
      </c>
      <c r="L120">
        <v>1348</v>
      </c>
      <c r="N120">
        <v>1009</v>
      </c>
      <c r="O120" t="s">
        <v>101</v>
      </c>
      <c r="P120" t="s">
        <v>101</v>
      </c>
      <c r="Q120">
        <v>1000</v>
      </c>
      <c r="X120">
        <v>8.8999999999999999E-3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 t="s">
        <v>3</v>
      </c>
      <c r="AG120">
        <v>8.8999999999999999E-3</v>
      </c>
      <c r="AH120">
        <v>2</v>
      </c>
      <c r="AI120">
        <v>35696487</v>
      </c>
      <c r="AJ120">
        <v>125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ROW(Source!A158)</f>
        <v>158</v>
      </c>
      <c r="B121">
        <v>35696491</v>
      </c>
      <c r="C121">
        <v>35696490</v>
      </c>
      <c r="D121">
        <v>18407150</v>
      </c>
      <c r="E121">
        <v>1</v>
      </c>
      <c r="F121">
        <v>1</v>
      </c>
      <c r="G121">
        <v>1</v>
      </c>
      <c r="H121">
        <v>1</v>
      </c>
      <c r="I121" t="s">
        <v>487</v>
      </c>
      <c r="J121" t="s">
        <v>3</v>
      </c>
      <c r="K121" t="s">
        <v>488</v>
      </c>
      <c r="L121">
        <v>1369</v>
      </c>
      <c r="N121">
        <v>1013</v>
      </c>
      <c r="O121" t="s">
        <v>268</v>
      </c>
      <c r="P121" t="s">
        <v>268</v>
      </c>
      <c r="Q121">
        <v>1</v>
      </c>
      <c r="X121">
        <v>21.19</v>
      </c>
      <c r="Y121">
        <v>0</v>
      </c>
      <c r="Z121">
        <v>0</v>
      </c>
      <c r="AA121">
        <v>0</v>
      </c>
      <c r="AB121">
        <v>278.5</v>
      </c>
      <c r="AC121">
        <v>0</v>
      </c>
      <c r="AD121">
        <v>1</v>
      </c>
      <c r="AE121">
        <v>1</v>
      </c>
      <c r="AF121" t="s">
        <v>3</v>
      </c>
      <c r="AG121">
        <v>21.19</v>
      </c>
      <c r="AH121">
        <v>2</v>
      </c>
      <c r="AI121">
        <v>35696491</v>
      </c>
      <c r="AJ121">
        <v>126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ROW(Source!A158)</f>
        <v>158</v>
      </c>
      <c r="B122">
        <v>35696492</v>
      </c>
      <c r="C122">
        <v>35696490</v>
      </c>
      <c r="D122">
        <v>121548</v>
      </c>
      <c r="E122">
        <v>1</v>
      </c>
      <c r="F122">
        <v>1</v>
      </c>
      <c r="G122">
        <v>1</v>
      </c>
      <c r="H122">
        <v>1</v>
      </c>
      <c r="I122" t="s">
        <v>86</v>
      </c>
      <c r="J122" t="s">
        <v>3</v>
      </c>
      <c r="K122" t="s">
        <v>269</v>
      </c>
      <c r="L122">
        <v>608254</v>
      </c>
      <c r="N122">
        <v>1013</v>
      </c>
      <c r="O122" t="s">
        <v>270</v>
      </c>
      <c r="P122" t="s">
        <v>270</v>
      </c>
      <c r="Q122">
        <v>1</v>
      </c>
      <c r="X122">
        <v>0.04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2</v>
      </c>
      <c r="AF122" t="s">
        <v>3</v>
      </c>
      <c r="AG122">
        <v>0.04</v>
      </c>
      <c r="AH122">
        <v>2</v>
      </c>
      <c r="AI122">
        <v>35696492</v>
      </c>
      <c r="AJ122">
        <v>127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ROW(Source!A158)</f>
        <v>158</v>
      </c>
      <c r="B123">
        <v>35696493</v>
      </c>
      <c r="C123">
        <v>35696490</v>
      </c>
      <c r="D123">
        <v>29172556</v>
      </c>
      <c r="E123">
        <v>1</v>
      </c>
      <c r="F123">
        <v>1</v>
      </c>
      <c r="G123">
        <v>1</v>
      </c>
      <c r="H123">
        <v>2</v>
      </c>
      <c r="I123" t="s">
        <v>293</v>
      </c>
      <c r="J123" t="s">
        <v>294</v>
      </c>
      <c r="K123" t="s">
        <v>295</v>
      </c>
      <c r="L123">
        <v>1368</v>
      </c>
      <c r="N123">
        <v>1011</v>
      </c>
      <c r="O123" t="s">
        <v>274</v>
      </c>
      <c r="P123" t="s">
        <v>274</v>
      </c>
      <c r="Q123">
        <v>1</v>
      </c>
      <c r="X123">
        <v>0.04</v>
      </c>
      <c r="Y123">
        <v>0</v>
      </c>
      <c r="Z123">
        <v>31.26</v>
      </c>
      <c r="AA123">
        <v>13.5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0.04</v>
      </c>
      <c r="AH123">
        <v>2</v>
      </c>
      <c r="AI123">
        <v>35696493</v>
      </c>
      <c r="AJ123">
        <v>128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ROW(Source!A158)</f>
        <v>158</v>
      </c>
      <c r="B124">
        <v>35696494</v>
      </c>
      <c r="C124">
        <v>35696490</v>
      </c>
      <c r="D124">
        <v>29174913</v>
      </c>
      <c r="E124">
        <v>1</v>
      </c>
      <c r="F124">
        <v>1</v>
      </c>
      <c r="G124">
        <v>1</v>
      </c>
      <c r="H124">
        <v>2</v>
      </c>
      <c r="I124" t="s">
        <v>278</v>
      </c>
      <c r="J124" t="s">
        <v>279</v>
      </c>
      <c r="K124" t="s">
        <v>280</v>
      </c>
      <c r="L124">
        <v>1368</v>
      </c>
      <c r="N124">
        <v>1011</v>
      </c>
      <c r="O124" t="s">
        <v>274</v>
      </c>
      <c r="P124" t="s">
        <v>274</v>
      </c>
      <c r="Q124">
        <v>1</v>
      </c>
      <c r="X124">
        <v>0.15</v>
      </c>
      <c r="Y124">
        <v>0</v>
      </c>
      <c r="Z124">
        <v>87.17</v>
      </c>
      <c r="AA124">
        <v>11.6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0.15</v>
      </c>
      <c r="AH124">
        <v>2</v>
      </c>
      <c r="AI124">
        <v>35696494</v>
      </c>
      <c r="AJ124">
        <v>129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ROW(Source!A158)</f>
        <v>158</v>
      </c>
      <c r="B125">
        <v>35696495</v>
      </c>
      <c r="C125">
        <v>35696490</v>
      </c>
      <c r="D125">
        <v>29108696</v>
      </c>
      <c r="E125">
        <v>1</v>
      </c>
      <c r="F125">
        <v>1</v>
      </c>
      <c r="G125">
        <v>1</v>
      </c>
      <c r="H125">
        <v>3</v>
      </c>
      <c r="I125" t="s">
        <v>489</v>
      </c>
      <c r="J125" t="s">
        <v>490</v>
      </c>
      <c r="K125" t="s">
        <v>491</v>
      </c>
      <c r="L125">
        <v>1354</v>
      </c>
      <c r="N125">
        <v>1010</v>
      </c>
      <c r="O125" t="s">
        <v>347</v>
      </c>
      <c r="P125" t="s">
        <v>347</v>
      </c>
      <c r="Q125">
        <v>1</v>
      </c>
      <c r="X125">
        <v>56.6</v>
      </c>
      <c r="Y125">
        <v>67.209999999999994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56.6</v>
      </c>
      <c r="AH125">
        <v>2</v>
      </c>
      <c r="AI125">
        <v>35696495</v>
      </c>
      <c r="AJ125">
        <v>130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ROW(Source!A158)</f>
        <v>158</v>
      </c>
      <c r="B126">
        <v>35696496</v>
      </c>
      <c r="C126">
        <v>35696490</v>
      </c>
      <c r="D126">
        <v>29109717</v>
      </c>
      <c r="E126">
        <v>1</v>
      </c>
      <c r="F126">
        <v>1</v>
      </c>
      <c r="G126">
        <v>1</v>
      </c>
      <c r="H126">
        <v>3</v>
      </c>
      <c r="I126" t="s">
        <v>188</v>
      </c>
      <c r="J126" t="s">
        <v>190</v>
      </c>
      <c r="K126" t="s">
        <v>189</v>
      </c>
      <c r="L126">
        <v>1301</v>
      </c>
      <c r="N126">
        <v>1003</v>
      </c>
      <c r="O126" t="s">
        <v>126</v>
      </c>
      <c r="P126" t="s">
        <v>126</v>
      </c>
      <c r="Q126">
        <v>1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 t="s">
        <v>3</v>
      </c>
      <c r="AG126">
        <v>0</v>
      </c>
      <c r="AH126">
        <v>2</v>
      </c>
      <c r="AI126">
        <v>35696496</v>
      </c>
      <c r="AJ126">
        <v>131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ROW(Source!A158)</f>
        <v>158</v>
      </c>
      <c r="B127">
        <v>35696497</v>
      </c>
      <c r="C127">
        <v>35696490</v>
      </c>
      <c r="D127">
        <v>29115197</v>
      </c>
      <c r="E127">
        <v>1</v>
      </c>
      <c r="F127">
        <v>1</v>
      </c>
      <c r="G127">
        <v>1</v>
      </c>
      <c r="H127">
        <v>3</v>
      </c>
      <c r="I127" t="s">
        <v>492</v>
      </c>
      <c r="J127" t="s">
        <v>493</v>
      </c>
      <c r="K127" t="s">
        <v>494</v>
      </c>
      <c r="L127">
        <v>1354</v>
      </c>
      <c r="N127">
        <v>1010</v>
      </c>
      <c r="O127" t="s">
        <v>347</v>
      </c>
      <c r="P127" t="s">
        <v>347</v>
      </c>
      <c r="Q127">
        <v>1</v>
      </c>
      <c r="X127">
        <v>400</v>
      </c>
      <c r="Y127">
        <v>0.5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400</v>
      </c>
      <c r="AH127">
        <v>2</v>
      </c>
      <c r="AI127">
        <v>35696497</v>
      </c>
      <c r="AJ127">
        <v>132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ROW(Source!A160)</f>
        <v>160</v>
      </c>
      <c r="B128">
        <v>34139631</v>
      </c>
      <c r="C128">
        <v>34139630</v>
      </c>
      <c r="D128">
        <v>9431548</v>
      </c>
      <c r="E128">
        <v>1</v>
      </c>
      <c r="F128">
        <v>1</v>
      </c>
      <c r="G128">
        <v>1</v>
      </c>
      <c r="H128">
        <v>1</v>
      </c>
      <c r="I128" t="s">
        <v>495</v>
      </c>
      <c r="J128" t="s">
        <v>3</v>
      </c>
      <c r="K128" t="s">
        <v>496</v>
      </c>
      <c r="L128">
        <v>1369</v>
      </c>
      <c r="N128">
        <v>1013</v>
      </c>
      <c r="O128" t="s">
        <v>268</v>
      </c>
      <c r="P128" t="s">
        <v>268</v>
      </c>
      <c r="Q128">
        <v>1</v>
      </c>
      <c r="X128">
        <v>31.6</v>
      </c>
      <c r="Y128">
        <v>0</v>
      </c>
      <c r="Z128">
        <v>0</v>
      </c>
      <c r="AA128">
        <v>0</v>
      </c>
      <c r="AB128">
        <v>288.31</v>
      </c>
      <c r="AC128">
        <v>0</v>
      </c>
      <c r="AD128">
        <v>1</v>
      </c>
      <c r="AE128">
        <v>1</v>
      </c>
      <c r="AF128" t="s">
        <v>3</v>
      </c>
      <c r="AG128">
        <v>31.6</v>
      </c>
      <c r="AH128">
        <v>2</v>
      </c>
      <c r="AI128">
        <v>34139631</v>
      </c>
      <c r="AJ128">
        <v>133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ROW(Source!A160)</f>
        <v>160</v>
      </c>
      <c r="B129">
        <v>34139632</v>
      </c>
      <c r="C129">
        <v>34139630</v>
      </c>
      <c r="D129">
        <v>121548</v>
      </c>
      <c r="E129">
        <v>1</v>
      </c>
      <c r="F129">
        <v>1</v>
      </c>
      <c r="G129">
        <v>1</v>
      </c>
      <c r="H129">
        <v>1</v>
      </c>
      <c r="I129" t="s">
        <v>86</v>
      </c>
      <c r="J129" t="s">
        <v>3</v>
      </c>
      <c r="K129" t="s">
        <v>269</v>
      </c>
      <c r="L129">
        <v>608254</v>
      </c>
      <c r="N129">
        <v>1013</v>
      </c>
      <c r="O129" t="s">
        <v>270</v>
      </c>
      <c r="P129" t="s">
        <v>270</v>
      </c>
      <c r="Q129">
        <v>1</v>
      </c>
      <c r="X129">
        <v>0.03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2</v>
      </c>
      <c r="AF129" t="s">
        <v>3</v>
      </c>
      <c r="AG129">
        <v>0.03</v>
      </c>
      <c r="AH129">
        <v>2</v>
      </c>
      <c r="AI129">
        <v>34139632</v>
      </c>
      <c r="AJ129">
        <v>134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ROW(Source!A160)</f>
        <v>160</v>
      </c>
      <c r="B130">
        <v>34139633</v>
      </c>
      <c r="C130">
        <v>34139630</v>
      </c>
      <c r="D130">
        <v>24316470</v>
      </c>
      <c r="E130">
        <v>1</v>
      </c>
      <c r="F130">
        <v>1</v>
      </c>
      <c r="G130">
        <v>1</v>
      </c>
      <c r="H130">
        <v>2</v>
      </c>
      <c r="I130" t="s">
        <v>423</v>
      </c>
      <c r="J130" t="s">
        <v>424</v>
      </c>
      <c r="K130" t="s">
        <v>425</v>
      </c>
      <c r="L130">
        <v>1368</v>
      </c>
      <c r="N130">
        <v>1011</v>
      </c>
      <c r="O130" t="s">
        <v>274</v>
      </c>
      <c r="P130" t="s">
        <v>274</v>
      </c>
      <c r="Q130">
        <v>1</v>
      </c>
      <c r="X130">
        <v>0.03</v>
      </c>
      <c r="Y130">
        <v>0</v>
      </c>
      <c r="Z130">
        <v>134.65</v>
      </c>
      <c r="AA130">
        <v>13.5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0.03</v>
      </c>
      <c r="AH130">
        <v>2</v>
      </c>
      <c r="AI130">
        <v>34139633</v>
      </c>
      <c r="AJ130">
        <v>135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ROW(Source!A160)</f>
        <v>160</v>
      </c>
      <c r="B131">
        <v>34139634</v>
      </c>
      <c r="C131">
        <v>34139630</v>
      </c>
      <c r="D131">
        <v>24281578</v>
      </c>
      <c r="E131">
        <v>1</v>
      </c>
      <c r="F131">
        <v>1</v>
      </c>
      <c r="G131">
        <v>1</v>
      </c>
      <c r="H131">
        <v>2</v>
      </c>
      <c r="I131" t="s">
        <v>307</v>
      </c>
      <c r="J131" t="s">
        <v>497</v>
      </c>
      <c r="K131" t="s">
        <v>309</v>
      </c>
      <c r="L131">
        <v>1368</v>
      </c>
      <c r="N131">
        <v>1011</v>
      </c>
      <c r="O131" t="s">
        <v>274</v>
      </c>
      <c r="P131" t="s">
        <v>274</v>
      </c>
      <c r="Q131">
        <v>1</v>
      </c>
      <c r="X131">
        <v>4.0999999999999996</v>
      </c>
      <c r="Y131">
        <v>0</v>
      </c>
      <c r="Z131">
        <v>1.95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4.0999999999999996</v>
      </c>
      <c r="AH131">
        <v>2</v>
      </c>
      <c r="AI131">
        <v>34139634</v>
      </c>
      <c r="AJ131">
        <v>136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ROW(Source!A160)</f>
        <v>160</v>
      </c>
      <c r="B132">
        <v>34139635</v>
      </c>
      <c r="C132">
        <v>34139630</v>
      </c>
      <c r="D132">
        <v>24262102</v>
      </c>
      <c r="E132">
        <v>1</v>
      </c>
      <c r="F132">
        <v>1</v>
      </c>
      <c r="G132">
        <v>1</v>
      </c>
      <c r="H132">
        <v>2</v>
      </c>
      <c r="I132" t="s">
        <v>278</v>
      </c>
      <c r="J132" t="s">
        <v>426</v>
      </c>
      <c r="K132" t="s">
        <v>280</v>
      </c>
      <c r="L132">
        <v>1368</v>
      </c>
      <c r="N132">
        <v>1011</v>
      </c>
      <c r="O132" t="s">
        <v>274</v>
      </c>
      <c r="P132" t="s">
        <v>274</v>
      </c>
      <c r="Q132">
        <v>1</v>
      </c>
      <c r="X132">
        <v>0.02</v>
      </c>
      <c r="Y132">
        <v>0</v>
      </c>
      <c r="Z132">
        <v>87.17</v>
      </c>
      <c r="AA132">
        <v>11.6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0.02</v>
      </c>
      <c r="AH132">
        <v>2</v>
      </c>
      <c r="AI132">
        <v>34139635</v>
      </c>
      <c r="AJ132">
        <v>137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ROW(Source!A160)</f>
        <v>160</v>
      </c>
      <c r="B133">
        <v>34139636</v>
      </c>
      <c r="C133">
        <v>34139630</v>
      </c>
      <c r="D133">
        <v>24572074</v>
      </c>
      <c r="E133">
        <v>1</v>
      </c>
      <c r="F133">
        <v>1</v>
      </c>
      <c r="G133">
        <v>1</v>
      </c>
      <c r="H133">
        <v>3</v>
      </c>
      <c r="I133" t="s">
        <v>498</v>
      </c>
      <c r="J133" t="s">
        <v>499</v>
      </c>
      <c r="K133" t="s">
        <v>500</v>
      </c>
      <c r="L133">
        <v>1348</v>
      </c>
      <c r="N133">
        <v>1009</v>
      </c>
      <c r="O133" t="s">
        <v>101</v>
      </c>
      <c r="P133" t="s">
        <v>101</v>
      </c>
      <c r="Q133">
        <v>1000</v>
      </c>
      <c r="X133">
        <v>1.6000000000000001E-4</v>
      </c>
      <c r="Y133">
        <v>29800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1.6000000000000001E-4</v>
      </c>
      <c r="AH133">
        <v>2</v>
      </c>
      <c r="AI133">
        <v>34139636</v>
      </c>
      <c r="AJ133">
        <v>138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ROW(Source!A160)</f>
        <v>160</v>
      </c>
      <c r="B134">
        <v>34139637</v>
      </c>
      <c r="C134">
        <v>34139630</v>
      </c>
      <c r="D134">
        <v>24386722</v>
      </c>
      <c r="E134">
        <v>1</v>
      </c>
      <c r="F134">
        <v>1</v>
      </c>
      <c r="G134">
        <v>1</v>
      </c>
      <c r="H134">
        <v>3</v>
      </c>
      <c r="I134" t="s">
        <v>356</v>
      </c>
      <c r="J134" t="s">
        <v>501</v>
      </c>
      <c r="K134" t="s">
        <v>358</v>
      </c>
      <c r="L134">
        <v>1348</v>
      </c>
      <c r="N134">
        <v>1009</v>
      </c>
      <c r="O134" t="s">
        <v>101</v>
      </c>
      <c r="P134" t="s">
        <v>101</v>
      </c>
      <c r="Q134">
        <v>1000</v>
      </c>
      <c r="X134">
        <v>2.9999999999999997E-4</v>
      </c>
      <c r="Y134">
        <v>12430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2.9999999999999997E-4</v>
      </c>
      <c r="AH134">
        <v>2</v>
      </c>
      <c r="AI134">
        <v>34139637</v>
      </c>
      <c r="AJ134">
        <v>139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ROW(Source!A160)</f>
        <v>160</v>
      </c>
      <c r="B135">
        <v>34139638</v>
      </c>
      <c r="C135">
        <v>34139630</v>
      </c>
      <c r="D135">
        <v>24552971</v>
      </c>
      <c r="E135">
        <v>1</v>
      </c>
      <c r="F135">
        <v>1</v>
      </c>
      <c r="G135">
        <v>1</v>
      </c>
      <c r="H135">
        <v>3</v>
      </c>
      <c r="I135" t="s">
        <v>439</v>
      </c>
      <c r="J135" t="s">
        <v>440</v>
      </c>
      <c r="K135" t="s">
        <v>441</v>
      </c>
      <c r="L135">
        <v>1346</v>
      </c>
      <c r="N135">
        <v>1009</v>
      </c>
      <c r="O135" t="s">
        <v>84</v>
      </c>
      <c r="P135" t="s">
        <v>84</v>
      </c>
      <c r="Q135">
        <v>1</v>
      </c>
      <c r="X135">
        <v>0.11</v>
      </c>
      <c r="Y135">
        <v>30.4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0.11</v>
      </c>
      <c r="AH135">
        <v>2</v>
      </c>
      <c r="AI135">
        <v>34139638</v>
      </c>
      <c r="AJ135">
        <v>140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ROW(Source!A160)</f>
        <v>160</v>
      </c>
      <c r="B136">
        <v>34139639</v>
      </c>
      <c r="C136">
        <v>34139630</v>
      </c>
      <c r="D136">
        <v>24358570</v>
      </c>
      <c r="E136">
        <v>1</v>
      </c>
      <c r="F136">
        <v>1</v>
      </c>
      <c r="G136">
        <v>1</v>
      </c>
      <c r="H136">
        <v>3</v>
      </c>
      <c r="I136" t="s">
        <v>442</v>
      </c>
      <c r="J136" t="s">
        <v>443</v>
      </c>
      <c r="K136" t="s">
        <v>444</v>
      </c>
      <c r="L136">
        <v>1355</v>
      </c>
      <c r="N136">
        <v>1010</v>
      </c>
      <c r="O136" t="s">
        <v>193</v>
      </c>
      <c r="P136" t="s">
        <v>193</v>
      </c>
      <c r="Q136">
        <v>100</v>
      </c>
      <c r="X136">
        <v>1.02</v>
      </c>
      <c r="Y136">
        <v>86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1.02</v>
      </c>
      <c r="AH136">
        <v>2</v>
      </c>
      <c r="AI136">
        <v>34139639</v>
      </c>
      <c r="AJ136">
        <v>141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ROW(Source!A160)</f>
        <v>160</v>
      </c>
      <c r="B137">
        <v>34139640</v>
      </c>
      <c r="C137">
        <v>34139630</v>
      </c>
      <c r="D137">
        <v>24519631</v>
      </c>
      <c r="E137">
        <v>1</v>
      </c>
      <c r="F137">
        <v>1</v>
      </c>
      <c r="G137">
        <v>1</v>
      </c>
      <c r="H137">
        <v>3</v>
      </c>
      <c r="I137" t="s">
        <v>362</v>
      </c>
      <c r="J137" t="s">
        <v>448</v>
      </c>
      <c r="K137" t="s">
        <v>364</v>
      </c>
      <c r="L137">
        <v>1374</v>
      </c>
      <c r="N137">
        <v>1013</v>
      </c>
      <c r="O137" t="s">
        <v>365</v>
      </c>
      <c r="P137" t="s">
        <v>365</v>
      </c>
      <c r="Q137">
        <v>1</v>
      </c>
      <c r="X137">
        <v>6.27</v>
      </c>
      <c r="Y137">
        <v>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6.27</v>
      </c>
      <c r="AH137">
        <v>2</v>
      </c>
      <c r="AI137">
        <v>34139640</v>
      </c>
      <c r="AJ137">
        <v>142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dcterms:created xsi:type="dcterms:W3CDTF">2021-03-31T09:24:57Z</dcterms:created>
  <dcterms:modified xsi:type="dcterms:W3CDTF">2021-03-31T09:55:33Z</dcterms:modified>
</cp:coreProperties>
</file>