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Детский сад\Семицветик\2021\1. Январь\Стрелец\"/>
    </mc:Choice>
  </mc:AlternateContent>
  <xr:revisionPtr revIDLastSave="0" documentId="8_{D75DB31A-FD2F-4ADD-901E-2E41DA22B043}" xr6:coauthVersionLast="46" xr6:coauthVersionMax="46" xr10:uidLastSave="{00000000-0000-0000-0000-000000000000}"/>
  <bookViews>
    <workbookView xWindow="285" yWindow="0" windowWidth="20205" windowHeight="11070" xr2:uid="{00000000-000D-0000-FFFF-FFFF00000000}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МО'!$35:$35</definedName>
    <definedName name="_xlnm.Print_Area" localSheetId="0">'Смета 12 гр. ТЕР МО'!$A$1:$L$202</definedName>
  </definedNames>
  <calcPr calcId="181029"/>
</workbook>
</file>

<file path=xl/calcChain.xml><?xml version="1.0" encoding="utf-8"?>
<calcChain xmlns="http://schemas.openxmlformats.org/spreadsheetml/2006/main">
  <c r="B18" i="5" l="1"/>
  <c r="B14" i="5"/>
  <c r="I200" i="5" l="1"/>
  <c r="I197" i="5"/>
  <c r="D200" i="5"/>
  <c r="D197" i="5"/>
  <c r="C194" i="5"/>
  <c r="C193" i="5"/>
  <c r="C192" i="5"/>
  <c r="Y187" i="5"/>
  <c r="X187" i="5"/>
  <c r="W187" i="5"/>
  <c r="G186" i="5"/>
  <c r="E186" i="5"/>
  <c r="J185" i="5"/>
  <c r="E185" i="5"/>
  <c r="J184" i="5"/>
  <c r="E184" i="5"/>
  <c r="J183" i="5"/>
  <c r="G183" i="5"/>
  <c r="F183" i="5"/>
  <c r="F182" i="5"/>
  <c r="D182" i="5"/>
  <c r="I182" i="5"/>
  <c r="C182" i="5"/>
  <c r="A182" i="5"/>
  <c r="Z181" i="5"/>
  <c r="Y181" i="5"/>
  <c r="X181" i="5"/>
  <c r="J180" i="5"/>
  <c r="G180" i="5"/>
  <c r="F180" i="5"/>
  <c r="D180" i="5"/>
  <c r="I180" i="5"/>
  <c r="A180" i="5"/>
  <c r="Z179" i="5"/>
  <c r="Y179" i="5"/>
  <c r="W179" i="5"/>
  <c r="J178" i="5"/>
  <c r="G178" i="5"/>
  <c r="F178" i="5"/>
  <c r="D178" i="5"/>
  <c r="I178" i="5"/>
  <c r="C178" i="5"/>
  <c r="A178" i="5"/>
  <c r="Z177" i="5"/>
  <c r="Y177" i="5"/>
  <c r="W177" i="5"/>
  <c r="J176" i="5"/>
  <c r="G176" i="5"/>
  <c r="F176" i="5"/>
  <c r="D176" i="5"/>
  <c r="I176" i="5"/>
  <c r="C176" i="5"/>
  <c r="A176" i="5"/>
  <c r="Z175" i="5"/>
  <c r="Y175" i="5"/>
  <c r="W175" i="5"/>
  <c r="G174" i="5"/>
  <c r="E174" i="5"/>
  <c r="J173" i="5"/>
  <c r="E173" i="5"/>
  <c r="J172" i="5"/>
  <c r="E172" i="5"/>
  <c r="J171" i="5"/>
  <c r="G171" i="5"/>
  <c r="F171" i="5"/>
  <c r="J170" i="5"/>
  <c r="G170" i="5"/>
  <c r="F170" i="5"/>
  <c r="J169" i="5"/>
  <c r="G169" i="5"/>
  <c r="F169" i="5"/>
  <c r="J168" i="5"/>
  <c r="G168" i="5"/>
  <c r="F168" i="5"/>
  <c r="F167" i="5"/>
  <c r="D167" i="5"/>
  <c r="I167" i="5"/>
  <c r="C167" i="5"/>
  <c r="A167" i="5"/>
  <c r="Z166" i="5"/>
  <c r="Y166" i="5"/>
  <c r="W166" i="5"/>
  <c r="G165" i="5"/>
  <c r="E165" i="5"/>
  <c r="J164" i="5"/>
  <c r="E164" i="5"/>
  <c r="J163" i="5"/>
  <c r="E163" i="5"/>
  <c r="J162" i="5"/>
  <c r="G162" i="5"/>
  <c r="F162" i="5"/>
  <c r="J161" i="5"/>
  <c r="G161" i="5"/>
  <c r="F161" i="5"/>
  <c r="J160" i="5"/>
  <c r="G160" i="5"/>
  <c r="F160" i="5"/>
  <c r="J159" i="5"/>
  <c r="G159" i="5"/>
  <c r="F159" i="5"/>
  <c r="F158" i="5"/>
  <c r="D158" i="5"/>
  <c r="I158" i="5"/>
  <c r="C158" i="5"/>
  <c r="A158" i="5"/>
  <c r="Z157" i="5"/>
  <c r="Y157" i="5"/>
  <c r="W157" i="5"/>
  <c r="J156" i="5"/>
  <c r="G156" i="5"/>
  <c r="F156" i="5"/>
  <c r="D156" i="5"/>
  <c r="I156" i="5"/>
  <c r="C156" i="5"/>
  <c r="A156" i="5"/>
  <c r="Z155" i="5"/>
  <c r="Y155" i="5"/>
  <c r="W155" i="5"/>
  <c r="J154" i="5"/>
  <c r="G154" i="5"/>
  <c r="F154" i="5"/>
  <c r="D154" i="5"/>
  <c r="I154" i="5"/>
  <c r="C154" i="5"/>
  <c r="A154" i="5"/>
  <c r="Z153" i="5"/>
  <c r="Y153" i="5"/>
  <c r="W153" i="5"/>
  <c r="G152" i="5"/>
  <c r="E152" i="5"/>
  <c r="J151" i="5"/>
  <c r="E151" i="5"/>
  <c r="J150" i="5"/>
  <c r="E150" i="5"/>
  <c r="J149" i="5"/>
  <c r="G149" i="5"/>
  <c r="F149" i="5"/>
  <c r="J148" i="5"/>
  <c r="G148" i="5"/>
  <c r="F148" i="5"/>
  <c r="J147" i="5"/>
  <c r="G147" i="5"/>
  <c r="F147" i="5"/>
  <c r="J146" i="5"/>
  <c r="G146" i="5"/>
  <c r="F146" i="5"/>
  <c r="F145" i="5"/>
  <c r="D145" i="5"/>
  <c r="I145" i="5"/>
  <c r="C145" i="5"/>
  <c r="A145" i="5"/>
  <c r="Z144" i="5"/>
  <c r="Y144" i="5"/>
  <c r="X144" i="5"/>
  <c r="J143" i="5"/>
  <c r="G143" i="5"/>
  <c r="F143" i="5"/>
  <c r="D143" i="5"/>
  <c r="I143" i="5"/>
  <c r="C143" i="5"/>
  <c r="A143" i="5"/>
  <c r="Z142" i="5"/>
  <c r="Y142" i="5"/>
  <c r="X142" i="5"/>
  <c r="J141" i="5"/>
  <c r="G141" i="5"/>
  <c r="F141" i="5"/>
  <c r="D141" i="5"/>
  <c r="I141" i="5"/>
  <c r="C141" i="5"/>
  <c r="A141" i="5"/>
  <c r="Z140" i="5"/>
  <c r="Y140" i="5"/>
  <c r="W140" i="5"/>
  <c r="G139" i="5"/>
  <c r="E139" i="5"/>
  <c r="J138" i="5"/>
  <c r="E138" i="5"/>
  <c r="J137" i="5"/>
  <c r="E137" i="5"/>
  <c r="J136" i="5"/>
  <c r="G136" i="5"/>
  <c r="F136" i="5"/>
  <c r="J135" i="5"/>
  <c r="G135" i="5"/>
  <c r="F135" i="5"/>
  <c r="J134" i="5"/>
  <c r="G134" i="5"/>
  <c r="F134" i="5"/>
  <c r="J133" i="5"/>
  <c r="G133" i="5"/>
  <c r="F133" i="5"/>
  <c r="F132" i="5"/>
  <c r="D132" i="5"/>
  <c r="I132" i="5"/>
  <c r="C132" i="5"/>
  <c r="A132" i="5"/>
  <c r="Z131" i="5"/>
  <c r="Y131" i="5"/>
  <c r="W131" i="5"/>
  <c r="J130" i="5"/>
  <c r="G130" i="5"/>
  <c r="F130" i="5"/>
  <c r="D130" i="5"/>
  <c r="I130" i="5"/>
  <c r="C130" i="5"/>
  <c r="A130" i="5"/>
  <c r="Z129" i="5"/>
  <c r="X129" i="5"/>
  <c r="W129" i="5"/>
  <c r="J128" i="5"/>
  <c r="G128" i="5"/>
  <c r="F128" i="5"/>
  <c r="D128" i="5"/>
  <c r="I128" i="5"/>
  <c r="C128" i="5"/>
  <c r="A128" i="5"/>
  <c r="Z127" i="5"/>
  <c r="Y127" i="5"/>
  <c r="W127" i="5"/>
  <c r="G126" i="5"/>
  <c r="E126" i="5"/>
  <c r="J125" i="5"/>
  <c r="E125" i="5"/>
  <c r="J124" i="5"/>
  <c r="E124" i="5"/>
  <c r="J123" i="5"/>
  <c r="G123" i="5"/>
  <c r="F123" i="5"/>
  <c r="J122" i="5"/>
  <c r="G122" i="5"/>
  <c r="F122" i="5"/>
  <c r="J121" i="5"/>
  <c r="G121" i="5"/>
  <c r="F121" i="5"/>
  <c r="F120" i="5"/>
  <c r="D120" i="5"/>
  <c r="I120" i="5"/>
  <c r="C120" i="5"/>
  <c r="A120" i="5"/>
  <c r="Z119" i="5"/>
  <c r="X119" i="5"/>
  <c r="W119" i="5"/>
  <c r="J118" i="5"/>
  <c r="G118" i="5"/>
  <c r="F118" i="5"/>
  <c r="D118" i="5"/>
  <c r="I118" i="5"/>
  <c r="A118" i="5"/>
  <c r="Z117" i="5"/>
  <c r="X117" i="5"/>
  <c r="W117" i="5"/>
  <c r="J116" i="5"/>
  <c r="G116" i="5"/>
  <c r="F116" i="5"/>
  <c r="D116" i="5"/>
  <c r="I116" i="5"/>
  <c r="A116" i="5"/>
  <c r="Z115" i="5"/>
  <c r="Y115" i="5"/>
  <c r="W115" i="5"/>
  <c r="G114" i="5"/>
  <c r="E114" i="5"/>
  <c r="J113" i="5"/>
  <c r="E113" i="5"/>
  <c r="J112" i="5"/>
  <c r="E112" i="5"/>
  <c r="J111" i="5"/>
  <c r="G111" i="5"/>
  <c r="F111" i="5"/>
  <c r="J110" i="5"/>
  <c r="G110" i="5"/>
  <c r="F110" i="5"/>
  <c r="F109" i="5"/>
  <c r="D109" i="5"/>
  <c r="I109" i="5"/>
  <c r="C109" i="5"/>
  <c r="A109" i="5"/>
  <c r="Z108" i="5"/>
  <c r="X108" i="5"/>
  <c r="W108" i="5"/>
  <c r="J107" i="5"/>
  <c r="G107" i="5"/>
  <c r="F107" i="5"/>
  <c r="D107" i="5"/>
  <c r="I107" i="5"/>
  <c r="A107" i="5"/>
  <c r="Z106" i="5"/>
  <c r="Y106" i="5"/>
  <c r="W106" i="5"/>
  <c r="G105" i="5"/>
  <c r="E105" i="5"/>
  <c r="J104" i="5"/>
  <c r="E104" i="5"/>
  <c r="J103" i="5"/>
  <c r="E103" i="5"/>
  <c r="J102" i="5"/>
  <c r="G102" i="5"/>
  <c r="F102" i="5"/>
  <c r="J101" i="5"/>
  <c r="G101" i="5"/>
  <c r="F101" i="5"/>
  <c r="J100" i="5"/>
  <c r="G100" i="5"/>
  <c r="F100" i="5"/>
  <c r="J99" i="5"/>
  <c r="G99" i="5"/>
  <c r="F99" i="5"/>
  <c r="F98" i="5"/>
  <c r="D98" i="5"/>
  <c r="I98" i="5"/>
  <c r="C98" i="5"/>
  <c r="A98" i="5"/>
  <c r="Z97" i="5"/>
  <c r="X97" i="5"/>
  <c r="W97" i="5"/>
  <c r="J96" i="5"/>
  <c r="G96" i="5"/>
  <c r="F96" i="5"/>
  <c r="D96" i="5"/>
  <c r="I96" i="5"/>
  <c r="A96" i="5"/>
  <c r="Z95" i="5"/>
  <c r="Y95" i="5"/>
  <c r="W95" i="5"/>
  <c r="G94" i="5"/>
  <c r="E94" i="5"/>
  <c r="J93" i="5"/>
  <c r="E93" i="5"/>
  <c r="J92" i="5"/>
  <c r="E92" i="5"/>
  <c r="J91" i="5"/>
  <c r="G91" i="5"/>
  <c r="F91" i="5"/>
  <c r="J90" i="5"/>
  <c r="G90" i="5"/>
  <c r="F90" i="5"/>
  <c r="J89" i="5"/>
  <c r="G89" i="5"/>
  <c r="F89" i="5"/>
  <c r="F88" i="5"/>
  <c r="D88" i="5"/>
  <c r="I88" i="5"/>
  <c r="C88" i="5"/>
  <c r="A88" i="5"/>
  <c r="Z87" i="5"/>
  <c r="Y87" i="5"/>
  <c r="W87" i="5"/>
  <c r="J86" i="5"/>
  <c r="G86" i="5"/>
  <c r="F86" i="5"/>
  <c r="D86" i="5"/>
  <c r="I86" i="5"/>
  <c r="C86" i="5"/>
  <c r="A86" i="5"/>
  <c r="Z85" i="5"/>
  <c r="Y85" i="5"/>
  <c r="W85" i="5"/>
  <c r="G84" i="5"/>
  <c r="E84" i="5"/>
  <c r="J83" i="5"/>
  <c r="E83" i="5"/>
  <c r="J82" i="5"/>
  <c r="E82" i="5"/>
  <c r="J81" i="5"/>
  <c r="G81" i="5"/>
  <c r="F81" i="5"/>
  <c r="J80" i="5"/>
  <c r="G80" i="5"/>
  <c r="F80" i="5"/>
  <c r="F79" i="5"/>
  <c r="D79" i="5"/>
  <c r="I79" i="5"/>
  <c r="C79" i="5"/>
  <c r="A79" i="5"/>
  <c r="Z78" i="5"/>
  <c r="Y78" i="5"/>
  <c r="W78" i="5"/>
  <c r="J77" i="5"/>
  <c r="G77" i="5"/>
  <c r="F77" i="5"/>
  <c r="D77" i="5"/>
  <c r="I77" i="5"/>
  <c r="C77" i="5"/>
  <c r="A77" i="5"/>
  <c r="Z76" i="5"/>
  <c r="Y76" i="5"/>
  <c r="W76" i="5"/>
  <c r="G75" i="5"/>
  <c r="E75" i="5"/>
  <c r="J74" i="5"/>
  <c r="E74" i="5"/>
  <c r="J73" i="5"/>
  <c r="E73" i="5"/>
  <c r="J72" i="5"/>
  <c r="G72" i="5"/>
  <c r="F72" i="5"/>
  <c r="J71" i="5"/>
  <c r="G71" i="5"/>
  <c r="F71" i="5"/>
  <c r="J70" i="5"/>
  <c r="G70" i="5"/>
  <c r="F70" i="5"/>
  <c r="J69" i="5"/>
  <c r="G69" i="5"/>
  <c r="F69" i="5"/>
  <c r="F68" i="5"/>
  <c r="D68" i="5"/>
  <c r="I68" i="5"/>
  <c r="C68" i="5"/>
  <c r="A68" i="5"/>
  <c r="Z67" i="5"/>
  <c r="Y67" i="5"/>
  <c r="W67" i="5"/>
  <c r="J66" i="5"/>
  <c r="G66" i="5"/>
  <c r="F66" i="5"/>
  <c r="D66" i="5"/>
  <c r="I66" i="5"/>
  <c r="C66" i="5"/>
  <c r="A66" i="5"/>
  <c r="Z65" i="5"/>
  <c r="Y65" i="5"/>
  <c r="W65" i="5"/>
  <c r="G64" i="5"/>
  <c r="E64" i="5"/>
  <c r="J63" i="5"/>
  <c r="E63" i="5"/>
  <c r="J62" i="5"/>
  <c r="E62" i="5"/>
  <c r="J61" i="5"/>
  <c r="G61" i="5"/>
  <c r="F61" i="5"/>
  <c r="J60" i="5"/>
  <c r="G60" i="5"/>
  <c r="F60" i="5"/>
  <c r="J59" i="5"/>
  <c r="G59" i="5"/>
  <c r="F59" i="5"/>
  <c r="J58" i="5"/>
  <c r="G58" i="5"/>
  <c r="F58" i="5"/>
  <c r="F57" i="5"/>
  <c r="D57" i="5"/>
  <c r="I57" i="5"/>
  <c r="C57" i="5"/>
  <c r="A57" i="5"/>
  <c r="Z56" i="5"/>
  <c r="Y56" i="5"/>
  <c r="W56" i="5"/>
  <c r="J55" i="5"/>
  <c r="G55" i="5"/>
  <c r="F55" i="5"/>
  <c r="D55" i="5"/>
  <c r="I55" i="5"/>
  <c r="C55" i="5"/>
  <c r="A55" i="5"/>
  <c r="Z54" i="5"/>
  <c r="Y54" i="5"/>
  <c r="W54" i="5"/>
  <c r="G53" i="5"/>
  <c r="E53" i="5"/>
  <c r="J52" i="5"/>
  <c r="E52" i="5"/>
  <c r="J51" i="5"/>
  <c r="E51" i="5"/>
  <c r="J50" i="5"/>
  <c r="G50" i="5"/>
  <c r="F50" i="5"/>
  <c r="J49" i="5"/>
  <c r="G49" i="5"/>
  <c r="F49" i="5"/>
  <c r="J48" i="5"/>
  <c r="G48" i="5"/>
  <c r="F48" i="5"/>
  <c r="F47" i="5"/>
  <c r="D47" i="5"/>
  <c r="I47" i="5"/>
  <c r="C47" i="5"/>
  <c r="A47" i="5"/>
  <c r="Z46" i="5"/>
  <c r="X46" i="5"/>
  <c r="W46" i="5"/>
  <c r="J45" i="5"/>
  <c r="G45" i="5"/>
  <c r="F45" i="5"/>
  <c r="D45" i="5"/>
  <c r="I45" i="5"/>
  <c r="A45" i="5"/>
  <c r="Z44" i="5"/>
  <c r="Y44" i="5"/>
  <c r="W44" i="5"/>
  <c r="G43" i="5"/>
  <c r="E43" i="5"/>
  <c r="J42" i="5"/>
  <c r="E42" i="5"/>
  <c r="J41" i="5"/>
  <c r="E41" i="5"/>
  <c r="J40" i="5"/>
  <c r="G40" i="5"/>
  <c r="F40" i="5"/>
  <c r="J39" i="5"/>
  <c r="G39" i="5"/>
  <c r="F39" i="5"/>
  <c r="F38" i="5"/>
  <c r="D38" i="5"/>
  <c r="I38" i="5"/>
  <c r="C38" i="5"/>
  <c r="A38" i="5"/>
  <c r="A37" i="5"/>
  <c r="A21" i="5"/>
  <c r="H6" i="5"/>
  <c r="B6" i="5"/>
  <c r="A1" i="5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" i="3"/>
  <c r="CY1" i="3"/>
  <c r="CZ1" i="3"/>
  <c r="DB1" i="3" s="1"/>
  <c r="DA1" i="3"/>
  <c r="DC1" i="3"/>
  <c r="A2" i="3"/>
  <c r="CY2" i="3"/>
  <c r="CZ2" i="3"/>
  <c r="DB2" i="3" s="1"/>
  <c r="DA2" i="3"/>
  <c r="DC2" i="3"/>
  <c r="A3" i="3"/>
  <c r="CY3" i="3"/>
  <c r="CZ3" i="3"/>
  <c r="DB3" i="3"/>
  <c r="DA3" i="3"/>
  <c r="DC3" i="3"/>
  <c r="A4" i="3"/>
  <c r="CY4" i="3"/>
  <c r="CZ4" i="3"/>
  <c r="DB4" i="3" s="1"/>
  <c r="DA4" i="3"/>
  <c r="DC4" i="3"/>
  <c r="A5" i="3"/>
  <c r="CY5" i="3"/>
  <c r="CZ5" i="3"/>
  <c r="DB5" i="3"/>
  <c r="DA5" i="3"/>
  <c r="DC5" i="3"/>
  <c r="A6" i="3"/>
  <c r="CY6" i="3"/>
  <c r="CZ6" i="3"/>
  <c r="DB6" i="3" s="1"/>
  <c r="DA6" i="3"/>
  <c r="DC6" i="3"/>
  <c r="A7" i="3"/>
  <c r="CY7" i="3"/>
  <c r="CZ7" i="3"/>
  <c r="DB7" i="3" s="1"/>
  <c r="DA7" i="3"/>
  <c r="DC7" i="3"/>
  <c r="A8" i="3"/>
  <c r="CY8" i="3"/>
  <c r="CZ8" i="3"/>
  <c r="DB8" i="3" s="1"/>
  <c r="DA8" i="3"/>
  <c r="DC8" i="3"/>
  <c r="A9" i="3"/>
  <c r="CY9" i="3"/>
  <c r="CZ9" i="3"/>
  <c r="DB9" i="3" s="1"/>
  <c r="DA9" i="3"/>
  <c r="DC9" i="3"/>
  <c r="A10" i="3"/>
  <c r="CY10" i="3"/>
  <c r="CZ10" i="3"/>
  <c r="DB10" i="3" s="1"/>
  <c r="DA10" i="3"/>
  <c r="DC10" i="3"/>
  <c r="A11" i="3"/>
  <c r="CY11" i="3"/>
  <c r="CZ11" i="3"/>
  <c r="DB11" i="3" s="1"/>
  <c r="DA11" i="3"/>
  <c r="DC11" i="3"/>
  <c r="A12" i="3"/>
  <c r="CY12" i="3"/>
  <c r="CZ12" i="3"/>
  <c r="DB12" i="3" s="1"/>
  <c r="DA12" i="3"/>
  <c r="DC12" i="3"/>
  <c r="A13" i="3"/>
  <c r="CY13" i="3"/>
  <c r="CZ13" i="3"/>
  <c r="DB13" i="3" s="1"/>
  <c r="DA13" i="3"/>
  <c r="DC13" i="3"/>
  <c r="A14" i="3"/>
  <c r="CY14" i="3"/>
  <c r="CZ14" i="3"/>
  <c r="DB14" i="3" s="1"/>
  <c r="DA14" i="3"/>
  <c r="DC14" i="3"/>
  <c r="A15" i="3"/>
  <c r="CY15" i="3"/>
  <c r="CZ15" i="3"/>
  <c r="DB15" i="3" s="1"/>
  <c r="DA15" i="3"/>
  <c r="DC15" i="3"/>
  <c r="A16" i="3"/>
  <c r="CY16" i="3"/>
  <c r="CZ16" i="3"/>
  <c r="DB16" i="3" s="1"/>
  <c r="DA16" i="3"/>
  <c r="DC16" i="3"/>
  <c r="A17" i="3"/>
  <c r="CY17" i="3"/>
  <c r="CZ17" i="3"/>
  <c r="DB17" i="3" s="1"/>
  <c r="DA17" i="3"/>
  <c r="DC17" i="3"/>
  <c r="A18" i="3"/>
  <c r="CY18" i="3"/>
  <c r="CZ18" i="3"/>
  <c r="DA18" i="3"/>
  <c r="DB18" i="3"/>
  <c r="DC18" i="3"/>
  <c r="A19" i="3"/>
  <c r="CY19" i="3"/>
  <c r="CZ19" i="3"/>
  <c r="DB19" i="3" s="1"/>
  <c r="DA19" i="3"/>
  <c r="DC19" i="3"/>
  <c r="A20" i="3"/>
  <c r="CY20" i="3"/>
  <c r="CZ20" i="3"/>
  <c r="DA20" i="3"/>
  <c r="DB20" i="3"/>
  <c r="DC20" i="3"/>
  <c r="A21" i="3"/>
  <c r="CY21" i="3"/>
  <c r="CZ21" i="3"/>
  <c r="DB21" i="3" s="1"/>
  <c r="DA21" i="3"/>
  <c r="DC21" i="3"/>
  <c r="A22" i="3"/>
  <c r="CY22" i="3"/>
  <c r="CZ22" i="3"/>
  <c r="DB22" i="3"/>
  <c r="DA22" i="3"/>
  <c r="DC22" i="3"/>
  <c r="A23" i="3"/>
  <c r="CY23" i="3"/>
  <c r="CZ23" i="3"/>
  <c r="DB23" i="3" s="1"/>
  <c r="DA23" i="3"/>
  <c r="DC23" i="3"/>
  <c r="A24" i="3"/>
  <c r="CY24" i="3"/>
  <c r="CZ24" i="3"/>
  <c r="DA24" i="3"/>
  <c r="DB24" i="3"/>
  <c r="DC24" i="3"/>
  <c r="A25" i="3"/>
  <c r="CY25" i="3"/>
  <c r="CZ25" i="3"/>
  <c r="DB25" i="3" s="1"/>
  <c r="DA25" i="3"/>
  <c r="DC25" i="3"/>
  <c r="A26" i="3"/>
  <c r="CY26" i="3"/>
  <c r="CZ26" i="3"/>
  <c r="DB26" i="3" s="1"/>
  <c r="DA26" i="3"/>
  <c r="DC26" i="3"/>
  <c r="A27" i="3"/>
  <c r="CY27" i="3"/>
  <c r="CZ27" i="3"/>
  <c r="DB27" i="3" s="1"/>
  <c r="DA27" i="3"/>
  <c r="DC27" i="3"/>
  <c r="A28" i="3"/>
  <c r="CY28" i="3"/>
  <c r="CZ28" i="3"/>
  <c r="DA28" i="3"/>
  <c r="DB28" i="3"/>
  <c r="DC28" i="3"/>
  <c r="A29" i="3"/>
  <c r="CY29" i="3"/>
  <c r="CZ29" i="3"/>
  <c r="DB29" i="3" s="1"/>
  <c r="DA29" i="3"/>
  <c r="DC29" i="3"/>
  <c r="A30" i="3"/>
  <c r="CY30" i="3"/>
  <c r="CZ30" i="3"/>
  <c r="DB30" i="3" s="1"/>
  <c r="DA30" i="3"/>
  <c r="DC30" i="3"/>
  <c r="A31" i="3"/>
  <c r="CY31" i="3"/>
  <c r="CZ31" i="3"/>
  <c r="DB31" i="3" s="1"/>
  <c r="DA31" i="3"/>
  <c r="DC31" i="3"/>
  <c r="A32" i="3"/>
  <c r="CY32" i="3"/>
  <c r="CZ32" i="3"/>
  <c r="DB32" i="3" s="1"/>
  <c r="DA32" i="3"/>
  <c r="DC32" i="3"/>
  <c r="A33" i="3"/>
  <c r="CY33" i="3"/>
  <c r="CZ33" i="3"/>
  <c r="DB33" i="3" s="1"/>
  <c r="DA33" i="3"/>
  <c r="DC33" i="3"/>
  <c r="A34" i="3"/>
  <c r="CY34" i="3"/>
  <c r="CZ34" i="3"/>
  <c r="DB34" i="3"/>
  <c r="DA34" i="3"/>
  <c r="DC34" i="3"/>
  <c r="A35" i="3"/>
  <c r="CY35" i="3"/>
  <c r="CZ35" i="3"/>
  <c r="DB35" i="3" s="1"/>
  <c r="DA35" i="3"/>
  <c r="DC35" i="3"/>
  <c r="A36" i="3"/>
  <c r="CY36" i="3"/>
  <c r="CZ36" i="3"/>
  <c r="DB36" i="3" s="1"/>
  <c r="DA36" i="3"/>
  <c r="DC36" i="3"/>
  <c r="A37" i="3"/>
  <c r="CY37" i="3"/>
  <c r="CZ37" i="3"/>
  <c r="DB37" i="3" s="1"/>
  <c r="DA37" i="3"/>
  <c r="DC37" i="3"/>
  <c r="A38" i="3"/>
  <c r="CY38" i="3"/>
  <c r="CZ38" i="3"/>
  <c r="DB38" i="3"/>
  <c r="DA38" i="3"/>
  <c r="DC38" i="3"/>
  <c r="A39" i="3"/>
  <c r="CY39" i="3"/>
  <c r="CZ39" i="3"/>
  <c r="DB39" i="3" s="1"/>
  <c r="DA39" i="3"/>
  <c r="DC39" i="3"/>
  <c r="A40" i="3"/>
  <c r="CY40" i="3"/>
  <c r="CZ40" i="3"/>
  <c r="DB40" i="3" s="1"/>
  <c r="DA40" i="3"/>
  <c r="DC40" i="3"/>
  <c r="A41" i="3"/>
  <c r="CY41" i="3"/>
  <c r="CZ41" i="3"/>
  <c r="DB41" i="3" s="1"/>
  <c r="DA41" i="3"/>
  <c r="DC41" i="3"/>
  <c r="A42" i="3"/>
  <c r="CY42" i="3"/>
  <c r="CZ42" i="3"/>
  <c r="DB42" i="3" s="1"/>
  <c r="DA42" i="3"/>
  <c r="DC42" i="3"/>
  <c r="A43" i="3"/>
  <c r="CY43" i="3"/>
  <c r="CZ43" i="3"/>
  <c r="DB43" i="3" s="1"/>
  <c r="DA43" i="3"/>
  <c r="DC43" i="3"/>
  <c r="A44" i="3"/>
  <c r="CY44" i="3"/>
  <c r="CZ44" i="3"/>
  <c r="DB44" i="3" s="1"/>
  <c r="DA44" i="3"/>
  <c r="DC44" i="3"/>
  <c r="A45" i="3"/>
  <c r="CY45" i="3"/>
  <c r="CZ45" i="3"/>
  <c r="DB45" i="3" s="1"/>
  <c r="DA45" i="3"/>
  <c r="DC45" i="3"/>
  <c r="A46" i="3"/>
  <c r="CY46" i="3"/>
  <c r="CZ46" i="3"/>
  <c r="DB46" i="3" s="1"/>
  <c r="DA46" i="3"/>
  <c r="DC46" i="3"/>
  <c r="A47" i="3"/>
  <c r="CY47" i="3"/>
  <c r="CZ47" i="3"/>
  <c r="DB47" i="3" s="1"/>
  <c r="DA47" i="3"/>
  <c r="DC47" i="3"/>
  <c r="A48" i="3"/>
  <c r="CY48" i="3"/>
  <c r="CZ48" i="3"/>
  <c r="DB48" i="3" s="1"/>
  <c r="DA48" i="3"/>
  <c r="DC48" i="3"/>
  <c r="A49" i="3"/>
  <c r="CY49" i="3"/>
  <c r="CZ49" i="3"/>
  <c r="DB49" i="3" s="1"/>
  <c r="DA49" i="3"/>
  <c r="DC49" i="3"/>
  <c r="A50" i="3"/>
  <c r="CY50" i="3"/>
  <c r="CZ50" i="3"/>
  <c r="DB50" i="3" s="1"/>
  <c r="DA50" i="3"/>
  <c r="DC50" i="3"/>
  <c r="A51" i="3"/>
  <c r="CY51" i="3"/>
  <c r="CZ51" i="3"/>
  <c r="DB51" i="3" s="1"/>
  <c r="DA51" i="3"/>
  <c r="DC51" i="3"/>
  <c r="A52" i="3"/>
  <c r="CY52" i="3"/>
  <c r="CZ52" i="3"/>
  <c r="DB52" i="3" s="1"/>
  <c r="DA52" i="3"/>
  <c r="DC52" i="3"/>
  <c r="A53" i="3"/>
  <c r="CY53" i="3"/>
  <c r="CZ53" i="3"/>
  <c r="DB53" i="3"/>
  <c r="DA53" i="3"/>
  <c r="DC53" i="3"/>
  <c r="A54" i="3"/>
  <c r="CY54" i="3"/>
  <c r="CZ54" i="3"/>
  <c r="DB54" i="3" s="1"/>
  <c r="DA54" i="3"/>
  <c r="DC54" i="3"/>
  <c r="A55" i="3"/>
  <c r="CY55" i="3"/>
  <c r="CZ55" i="3"/>
  <c r="DB55" i="3" s="1"/>
  <c r="DA55" i="3"/>
  <c r="DC55" i="3"/>
  <c r="A56" i="3"/>
  <c r="CY56" i="3"/>
  <c r="CZ56" i="3"/>
  <c r="DB56" i="3" s="1"/>
  <c r="DA56" i="3"/>
  <c r="DC56" i="3"/>
  <c r="A57" i="3"/>
  <c r="CY57" i="3"/>
  <c r="CZ57" i="3"/>
  <c r="DB57" i="3" s="1"/>
  <c r="DA57" i="3"/>
  <c r="DC57" i="3"/>
  <c r="A58" i="3"/>
  <c r="CY58" i="3"/>
  <c r="CZ58" i="3"/>
  <c r="DB58" i="3"/>
  <c r="DA58" i="3"/>
  <c r="DC58" i="3"/>
  <c r="A59" i="3"/>
  <c r="CY59" i="3"/>
  <c r="CZ59" i="3"/>
  <c r="DB59" i="3" s="1"/>
  <c r="DA59" i="3"/>
  <c r="DC59" i="3"/>
  <c r="A60" i="3"/>
  <c r="CY60" i="3"/>
  <c r="CZ60" i="3"/>
  <c r="DB60" i="3" s="1"/>
  <c r="DA60" i="3"/>
  <c r="DC60" i="3"/>
  <c r="A61" i="3"/>
  <c r="CY61" i="3"/>
  <c r="CZ61" i="3"/>
  <c r="DB61" i="3" s="1"/>
  <c r="DA61" i="3"/>
  <c r="DC61" i="3"/>
  <c r="A62" i="3"/>
  <c r="CY62" i="3"/>
  <c r="CZ62" i="3"/>
  <c r="DB62" i="3" s="1"/>
  <c r="DA62" i="3"/>
  <c r="DC62" i="3"/>
  <c r="A63" i="3"/>
  <c r="CY63" i="3"/>
  <c r="CZ63" i="3"/>
  <c r="DB63" i="3" s="1"/>
  <c r="DA63" i="3"/>
  <c r="DC63" i="3"/>
  <c r="A64" i="3"/>
  <c r="CY64" i="3"/>
  <c r="CZ64" i="3"/>
  <c r="DB64" i="3" s="1"/>
  <c r="DA64" i="3"/>
  <c r="DC64" i="3"/>
  <c r="A65" i="3"/>
  <c r="CY65" i="3"/>
  <c r="CZ65" i="3"/>
  <c r="DB65" i="3" s="1"/>
  <c r="DA65" i="3"/>
  <c r="DC65" i="3"/>
  <c r="A66" i="3"/>
  <c r="CY66" i="3"/>
  <c r="CZ66" i="3"/>
  <c r="DB66" i="3" s="1"/>
  <c r="DA66" i="3"/>
  <c r="DC66" i="3"/>
  <c r="A67" i="3"/>
  <c r="CY67" i="3"/>
  <c r="CZ67" i="3"/>
  <c r="DB67" i="3" s="1"/>
  <c r="DA67" i="3"/>
  <c r="DC67" i="3"/>
  <c r="A68" i="3"/>
  <c r="CY68" i="3"/>
  <c r="CZ68" i="3"/>
  <c r="DA68" i="3"/>
  <c r="DB68" i="3"/>
  <c r="DC68" i="3"/>
  <c r="A69" i="3"/>
  <c r="CY69" i="3"/>
  <c r="CZ69" i="3"/>
  <c r="DB69" i="3"/>
  <c r="DA69" i="3"/>
  <c r="DC69" i="3"/>
  <c r="A70" i="3"/>
  <c r="CY70" i="3"/>
  <c r="CZ70" i="3"/>
  <c r="DB70" i="3"/>
  <c r="DA70" i="3"/>
  <c r="DC70" i="3"/>
  <c r="A71" i="3"/>
  <c r="CY71" i="3"/>
  <c r="CZ71" i="3"/>
  <c r="DB71" i="3" s="1"/>
  <c r="DA71" i="3"/>
  <c r="DC71" i="3"/>
  <c r="A72" i="3"/>
  <c r="CY72" i="3"/>
  <c r="CZ72" i="3"/>
  <c r="DB72" i="3" s="1"/>
  <c r="DA72" i="3"/>
  <c r="DC72" i="3"/>
  <c r="A73" i="3"/>
  <c r="CY73" i="3"/>
  <c r="CZ73" i="3"/>
  <c r="DB73" i="3" s="1"/>
  <c r="DA73" i="3"/>
  <c r="DC73" i="3"/>
  <c r="A74" i="3"/>
  <c r="CY74" i="3"/>
  <c r="CZ74" i="3"/>
  <c r="DB74" i="3"/>
  <c r="DA74" i="3"/>
  <c r="DC74" i="3"/>
  <c r="A75" i="3"/>
  <c r="CY75" i="3"/>
  <c r="CZ75" i="3"/>
  <c r="DB75" i="3" s="1"/>
  <c r="DA75" i="3"/>
  <c r="DC75" i="3"/>
  <c r="A76" i="3"/>
  <c r="CY76" i="3"/>
  <c r="CZ76" i="3"/>
  <c r="DA76" i="3"/>
  <c r="DB76" i="3"/>
  <c r="DC76" i="3"/>
  <c r="A77" i="3"/>
  <c r="CY77" i="3"/>
  <c r="CZ77" i="3"/>
  <c r="DB77" i="3" s="1"/>
  <c r="DA77" i="3"/>
  <c r="DC77" i="3"/>
  <c r="A78" i="3"/>
  <c r="CY78" i="3"/>
  <c r="CZ78" i="3"/>
  <c r="DB78" i="3" s="1"/>
  <c r="DA78" i="3"/>
  <c r="DC78" i="3"/>
  <c r="A79" i="3"/>
  <c r="CY79" i="3"/>
  <c r="CZ79" i="3"/>
  <c r="DB79" i="3" s="1"/>
  <c r="DA79" i="3"/>
  <c r="DC79" i="3"/>
  <c r="A80" i="3"/>
  <c r="CY80" i="3"/>
  <c r="CZ80" i="3"/>
  <c r="DA80" i="3"/>
  <c r="DB80" i="3"/>
  <c r="DC80" i="3"/>
  <c r="A81" i="3"/>
  <c r="CY81" i="3"/>
  <c r="CZ81" i="3"/>
  <c r="DB81" i="3" s="1"/>
  <c r="DA81" i="3"/>
  <c r="DC81" i="3"/>
  <c r="A82" i="3"/>
  <c r="CY82" i="3"/>
  <c r="CZ82" i="3"/>
  <c r="DB82" i="3" s="1"/>
  <c r="DA82" i="3"/>
  <c r="DC82" i="3"/>
  <c r="A83" i="3"/>
  <c r="CY83" i="3"/>
  <c r="CZ83" i="3"/>
  <c r="DB83" i="3" s="1"/>
  <c r="DA83" i="3"/>
  <c r="DC83" i="3"/>
  <c r="A84" i="3"/>
  <c r="CY84" i="3"/>
  <c r="CZ84" i="3"/>
  <c r="DB84" i="3" s="1"/>
  <c r="DA84" i="3"/>
  <c r="DC84" i="3"/>
  <c r="A85" i="3"/>
  <c r="CY85" i="3"/>
  <c r="CZ85" i="3"/>
  <c r="DB85" i="3" s="1"/>
  <c r="DA85" i="3"/>
  <c r="DC85" i="3"/>
  <c r="A86" i="3"/>
  <c r="CY86" i="3"/>
  <c r="CZ86" i="3"/>
  <c r="DB86" i="3"/>
  <c r="DA86" i="3"/>
  <c r="DC86" i="3"/>
  <c r="A87" i="3"/>
  <c r="CY87" i="3"/>
  <c r="CZ87" i="3"/>
  <c r="DB87" i="3" s="1"/>
  <c r="DA87" i="3"/>
  <c r="DC87" i="3"/>
  <c r="A88" i="3"/>
  <c r="CY88" i="3"/>
  <c r="CZ88" i="3"/>
  <c r="DA88" i="3"/>
  <c r="DB88" i="3"/>
  <c r="DC88" i="3"/>
  <c r="A89" i="3"/>
  <c r="CY89" i="3"/>
  <c r="CZ89" i="3"/>
  <c r="DB89" i="3" s="1"/>
  <c r="DA89" i="3"/>
  <c r="DC89" i="3"/>
  <c r="A90" i="3"/>
  <c r="CY90" i="3"/>
  <c r="CZ90" i="3"/>
  <c r="DB90" i="3" s="1"/>
  <c r="DA90" i="3"/>
  <c r="DC90" i="3"/>
  <c r="A91" i="3"/>
  <c r="CY91" i="3"/>
  <c r="CZ91" i="3"/>
  <c r="DB91" i="3" s="1"/>
  <c r="DA91" i="3"/>
  <c r="DC91" i="3"/>
  <c r="A92" i="3"/>
  <c r="CY92" i="3"/>
  <c r="CZ92" i="3"/>
  <c r="DB92" i="3" s="1"/>
  <c r="DA92" i="3"/>
  <c r="DC92" i="3"/>
  <c r="A93" i="3"/>
  <c r="CY93" i="3"/>
  <c r="CZ93" i="3"/>
  <c r="DB93" i="3" s="1"/>
  <c r="DA93" i="3"/>
  <c r="DC93" i="3"/>
  <c r="A94" i="3"/>
  <c r="CY94" i="3"/>
  <c r="CZ94" i="3"/>
  <c r="DB94" i="3" s="1"/>
  <c r="DA94" i="3"/>
  <c r="DC94" i="3"/>
  <c r="A95" i="3"/>
  <c r="CY95" i="3"/>
  <c r="CZ95" i="3"/>
  <c r="DB95" i="3" s="1"/>
  <c r="DA95" i="3"/>
  <c r="DC95" i="3"/>
  <c r="A96" i="3"/>
  <c r="CY96" i="3"/>
  <c r="CZ96" i="3"/>
  <c r="DB96" i="3" s="1"/>
  <c r="DA96" i="3"/>
  <c r="DC96" i="3"/>
  <c r="A97" i="3"/>
  <c r="CY97" i="3"/>
  <c r="CZ97" i="3"/>
  <c r="DB97" i="3" s="1"/>
  <c r="DA97" i="3"/>
  <c r="DC97" i="3"/>
  <c r="A98" i="3"/>
  <c r="CY98" i="3"/>
  <c r="CZ98" i="3"/>
  <c r="DB98" i="3"/>
  <c r="DA98" i="3"/>
  <c r="DC98" i="3"/>
  <c r="A99" i="3"/>
  <c r="CY99" i="3"/>
  <c r="CZ99" i="3"/>
  <c r="DB99" i="3" s="1"/>
  <c r="DA99" i="3"/>
  <c r="DC99" i="3"/>
  <c r="A100" i="3"/>
  <c r="CY100" i="3"/>
  <c r="CZ100" i="3"/>
  <c r="DA100" i="3"/>
  <c r="DB100" i="3"/>
  <c r="DC100" i="3"/>
  <c r="A101" i="3"/>
  <c r="CY101" i="3"/>
  <c r="CZ101" i="3"/>
  <c r="DB101" i="3" s="1"/>
  <c r="DA101" i="3"/>
  <c r="DC101" i="3"/>
  <c r="A102" i="3"/>
  <c r="CY102" i="3"/>
  <c r="CZ102" i="3"/>
  <c r="DB102" i="3" s="1"/>
  <c r="DA102" i="3"/>
  <c r="DC102" i="3"/>
  <c r="A103" i="3"/>
  <c r="CY103" i="3"/>
  <c r="CZ103" i="3"/>
  <c r="DB103" i="3" s="1"/>
  <c r="DA103" i="3"/>
  <c r="DC103" i="3"/>
  <c r="A104" i="3"/>
  <c r="CY104" i="3"/>
  <c r="CZ104" i="3"/>
  <c r="DB104" i="3" s="1"/>
  <c r="DA104" i="3"/>
  <c r="DC104" i="3"/>
  <c r="A105" i="3"/>
  <c r="CY105" i="3"/>
  <c r="CZ105" i="3"/>
  <c r="DB105" i="3" s="1"/>
  <c r="DA105" i="3"/>
  <c r="DC105" i="3"/>
  <c r="A106" i="3"/>
  <c r="CY106" i="3"/>
  <c r="CZ106" i="3"/>
  <c r="DB106" i="3" s="1"/>
  <c r="DA106" i="3"/>
  <c r="DC106" i="3"/>
  <c r="A107" i="3"/>
  <c r="CY107" i="3"/>
  <c r="CZ107" i="3"/>
  <c r="DB107" i="3" s="1"/>
  <c r="DA107" i="3"/>
  <c r="DC107" i="3"/>
  <c r="A108" i="3"/>
  <c r="CY108" i="3"/>
  <c r="CZ108" i="3"/>
  <c r="DA108" i="3"/>
  <c r="DB108" i="3"/>
  <c r="DC108" i="3"/>
  <c r="A109" i="3"/>
  <c r="CY109" i="3"/>
  <c r="CZ109" i="3"/>
  <c r="DB109" i="3" s="1"/>
  <c r="DA109" i="3"/>
  <c r="DC109" i="3"/>
  <c r="A110" i="3"/>
  <c r="CY110" i="3"/>
  <c r="CZ110" i="3"/>
  <c r="DB110" i="3" s="1"/>
  <c r="DA110" i="3"/>
  <c r="DC110" i="3"/>
  <c r="A111" i="3"/>
  <c r="CY111" i="3"/>
  <c r="CZ111" i="3"/>
  <c r="DB111" i="3" s="1"/>
  <c r="DA111" i="3"/>
  <c r="DC111" i="3"/>
  <c r="A112" i="3"/>
  <c r="CY112" i="3"/>
  <c r="CZ112" i="3"/>
  <c r="DB112" i="3" s="1"/>
  <c r="DA112" i="3"/>
  <c r="DC112" i="3"/>
  <c r="A113" i="3"/>
  <c r="CY113" i="3"/>
  <c r="CZ113" i="3"/>
  <c r="DB113" i="3" s="1"/>
  <c r="DA113" i="3"/>
  <c r="DC113" i="3"/>
  <c r="A114" i="3"/>
  <c r="CY114" i="3"/>
  <c r="CZ114" i="3"/>
  <c r="DB114" i="3" s="1"/>
  <c r="DA114" i="3"/>
  <c r="DC114" i="3"/>
  <c r="A115" i="3"/>
  <c r="CY115" i="3"/>
  <c r="CZ115" i="3"/>
  <c r="DB115" i="3" s="1"/>
  <c r="DA115" i="3"/>
  <c r="DC115" i="3"/>
  <c r="A116" i="3"/>
  <c r="CY116" i="3"/>
  <c r="CZ116" i="3"/>
  <c r="DB116" i="3" s="1"/>
  <c r="DA116" i="3"/>
  <c r="DC116" i="3"/>
  <c r="A117" i="3"/>
  <c r="CY117" i="3"/>
  <c r="CZ117" i="3"/>
  <c r="DB117" i="3" s="1"/>
  <c r="DA117" i="3"/>
  <c r="DC117" i="3"/>
  <c r="A118" i="3"/>
  <c r="CY118" i="3"/>
  <c r="CZ118" i="3"/>
  <c r="DB118" i="3" s="1"/>
  <c r="DA118" i="3"/>
  <c r="DC118" i="3"/>
  <c r="A119" i="3"/>
  <c r="CY119" i="3"/>
  <c r="CZ119" i="3"/>
  <c r="DB119" i="3" s="1"/>
  <c r="DA119" i="3"/>
  <c r="DC119" i="3"/>
  <c r="A120" i="3"/>
  <c r="CY120" i="3"/>
  <c r="CZ120" i="3"/>
  <c r="DA120" i="3"/>
  <c r="DB120" i="3"/>
  <c r="DC120" i="3"/>
  <c r="A121" i="3"/>
  <c r="CY121" i="3"/>
  <c r="CZ121" i="3"/>
  <c r="DB121" i="3" s="1"/>
  <c r="DA121" i="3"/>
  <c r="DC121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5" i="1"/>
  <c r="D25" i="1"/>
  <c r="I25" i="1"/>
  <c r="CX6" i="3" s="1"/>
  <c r="AC25" i="1"/>
  <c r="AE25" i="1"/>
  <c r="CS25" i="1" s="1"/>
  <c r="AF25" i="1"/>
  <c r="AG25" i="1"/>
  <c r="AH25" i="1"/>
  <c r="CV25" i="1" s="1"/>
  <c r="AI25" i="1"/>
  <c r="CW25" i="1" s="1"/>
  <c r="AJ25" i="1"/>
  <c r="CX25" i="1" s="1"/>
  <c r="CU25" i="1"/>
  <c r="T25" i="1" s="1"/>
  <c r="FR25" i="1"/>
  <c r="GL25" i="1"/>
  <c r="GN25" i="1"/>
  <c r="GP25" i="1"/>
  <c r="GV25" i="1"/>
  <c r="HC25" i="1" s="1"/>
  <c r="I26" i="1"/>
  <c r="E45" i="5" s="1"/>
  <c r="AC26" i="1"/>
  <c r="CQ26" i="1" s="1"/>
  <c r="AE26" i="1"/>
  <c r="AD26" i="1" s="1"/>
  <c r="CR26" i="1" s="1"/>
  <c r="AF26" i="1"/>
  <c r="AG26" i="1"/>
  <c r="CU26" i="1" s="1"/>
  <c r="T26" i="1" s="1"/>
  <c r="AH26" i="1"/>
  <c r="CV26" i="1" s="1"/>
  <c r="AI26" i="1"/>
  <c r="CW26" i="1" s="1"/>
  <c r="AJ26" i="1"/>
  <c r="CX26" i="1" s="1"/>
  <c r="W26" i="1" s="1"/>
  <c r="CY26" i="1"/>
  <c r="X26" i="1" s="1"/>
  <c r="T45" i="5" s="1"/>
  <c r="CZ26" i="1"/>
  <c r="Y26" i="1" s="1"/>
  <c r="V45" i="5" s="1"/>
  <c r="GL26" i="1"/>
  <c r="GN26" i="1"/>
  <c r="GO26" i="1"/>
  <c r="GP26" i="1"/>
  <c r="GV26" i="1"/>
  <c r="HC26" i="1" s="1"/>
  <c r="C27" i="1"/>
  <c r="D27" i="1"/>
  <c r="I27" i="1"/>
  <c r="E47" i="5" s="1"/>
  <c r="AC27" i="1"/>
  <c r="AE27" i="1"/>
  <c r="CS27" i="1" s="1"/>
  <c r="AF27" i="1"/>
  <c r="H48" i="5" s="1"/>
  <c r="AG27" i="1"/>
  <c r="CU27" i="1" s="1"/>
  <c r="T27" i="1" s="1"/>
  <c r="AH27" i="1"/>
  <c r="CV27" i="1" s="1"/>
  <c r="AI27" i="1"/>
  <c r="CW27" i="1"/>
  <c r="V27" i="1" s="1"/>
  <c r="AJ27" i="1"/>
  <c r="CX27" i="1" s="1"/>
  <c r="W27" i="1" s="1"/>
  <c r="FR27" i="1"/>
  <c r="GL27" i="1"/>
  <c r="GN27" i="1"/>
  <c r="GP27" i="1"/>
  <c r="GV27" i="1"/>
  <c r="HC27" i="1" s="1"/>
  <c r="I28" i="1"/>
  <c r="E55" i="5" s="1"/>
  <c r="AC28" i="1"/>
  <c r="H55" i="5" s="1"/>
  <c r="AE28" i="1"/>
  <c r="CS28" i="1" s="1"/>
  <c r="AF28" i="1"/>
  <c r="AG28" i="1"/>
  <c r="AH28" i="1"/>
  <c r="CV28" i="1" s="1"/>
  <c r="AI28" i="1"/>
  <c r="CW28" i="1" s="1"/>
  <c r="AJ28" i="1"/>
  <c r="CX28" i="1" s="1"/>
  <c r="CU28" i="1"/>
  <c r="T28" i="1" s="1"/>
  <c r="FR28" i="1"/>
  <c r="GL28" i="1"/>
  <c r="GN28" i="1"/>
  <c r="GP28" i="1"/>
  <c r="GV28" i="1"/>
  <c r="HC28" i="1" s="1"/>
  <c r="C29" i="1"/>
  <c r="D29" i="1"/>
  <c r="I29" i="1"/>
  <c r="E57" i="5" s="1"/>
  <c r="AC29" i="1"/>
  <c r="AE29" i="1"/>
  <c r="AF29" i="1"/>
  <c r="CT29" i="1" s="1"/>
  <c r="S29" i="1" s="1"/>
  <c r="K58" i="5" s="1"/>
  <c r="AG29" i="1"/>
  <c r="CU29" i="1" s="1"/>
  <c r="T29" i="1" s="1"/>
  <c r="AH29" i="1"/>
  <c r="AI29" i="1"/>
  <c r="AJ29" i="1"/>
  <c r="CX29" i="1" s="1"/>
  <c r="W29" i="1" s="1"/>
  <c r="CV29" i="1"/>
  <c r="U29" i="1" s="1"/>
  <c r="CW29" i="1"/>
  <c r="FR29" i="1"/>
  <c r="GL29" i="1"/>
  <c r="GN29" i="1"/>
  <c r="GP29" i="1"/>
  <c r="GV29" i="1"/>
  <c r="HC29" i="1" s="1"/>
  <c r="I30" i="1"/>
  <c r="E66" i="5" s="1"/>
  <c r="AC30" i="1"/>
  <c r="AE30" i="1"/>
  <c r="AD30" i="1" s="1"/>
  <c r="CR30" i="1" s="1"/>
  <c r="Q30" i="1" s="1"/>
  <c r="AF30" i="1"/>
  <c r="AG30" i="1"/>
  <c r="AH30" i="1"/>
  <c r="AI30" i="1"/>
  <c r="CW30" i="1" s="1"/>
  <c r="V30" i="1" s="1"/>
  <c r="AJ30" i="1"/>
  <c r="CX30" i="1" s="1"/>
  <c r="W30" i="1" s="1"/>
  <c r="CU30" i="1"/>
  <c r="CV30" i="1"/>
  <c r="U30" i="1" s="1"/>
  <c r="L67" i="5" s="1"/>
  <c r="Q67" i="5" s="1"/>
  <c r="FR30" i="1"/>
  <c r="GL30" i="1"/>
  <c r="GN30" i="1"/>
  <c r="GP30" i="1"/>
  <c r="GV30" i="1"/>
  <c r="HC30" i="1" s="1"/>
  <c r="GX30" i="1" s="1"/>
  <c r="C31" i="1"/>
  <c r="D31" i="1"/>
  <c r="I31" i="1"/>
  <c r="AC31" i="1"/>
  <c r="CQ31" i="1" s="1"/>
  <c r="AE31" i="1"/>
  <c r="AD31" i="1" s="1"/>
  <c r="AF31" i="1"/>
  <c r="CT31" i="1" s="1"/>
  <c r="AG31" i="1"/>
  <c r="AH31" i="1"/>
  <c r="CV31" i="1" s="1"/>
  <c r="AI31" i="1"/>
  <c r="CW31" i="1" s="1"/>
  <c r="AJ31" i="1"/>
  <c r="CX31" i="1" s="1"/>
  <c r="CU31" i="1"/>
  <c r="FR31" i="1"/>
  <c r="GL31" i="1"/>
  <c r="GN31" i="1"/>
  <c r="GP31" i="1"/>
  <c r="GV31" i="1"/>
  <c r="HC31" i="1" s="1"/>
  <c r="I32" i="1"/>
  <c r="E77" i="5" s="1"/>
  <c r="AC32" i="1"/>
  <c r="AE32" i="1"/>
  <c r="CS32" i="1" s="1"/>
  <c r="R32" i="1" s="1"/>
  <c r="AF32" i="1"/>
  <c r="AG32" i="1"/>
  <c r="CU32" i="1" s="1"/>
  <c r="T32" i="1" s="1"/>
  <c r="AH32" i="1"/>
  <c r="CV32" i="1" s="1"/>
  <c r="AI32" i="1"/>
  <c r="CW32" i="1" s="1"/>
  <c r="V32" i="1" s="1"/>
  <c r="AJ32" i="1"/>
  <c r="CX32" i="1" s="1"/>
  <c r="W32" i="1" s="1"/>
  <c r="FR32" i="1"/>
  <c r="GL32" i="1"/>
  <c r="GN32" i="1"/>
  <c r="GP32" i="1"/>
  <c r="GV32" i="1"/>
  <c r="HC32" i="1" s="1"/>
  <c r="GX32" i="1" s="1"/>
  <c r="C33" i="1"/>
  <c r="D33" i="1"/>
  <c r="I33" i="1"/>
  <c r="AC33" i="1"/>
  <c r="AE33" i="1"/>
  <c r="CS33" i="1" s="1"/>
  <c r="AF33" i="1"/>
  <c r="CT33" i="1"/>
  <c r="S33" i="1" s="1"/>
  <c r="K80" i="5" s="1"/>
  <c r="AG33" i="1"/>
  <c r="CU33" i="1" s="1"/>
  <c r="T33" i="1" s="1"/>
  <c r="AH33" i="1"/>
  <c r="CV33" i="1" s="1"/>
  <c r="U33" i="1" s="1"/>
  <c r="AI33" i="1"/>
  <c r="CW33" i="1" s="1"/>
  <c r="V33" i="1" s="1"/>
  <c r="AJ33" i="1"/>
  <c r="CX33" i="1" s="1"/>
  <c r="W33" i="1" s="1"/>
  <c r="FR33" i="1"/>
  <c r="GL33" i="1"/>
  <c r="GN33" i="1"/>
  <c r="GP33" i="1"/>
  <c r="GV33" i="1"/>
  <c r="HC33" i="1" s="1"/>
  <c r="GX33" i="1"/>
  <c r="I34" i="1"/>
  <c r="E86" i="5" s="1"/>
  <c r="AC34" i="1"/>
  <c r="AE34" i="1"/>
  <c r="AF34" i="1"/>
  <c r="CT34" i="1" s="1"/>
  <c r="S34" i="1" s="1"/>
  <c r="AG34" i="1"/>
  <c r="AH34" i="1"/>
  <c r="AI34" i="1"/>
  <c r="AJ34" i="1"/>
  <c r="CX34" i="1" s="1"/>
  <c r="CU34" i="1"/>
  <c r="T34" i="1" s="1"/>
  <c r="CV34" i="1"/>
  <c r="U34" i="1" s="1"/>
  <c r="L87" i="5" s="1"/>
  <c r="Q87" i="5" s="1"/>
  <c r="CW34" i="1"/>
  <c r="V34" i="1" s="1"/>
  <c r="FR34" i="1"/>
  <c r="GL34" i="1"/>
  <c r="GN34" i="1"/>
  <c r="GP34" i="1"/>
  <c r="GV34" i="1"/>
  <c r="HC34" i="1" s="1"/>
  <c r="C35" i="1"/>
  <c r="D35" i="1"/>
  <c r="I35" i="1"/>
  <c r="E88" i="5" s="1"/>
  <c r="AC35" i="1"/>
  <c r="AE35" i="1"/>
  <c r="AD35" i="1" s="1"/>
  <c r="AF35" i="1"/>
  <c r="CT35" i="1" s="1"/>
  <c r="S35" i="1" s="1"/>
  <c r="K89" i="5" s="1"/>
  <c r="AG35" i="1"/>
  <c r="CU35" i="1" s="1"/>
  <c r="AH35" i="1"/>
  <c r="CV35" i="1" s="1"/>
  <c r="AI35" i="1"/>
  <c r="CW35" i="1" s="1"/>
  <c r="AJ35" i="1"/>
  <c r="CX35" i="1" s="1"/>
  <c r="W35" i="1" s="1"/>
  <c r="FR35" i="1"/>
  <c r="GL35" i="1"/>
  <c r="GN35" i="1"/>
  <c r="GP35" i="1"/>
  <c r="GV35" i="1"/>
  <c r="HC35" i="1"/>
  <c r="I36" i="1"/>
  <c r="E96" i="5" s="1"/>
  <c r="AC36" i="1"/>
  <c r="AE36" i="1"/>
  <c r="CS36" i="1" s="1"/>
  <c r="AF36" i="1"/>
  <c r="CT36" i="1" s="1"/>
  <c r="AG36" i="1"/>
  <c r="CU36" i="1" s="1"/>
  <c r="AH36" i="1"/>
  <c r="CV36" i="1" s="1"/>
  <c r="AI36" i="1"/>
  <c r="CW36" i="1" s="1"/>
  <c r="V36" i="1" s="1"/>
  <c r="AJ36" i="1"/>
  <c r="CX36" i="1"/>
  <c r="CQ36" i="1"/>
  <c r="CY36" i="1"/>
  <c r="X36" i="1" s="1"/>
  <c r="T96" i="5" s="1"/>
  <c r="CZ36" i="1"/>
  <c r="Y36" i="1" s="1"/>
  <c r="V96" i="5" s="1"/>
  <c r="GL36" i="1"/>
  <c r="GN36" i="1"/>
  <c r="GO36" i="1"/>
  <c r="GP36" i="1"/>
  <c r="GV36" i="1"/>
  <c r="HC36" i="1" s="1"/>
  <c r="C37" i="1"/>
  <c r="D37" i="1"/>
  <c r="I37" i="1"/>
  <c r="E98" i="5" s="1"/>
  <c r="AC37" i="1"/>
  <c r="AE37" i="1"/>
  <c r="CS37" i="1" s="1"/>
  <c r="AF37" i="1"/>
  <c r="CT37" i="1" s="1"/>
  <c r="S37" i="1" s="1"/>
  <c r="K99" i="5" s="1"/>
  <c r="AG37" i="1"/>
  <c r="CU37" i="1"/>
  <c r="AH37" i="1"/>
  <c r="CV37" i="1" s="1"/>
  <c r="AI37" i="1"/>
  <c r="CW37" i="1" s="1"/>
  <c r="V37" i="1" s="1"/>
  <c r="AJ37" i="1"/>
  <c r="CX37" i="1" s="1"/>
  <c r="FR37" i="1"/>
  <c r="GL37" i="1"/>
  <c r="GN37" i="1"/>
  <c r="GP37" i="1"/>
  <c r="GV37" i="1"/>
  <c r="HC37" i="1" s="1"/>
  <c r="I38" i="1"/>
  <c r="E107" i="5" s="1"/>
  <c r="AC38" i="1"/>
  <c r="H107" i="5" s="1"/>
  <c r="AE38" i="1"/>
  <c r="AD38" i="1" s="1"/>
  <c r="AF38" i="1"/>
  <c r="CT38" i="1"/>
  <c r="S38" i="1" s="1"/>
  <c r="AG38" i="1"/>
  <c r="CU38" i="1" s="1"/>
  <c r="T38" i="1" s="1"/>
  <c r="AH38" i="1"/>
  <c r="AI38" i="1"/>
  <c r="CW38" i="1" s="1"/>
  <c r="AJ38" i="1"/>
  <c r="CX38" i="1"/>
  <c r="W38" i="1" s="1"/>
  <c r="CV38" i="1"/>
  <c r="CY38" i="1"/>
  <c r="X38" i="1" s="1"/>
  <c r="T107" i="5" s="1"/>
  <c r="CZ38" i="1"/>
  <c r="Y38" i="1" s="1"/>
  <c r="V107" i="5" s="1"/>
  <c r="GL38" i="1"/>
  <c r="GN38" i="1"/>
  <c r="GO38" i="1"/>
  <c r="GP38" i="1"/>
  <c r="GV38" i="1"/>
  <c r="HC38" i="1" s="1"/>
  <c r="GX38" i="1" s="1"/>
  <c r="C39" i="1"/>
  <c r="D39" i="1"/>
  <c r="I39" i="1"/>
  <c r="E109" i="5" s="1"/>
  <c r="AC39" i="1"/>
  <c r="CQ39" i="1" s="1"/>
  <c r="P39" i="1" s="1"/>
  <c r="K111" i="5" s="1"/>
  <c r="AE39" i="1"/>
  <c r="AD39" i="1" s="1"/>
  <c r="AF39" i="1"/>
  <c r="CT39" i="1" s="1"/>
  <c r="S39" i="1" s="1"/>
  <c r="AG39" i="1"/>
  <c r="CU39" i="1" s="1"/>
  <c r="AH39" i="1"/>
  <c r="CV39" i="1" s="1"/>
  <c r="AI39" i="1"/>
  <c r="CW39" i="1" s="1"/>
  <c r="AJ39" i="1"/>
  <c r="CX39" i="1" s="1"/>
  <c r="W39" i="1" s="1"/>
  <c r="CS39" i="1"/>
  <c r="FR39" i="1"/>
  <c r="GL39" i="1"/>
  <c r="GN39" i="1"/>
  <c r="GP39" i="1"/>
  <c r="GV39" i="1"/>
  <c r="HC39" i="1"/>
  <c r="I40" i="1"/>
  <c r="E116" i="5" s="1"/>
  <c r="AC40" i="1"/>
  <c r="AE40" i="1"/>
  <c r="AD40" i="1" s="1"/>
  <c r="AF40" i="1"/>
  <c r="CT40" i="1"/>
  <c r="S40" i="1"/>
  <c r="AG40" i="1"/>
  <c r="AH40" i="1"/>
  <c r="CV40" i="1"/>
  <c r="U40" i="1"/>
  <c r="L117" i="5" s="1"/>
  <c r="Q117" i="5" s="1"/>
  <c r="AI40" i="1"/>
  <c r="CW40" i="1" s="1"/>
  <c r="AJ40" i="1"/>
  <c r="CX40" i="1"/>
  <c r="W40" i="1"/>
  <c r="CU40" i="1"/>
  <c r="CY40" i="1"/>
  <c r="X40" i="1" s="1"/>
  <c r="T116" i="5" s="1"/>
  <c r="CZ40" i="1"/>
  <c r="Y40" i="1" s="1"/>
  <c r="V116" i="5" s="1"/>
  <c r="GL40" i="1"/>
  <c r="GN40" i="1"/>
  <c r="GO40" i="1"/>
  <c r="GP40" i="1"/>
  <c r="GV40" i="1"/>
  <c r="HC40" i="1" s="1"/>
  <c r="GX40" i="1" s="1"/>
  <c r="I41" i="1"/>
  <c r="E118" i="5" s="1"/>
  <c r="Y41" i="1"/>
  <c r="V118" i="5" s="1"/>
  <c r="AC41" i="1"/>
  <c r="AE41" i="1"/>
  <c r="AD41" i="1"/>
  <c r="CR41" i="1" s="1"/>
  <c r="Q41" i="1" s="1"/>
  <c r="AF41" i="1"/>
  <c r="CT41" i="1" s="1"/>
  <c r="S41" i="1" s="1"/>
  <c r="AG41" i="1"/>
  <c r="CU41" i="1" s="1"/>
  <c r="AH41" i="1"/>
  <c r="CV41" i="1"/>
  <c r="U41" i="1" s="1"/>
  <c r="L119" i="5" s="1"/>
  <c r="Q119" i="5" s="1"/>
  <c r="AI41" i="1"/>
  <c r="CW41" i="1" s="1"/>
  <c r="V41" i="1" s="1"/>
  <c r="AJ41" i="1"/>
  <c r="CQ41" i="1"/>
  <c r="CX41" i="1"/>
  <c r="CY41" i="1"/>
  <c r="X41" i="1" s="1"/>
  <c r="T118" i="5" s="1"/>
  <c r="CZ41" i="1"/>
  <c r="GL41" i="1"/>
  <c r="GN41" i="1"/>
  <c r="GO41" i="1"/>
  <c r="GP41" i="1"/>
  <c r="GV41" i="1"/>
  <c r="HC41" i="1" s="1"/>
  <c r="GX41" i="1" s="1"/>
  <c r="C42" i="1"/>
  <c r="D42" i="1"/>
  <c r="I42" i="1"/>
  <c r="AC42" i="1"/>
  <c r="AB42" i="1" s="1"/>
  <c r="AD42" i="1"/>
  <c r="AE42" i="1"/>
  <c r="AF42" i="1"/>
  <c r="CT42" i="1"/>
  <c r="S42" i="1" s="1"/>
  <c r="AG42" i="1"/>
  <c r="AH42" i="1"/>
  <c r="CV42" i="1" s="1"/>
  <c r="AI42" i="1"/>
  <c r="CW42" i="1" s="1"/>
  <c r="AJ42" i="1"/>
  <c r="CX42" i="1" s="1"/>
  <c r="W42" i="1" s="1"/>
  <c r="CS42" i="1"/>
  <c r="R42" i="1"/>
  <c r="CU42" i="1"/>
  <c r="FR42" i="1"/>
  <c r="GL42" i="1"/>
  <c r="GN42" i="1"/>
  <c r="GP42" i="1"/>
  <c r="GV42" i="1"/>
  <c r="HC42" i="1"/>
  <c r="GX42" i="1" s="1"/>
  <c r="I43" i="1"/>
  <c r="E128" i="5" s="1"/>
  <c r="AC43" i="1"/>
  <c r="AE43" i="1"/>
  <c r="CS43" i="1" s="1"/>
  <c r="AF43" i="1"/>
  <c r="CT43" i="1" s="1"/>
  <c r="AG43" i="1"/>
  <c r="CU43" i="1" s="1"/>
  <c r="T43" i="1" s="1"/>
  <c r="AH43" i="1"/>
  <c r="AI43" i="1"/>
  <c r="CW43" i="1"/>
  <c r="V43" i="1"/>
  <c r="AJ43" i="1"/>
  <c r="CV43" i="1"/>
  <c r="CX43" i="1"/>
  <c r="W43" i="1"/>
  <c r="CY43" i="1"/>
  <c r="X43" i="1"/>
  <c r="T128" i="5" s="1"/>
  <c r="CZ43" i="1"/>
  <c r="Y43" i="1"/>
  <c r="V128" i="5" s="1"/>
  <c r="GL43" i="1"/>
  <c r="GN43" i="1"/>
  <c r="GO43" i="1"/>
  <c r="GP43" i="1"/>
  <c r="GV43" i="1"/>
  <c r="HC43" i="1"/>
  <c r="I44" i="1"/>
  <c r="E130" i="5" s="1"/>
  <c r="AC44" i="1"/>
  <c r="H130" i="5" s="1"/>
  <c r="AE44" i="1"/>
  <c r="AF44" i="1"/>
  <c r="CT44" i="1" s="1"/>
  <c r="AG44" i="1"/>
  <c r="CU44" i="1" s="1"/>
  <c r="AH44" i="1"/>
  <c r="CV44" i="1" s="1"/>
  <c r="U44" i="1" s="1"/>
  <c r="L131" i="5" s="1"/>
  <c r="Q131" i="5" s="1"/>
  <c r="AI44" i="1"/>
  <c r="AJ44" i="1"/>
  <c r="CX44" i="1"/>
  <c r="W44" i="1" s="1"/>
  <c r="CW44" i="1"/>
  <c r="V44" i="1" s="1"/>
  <c r="FR44" i="1"/>
  <c r="GL44" i="1"/>
  <c r="GN44" i="1"/>
  <c r="GP44" i="1"/>
  <c r="GV44" i="1"/>
  <c r="HC44" i="1" s="1"/>
  <c r="C45" i="1"/>
  <c r="D45" i="1"/>
  <c r="I45" i="1"/>
  <c r="AC45" i="1"/>
  <c r="AE45" i="1"/>
  <c r="AD45" i="1"/>
  <c r="AF45" i="1"/>
  <c r="CT45" i="1" s="1"/>
  <c r="AG45" i="1"/>
  <c r="CU45" i="1" s="1"/>
  <c r="AH45" i="1"/>
  <c r="CV45" i="1" s="1"/>
  <c r="AI45" i="1"/>
  <c r="CW45" i="1" s="1"/>
  <c r="AJ45" i="1"/>
  <c r="CX45" i="1" s="1"/>
  <c r="W45" i="1" s="1"/>
  <c r="FR45" i="1"/>
  <c r="GL45" i="1"/>
  <c r="GN45" i="1"/>
  <c r="GP45" i="1"/>
  <c r="GV45" i="1"/>
  <c r="HC45" i="1" s="1"/>
  <c r="I46" i="1"/>
  <c r="E141" i="5" s="1"/>
  <c r="AC46" i="1"/>
  <c r="CQ46" i="1" s="1"/>
  <c r="AE46" i="1"/>
  <c r="AF46" i="1"/>
  <c r="CT46" i="1"/>
  <c r="S46" i="1" s="1"/>
  <c r="AG46" i="1"/>
  <c r="AH46" i="1"/>
  <c r="CV46" i="1"/>
  <c r="U46" i="1" s="1"/>
  <c r="L142" i="5" s="1"/>
  <c r="Q142" i="5" s="1"/>
  <c r="AI46" i="1"/>
  <c r="AJ46" i="1"/>
  <c r="CX46" i="1"/>
  <c r="W46" i="1" s="1"/>
  <c r="CU46" i="1"/>
  <c r="CW46" i="1"/>
  <c r="FR46" i="1"/>
  <c r="GL46" i="1"/>
  <c r="GO46" i="1"/>
  <c r="GP46" i="1"/>
  <c r="GV46" i="1"/>
  <c r="HC46" i="1" s="1"/>
  <c r="GX46" i="1" s="1"/>
  <c r="I47" i="1"/>
  <c r="E143" i="5" s="1"/>
  <c r="AC47" i="1"/>
  <c r="CQ47" i="1" s="1"/>
  <c r="P47" i="1" s="1"/>
  <c r="AE47" i="1"/>
  <c r="CS47" i="1" s="1"/>
  <c r="R47" i="1" s="1"/>
  <c r="AF47" i="1"/>
  <c r="CT47" i="1" s="1"/>
  <c r="S47" i="1" s="1"/>
  <c r="AG47" i="1"/>
  <c r="CU47" i="1" s="1"/>
  <c r="T47" i="1" s="1"/>
  <c r="AH47" i="1"/>
  <c r="CV47" i="1" s="1"/>
  <c r="U47" i="1" s="1"/>
  <c r="L144" i="5" s="1"/>
  <c r="Q144" i="5" s="1"/>
  <c r="AI47" i="1"/>
  <c r="CW47" i="1" s="1"/>
  <c r="V47" i="1" s="1"/>
  <c r="AJ47" i="1"/>
  <c r="CX47" i="1" s="1"/>
  <c r="W47" i="1" s="1"/>
  <c r="FR47" i="1"/>
  <c r="GL47" i="1"/>
  <c r="GO47" i="1"/>
  <c r="GP47" i="1"/>
  <c r="GV47" i="1"/>
  <c r="HC47" i="1" s="1"/>
  <c r="GX47" i="1" s="1"/>
  <c r="C48" i="1"/>
  <c r="D48" i="1"/>
  <c r="I48" i="1"/>
  <c r="AC48" i="1"/>
  <c r="CQ48" i="1" s="1"/>
  <c r="AE48" i="1"/>
  <c r="AF48" i="1"/>
  <c r="CT48" i="1" s="1"/>
  <c r="AG48" i="1"/>
  <c r="CU48" i="1" s="1"/>
  <c r="T48" i="1" s="1"/>
  <c r="AH48" i="1"/>
  <c r="CV48" i="1" s="1"/>
  <c r="AI48" i="1"/>
  <c r="CW48" i="1" s="1"/>
  <c r="V48" i="1" s="1"/>
  <c r="AJ48" i="1"/>
  <c r="CX48" i="1" s="1"/>
  <c r="FR48" i="1"/>
  <c r="GL48" i="1"/>
  <c r="GN48" i="1"/>
  <c r="GP48" i="1"/>
  <c r="GV48" i="1"/>
  <c r="HC48" i="1" s="1"/>
  <c r="I49" i="1"/>
  <c r="E154" i="5" s="1"/>
  <c r="AC49" i="1"/>
  <c r="AE49" i="1"/>
  <c r="CS49" i="1"/>
  <c r="R49" i="1"/>
  <c r="AF49" i="1"/>
  <c r="AG49" i="1"/>
  <c r="AH49" i="1"/>
  <c r="AI49" i="1"/>
  <c r="CW49" i="1" s="1"/>
  <c r="V49" i="1" s="1"/>
  <c r="AJ49" i="1"/>
  <c r="CT49" i="1"/>
  <c r="CU49" i="1"/>
  <c r="CV49" i="1"/>
  <c r="U49" i="1" s="1"/>
  <c r="L155" i="5" s="1"/>
  <c r="Q155" i="5" s="1"/>
  <c r="CX49" i="1"/>
  <c r="FR49" i="1"/>
  <c r="GL49" i="1"/>
  <c r="GN49" i="1"/>
  <c r="GP49" i="1"/>
  <c r="GV49" i="1"/>
  <c r="HC49" i="1" s="1"/>
  <c r="I50" i="1"/>
  <c r="E156" i="5" s="1"/>
  <c r="AC50" i="1"/>
  <c r="AE50" i="1"/>
  <c r="CS50" i="1" s="1"/>
  <c r="R50" i="1" s="1"/>
  <c r="AF50" i="1"/>
  <c r="CT50" i="1"/>
  <c r="AG50" i="1"/>
  <c r="CU50" i="1" s="1"/>
  <c r="T50" i="1" s="1"/>
  <c r="AH50" i="1"/>
  <c r="CV50" i="1" s="1"/>
  <c r="AI50" i="1"/>
  <c r="CW50" i="1" s="1"/>
  <c r="AJ50" i="1"/>
  <c r="CX50" i="1" s="1"/>
  <c r="W50" i="1" s="1"/>
  <c r="CQ50" i="1"/>
  <c r="P50" i="1" s="1"/>
  <c r="FR50" i="1"/>
  <c r="GL50" i="1"/>
  <c r="GN50" i="1"/>
  <c r="GP50" i="1"/>
  <c r="GV50" i="1"/>
  <c r="HC50" i="1" s="1"/>
  <c r="GX50" i="1" s="1"/>
  <c r="C51" i="1"/>
  <c r="D51" i="1"/>
  <c r="I51" i="1"/>
  <c r="E158" i="5" s="1"/>
  <c r="AC51" i="1"/>
  <c r="AE51" i="1"/>
  <c r="CS51" i="1"/>
  <c r="R51" i="1"/>
  <c r="K161" i="5" s="1"/>
  <c r="AF51" i="1"/>
  <c r="CT51" i="1" s="1"/>
  <c r="AG51" i="1"/>
  <c r="CU51" i="1"/>
  <c r="T51" i="1"/>
  <c r="AH51" i="1"/>
  <c r="CV51" i="1" s="1"/>
  <c r="AI51" i="1"/>
  <c r="CW51" i="1"/>
  <c r="V51" i="1"/>
  <c r="AJ51" i="1"/>
  <c r="CX51" i="1" s="1"/>
  <c r="W51" i="1" s="1"/>
  <c r="FR51" i="1"/>
  <c r="GL51" i="1"/>
  <c r="GN51" i="1"/>
  <c r="GP51" i="1"/>
  <c r="GV51" i="1"/>
  <c r="HC51" i="1"/>
  <c r="GX51" i="1" s="1"/>
  <c r="C52" i="1"/>
  <c r="D52" i="1"/>
  <c r="I52" i="1"/>
  <c r="E167" i="5" s="1"/>
  <c r="CX110" i="3"/>
  <c r="AC52" i="1"/>
  <c r="AE52" i="1"/>
  <c r="AF52" i="1"/>
  <c r="AG52" i="1"/>
  <c r="CU52" i="1" s="1"/>
  <c r="T52" i="1" s="1"/>
  <c r="AH52" i="1"/>
  <c r="CV52" i="1" s="1"/>
  <c r="U52" i="1" s="1"/>
  <c r="AI52" i="1"/>
  <c r="CW52" i="1" s="1"/>
  <c r="V52" i="1" s="1"/>
  <c r="AJ52" i="1"/>
  <c r="CX52" i="1" s="1"/>
  <c r="CQ52" i="1"/>
  <c r="P52" i="1" s="1"/>
  <c r="FR52" i="1"/>
  <c r="GL52" i="1"/>
  <c r="GN52" i="1"/>
  <c r="GP52" i="1"/>
  <c r="GV52" i="1"/>
  <c r="HC52" i="1"/>
  <c r="GX52" i="1" s="1"/>
  <c r="I53" i="1"/>
  <c r="E176" i="5" s="1"/>
  <c r="AC53" i="1"/>
  <c r="AE53" i="1"/>
  <c r="CS53" i="1" s="1"/>
  <c r="AF53" i="1"/>
  <c r="CT53" i="1" s="1"/>
  <c r="AG53" i="1"/>
  <c r="CU53" i="1" s="1"/>
  <c r="AH53" i="1"/>
  <c r="CV53" i="1" s="1"/>
  <c r="AI53" i="1"/>
  <c r="CW53" i="1" s="1"/>
  <c r="AJ53" i="1"/>
  <c r="CX53" i="1" s="1"/>
  <c r="W53" i="1" s="1"/>
  <c r="FR53" i="1"/>
  <c r="GL53" i="1"/>
  <c r="GN53" i="1"/>
  <c r="GP53" i="1"/>
  <c r="GV53" i="1"/>
  <c r="HC53" i="1" s="1"/>
  <c r="I54" i="1"/>
  <c r="AC54" i="1"/>
  <c r="AE54" i="1"/>
  <c r="CS54" i="1" s="1"/>
  <c r="R54" i="1" s="1"/>
  <c r="AF54" i="1"/>
  <c r="CT54" i="1" s="1"/>
  <c r="S54" i="1" s="1"/>
  <c r="AG54" i="1"/>
  <c r="AH54" i="1"/>
  <c r="CV54" i="1" s="1"/>
  <c r="AI54" i="1"/>
  <c r="CW54" i="1" s="1"/>
  <c r="AJ54" i="1"/>
  <c r="CX54" i="1" s="1"/>
  <c r="W54" i="1" s="1"/>
  <c r="CQ54" i="1"/>
  <c r="CU54" i="1"/>
  <c r="T54" i="1" s="1"/>
  <c r="FR54" i="1"/>
  <c r="GL54" i="1"/>
  <c r="GN54" i="1"/>
  <c r="GP54" i="1"/>
  <c r="GV54" i="1"/>
  <c r="HC54" i="1"/>
  <c r="GX54" i="1" s="1"/>
  <c r="I55" i="1"/>
  <c r="E180" i="5" s="1"/>
  <c r="AC55" i="1"/>
  <c r="AE55" i="1"/>
  <c r="AD55" i="1"/>
  <c r="CR55" i="1" s="1"/>
  <c r="Q55" i="1" s="1"/>
  <c r="AF55" i="1"/>
  <c r="CT55" i="1" s="1"/>
  <c r="S55" i="1" s="1"/>
  <c r="AG55" i="1"/>
  <c r="CU55" i="1"/>
  <c r="AH55" i="1"/>
  <c r="AI55" i="1"/>
  <c r="CW55" i="1" s="1"/>
  <c r="AJ55" i="1"/>
  <c r="CV55" i="1"/>
  <c r="CX55" i="1"/>
  <c r="W55" i="1" s="1"/>
  <c r="FR55" i="1"/>
  <c r="GL55" i="1"/>
  <c r="GO55" i="1"/>
  <c r="GP55" i="1"/>
  <c r="GV55" i="1"/>
  <c r="HC55" i="1" s="1"/>
  <c r="C57" i="1"/>
  <c r="D57" i="1"/>
  <c r="I57" i="1"/>
  <c r="AC57" i="1"/>
  <c r="AE57" i="1"/>
  <c r="AF57" i="1"/>
  <c r="AG57" i="1"/>
  <c r="CU57" i="1" s="1"/>
  <c r="T57" i="1" s="1"/>
  <c r="AH57" i="1"/>
  <c r="CV57" i="1" s="1"/>
  <c r="AI57" i="1"/>
  <c r="AJ57" i="1"/>
  <c r="CX57" i="1" s="1"/>
  <c r="W57" i="1" s="1"/>
  <c r="CQ57" i="1"/>
  <c r="P57" i="1" s="1"/>
  <c r="CW57" i="1"/>
  <c r="FR57" i="1"/>
  <c r="GL57" i="1"/>
  <c r="GN57" i="1"/>
  <c r="GO57" i="1"/>
  <c r="GV57" i="1"/>
  <c r="HC57" i="1" s="1"/>
  <c r="GX57" i="1" s="1"/>
  <c r="B59" i="1"/>
  <c r="B22" i="1" s="1"/>
  <c r="C59" i="1"/>
  <c r="C22" i="1" s="1"/>
  <c r="D59" i="1"/>
  <c r="D22" i="1" s="1"/>
  <c r="F59" i="1"/>
  <c r="F22" i="1" s="1"/>
  <c r="G59" i="1"/>
  <c r="A189" i="5" s="1"/>
  <c r="BX59" i="1"/>
  <c r="AO59" i="1" s="1"/>
  <c r="BZ59" i="1"/>
  <c r="BZ22" i="1" s="1"/>
  <c r="CK59" i="1"/>
  <c r="BB59" i="1" s="1"/>
  <c r="CL59" i="1"/>
  <c r="BC59" i="1" s="1"/>
  <c r="B91" i="1"/>
  <c r="B18" i="1" s="1"/>
  <c r="C91" i="1"/>
  <c r="C18" i="1" s="1"/>
  <c r="D91" i="1"/>
  <c r="D18" i="1" s="1"/>
  <c r="F91" i="1"/>
  <c r="F18" i="1" s="1"/>
  <c r="G91" i="1"/>
  <c r="G18" i="1" s="1"/>
  <c r="CR40" i="1"/>
  <c r="Q40" i="1" s="1"/>
  <c r="CR39" i="1"/>
  <c r="Q39" i="1" s="1"/>
  <c r="AB39" i="1"/>
  <c r="CR31" i="1"/>
  <c r="AB31" i="1"/>
  <c r="CS55" i="1"/>
  <c r="R55" i="1" s="1"/>
  <c r="CQ51" i="1"/>
  <c r="AD51" i="1"/>
  <c r="H160" i="5" s="1"/>
  <c r="AD47" i="1"/>
  <c r="CR47" i="1" s="1"/>
  <c r="Q47" i="1" s="1"/>
  <c r="CS45" i="1"/>
  <c r="R45" i="1" s="1"/>
  <c r="K135" i="5" s="1"/>
  <c r="CS41" i="1"/>
  <c r="R41" i="1"/>
  <c r="CQ37" i="1"/>
  <c r="P37" i="1" s="1"/>
  <c r="AD37" i="1"/>
  <c r="H100" i="5" s="1"/>
  <c r="AD33" i="1"/>
  <c r="AD29" i="1"/>
  <c r="H59" i="5" s="1"/>
  <c r="AD25" i="1"/>
  <c r="CX117" i="3"/>
  <c r="CX85" i="3"/>
  <c r="CX77" i="3"/>
  <c r="CX69" i="3"/>
  <c r="CX61" i="3"/>
  <c r="CX53" i="3"/>
  <c r="CX29" i="3"/>
  <c r="CX21" i="3"/>
  <c r="CX13" i="3"/>
  <c r="CX5" i="3"/>
  <c r="CX116" i="3"/>
  <c r="CX108" i="3"/>
  <c r="CX84" i="3"/>
  <c r="CX76" i="3"/>
  <c r="CX68" i="3"/>
  <c r="CX60" i="3"/>
  <c r="CX52" i="3"/>
  <c r="CX44" i="3"/>
  <c r="CX28" i="3"/>
  <c r="CX20" i="3"/>
  <c r="CX12" i="3"/>
  <c r="CX4" i="3"/>
  <c r="AD43" i="1"/>
  <c r="CR43" i="1" s="1"/>
  <c r="Q43" i="1" s="1"/>
  <c r="CR42" i="1"/>
  <c r="Q42" i="1" s="1"/>
  <c r="K122" i="5" s="1"/>
  <c r="CR38" i="1"/>
  <c r="Q38" i="1" s="1"/>
  <c r="CK22" i="1"/>
  <c r="CX91" i="3"/>
  <c r="CX83" i="3"/>
  <c r="CX75" i="3"/>
  <c r="CX67" i="3"/>
  <c r="CX59" i="3"/>
  <c r="CX51" i="3"/>
  <c r="CX27" i="3"/>
  <c r="CX19" i="3"/>
  <c r="CX11" i="3"/>
  <c r="CX3" i="3"/>
  <c r="W37" i="1"/>
  <c r="CX90" i="3"/>
  <c r="CX82" i="3"/>
  <c r="CX74" i="3"/>
  <c r="CX66" i="3"/>
  <c r="CX58" i="3"/>
  <c r="CX50" i="3"/>
  <c r="CX26" i="3"/>
  <c r="CX18" i="3"/>
  <c r="CX10" i="3"/>
  <c r="CX2" i="3"/>
  <c r="AB55" i="1"/>
  <c r="AD49" i="1"/>
  <c r="AB49" i="1" s="1"/>
  <c r="AD27" i="1"/>
  <c r="H49" i="5" s="1"/>
  <c r="CX121" i="3"/>
  <c r="CX105" i="3"/>
  <c r="CX97" i="3"/>
  <c r="CX89" i="3"/>
  <c r="CX81" i="3"/>
  <c r="CX73" i="3"/>
  <c r="CX65" i="3"/>
  <c r="CX57" i="3"/>
  <c r="CX49" i="3"/>
  <c r="CX33" i="3"/>
  <c r="CX25" i="3"/>
  <c r="CX17" i="3"/>
  <c r="CX9" i="3"/>
  <c r="CX1" i="3"/>
  <c r="AD36" i="1"/>
  <c r="AB36" i="1" s="1"/>
  <c r="AD28" i="1"/>
  <c r="CR28" i="1" s="1"/>
  <c r="Q28" i="1" s="1"/>
  <c r="BX22" i="1"/>
  <c r="CX120" i="3"/>
  <c r="CX104" i="3"/>
  <c r="CX96" i="3"/>
  <c r="CX88" i="3"/>
  <c r="CX80" i="3"/>
  <c r="CX72" i="3"/>
  <c r="CX64" i="3"/>
  <c r="CX56" i="3"/>
  <c r="CX48" i="3"/>
  <c r="CX32" i="3"/>
  <c r="CX24" i="3"/>
  <c r="CX16" i="3"/>
  <c r="CX8" i="3"/>
  <c r="CX119" i="3"/>
  <c r="CX87" i="3"/>
  <c r="CX79" i="3"/>
  <c r="CX71" i="3"/>
  <c r="CX55" i="3"/>
  <c r="CX47" i="3"/>
  <c r="CX23" i="3"/>
  <c r="CX15" i="3"/>
  <c r="CX7" i="3"/>
  <c r="CX78" i="3"/>
  <c r="CX38" i="3"/>
  <c r="AB33" i="1"/>
  <c r="CR33" i="1"/>
  <c r="Q33" i="1" s="1"/>
  <c r="AB29" i="1"/>
  <c r="AB25" i="1"/>
  <c r="CR25" i="1"/>
  <c r="Q25" i="1" s="1"/>
  <c r="AB43" i="1"/>
  <c r="AB37" i="1"/>
  <c r="K121" i="5" l="1"/>
  <c r="CZ42" i="1"/>
  <c r="Y42" i="1" s="1"/>
  <c r="V120" i="5" s="1"/>
  <c r="K125" i="5" s="1"/>
  <c r="CP41" i="1"/>
  <c r="O41" i="1" s="1"/>
  <c r="GM41" i="1" s="1"/>
  <c r="GX45" i="1"/>
  <c r="V45" i="1"/>
  <c r="H134" i="5"/>
  <c r="S43" i="1"/>
  <c r="CY42" i="1"/>
  <c r="X42" i="1" s="1"/>
  <c r="T120" i="5" s="1"/>
  <c r="K124" i="5" s="1"/>
  <c r="R36" i="1"/>
  <c r="GX35" i="1"/>
  <c r="V35" i="1"/>
  <c r="H90" i="5"/>
  <c r="CR36" i="1"/>
  <c r="Q36" i="1" s="1"/>
  <c r="V57" i="1"/>
  <c r="T55" i="1"/>
  <c r="P54" i="1"/>
  <c r="V53" i="1"/>
  <c r="S53" i="1"/>
  <c r="V50" i="1"/>
  <c r="S50" i="1"/>
  <c r="CZ50" i="1" s="1"/>
  <c r="Y50" i="1" s="1"/>
  <c r="V156" i="5" s="1"/>
  <c r="AD50" i="1"/>
  <c r="CR50" i="1" s="1"/>
  <c r="Q50" i="1" s="1"/>
  <c r="GX49" i="1"/>
  <c r="U45" i="1"/>
  <c r="L139" i="5" s="1"/>
  <c r="H135" i="5"/>
  <c r="R135" i="5" s="1"/>
  <c r="S44" i="1"/>
  <c r="GX43" i="1"/>
  <c r="U43" i="1"/>
  <c r="L129" i="5" s="1"/>
  <c r="Q129" i="5" s="1"/>
  <c r="R43" i="1"/>
  <c r="P41" i="1"/>
  <c r="V38" i="1"/>
  <c r="GX36" i="1"/>
  <c r="W36" i="1"/>
  <c r="U35" i="1"/>
  <c r="H86" i="5"/>
  <c r="U32" i="1"/>
  <c r="L78" i="5" s="1"/>
  <c r="Q78" i="5" s="1"/>
  <c r="S55" i="5"/>
  <c r="R27" i="1"/>
  <c r="V26" i="1"/>
  <c r="Q26" i="1"/>
  <c r="CR37" i="1"/>
  <c r="Q37" i="1" s="1"/>
  <c r="K100" i="5" s="1"/>
  <c r="CR51" i="1"/>
  <c r="Q51" i="1" s="1"/>
  <c r="K160" i="5" s="1"/>
  <c r="U57" i="1"/>
  <c r="AD54" i="1"/>
  <c r="CR54" i="1" s="1"/>
  <c r="Q54" i="1" s="1"/>
  <c r="CP54" i="1" s="1"/>
  <c r="O54" i="1" s="1"/>
  <c r="U53" i="1"/>
  <c r="L177" i="5" s="1"/>
  <c r="Q177" i="5" s="1"/>
  <c r="H170" i="5"/>
  <c r="R170" i="5" s="1"/>
  <c r="P46" i="1"/>
  <c r="K141" i="5" s="1"/>
  <c r="J142" i="5" s="1"/>
  <c r="P142" i="5" s="1"/>
  <c r="H128" i="5"/>
  <c r="G129" i="5" s="1"/>
  <c r="O129" i="5" s="1"/>
  <c r="T41" i="1"/>
  <c r="T40" i="1"/>
  <c r="V40" i="1"/>
  <c r="AB40" i="1"/>
  <c r="U39" i="1"/>
  <c r="U38" i="1"/>
  <c r="L108" i="5" s="1"/>
  <c r="Q108" i="5" s="1"/>
  <c r="CS35" i="1"/>
  <c r="R35" i="1" s="1"/>
  <c r="T35" i="1"/>
  <c r="CX54" i="3"/>
  <c r="GX34" i="1"/>
  <c r="W34" i="1"/>
  <c r="GX29" i="1"/>
  <c r="H61" i="5"/>
  <c r="GX26" i="1"/>
  <c r="U26" i="1"/>
  <c r="L46" i="5" s="1"/>
  <c r="Q46" i="5" s="1"/>
  <c r="P26" i="1"/>
  <c r="CP39" i="1"/>
  <c r="O39" i="1" s="1"/>
  <c r="V29" i="1"/>
  <c r="CX22" i="3"/>
  <c r="CZ47" i="1"/>
  <c r="Y47" i="1" s="1"/>
  <c r="V143" i="5" s="1"/>
  <c r="CY47" i="1"/>
  <c r="X47" i="1" s="1"/>
  <c r="T143" i="5" s="1"/>
  <c r="CY55" i="1"/>
  <c r="X55" i="1" s="1"/>
  <c r="T180" i="5" s="1"/>
  <c r="CZ55" i="1"/>
  <c r="Y55" i="1" s="1"/>
  <c r="V180" i="5" s="1"/>
  <c r="K156" i="5"/>
  <c r="J157" i="5" s="1"/>
  <c r="P157" i="5" s="1"/>
  <c r="CP50" i="1"/>
  <c r="O50" i="1" s="1"/>
  <c r="P31" i="1"/>
  <c r="K72" i="5" s="1"/>
  <c r="T31" i="1"/>
  <c r="H154" i="5"/>
  <c r="CQ49" i="1"/>
  <c r="P49" i="1" s="1"/>
  <c r="K154" i="5" s="1"/>
  <c r="J155" i="5" s="1"/>
  <c r="P155" i="5" s="1"/>
  <c r="W48" i="1"/>
  <c r="S48" i="1"/>
  <c r="K146" i="5" s="1"/>
  <c r="CQ44" i="1"/>
  <c r="P44" i="1" s="1"/>
  <c r="AD44" i="1"/>
  <c r="CR44" i="1" s="1"/>
  <c r="Q44" i="1" s="1"/>
  <c r="CS44" i="1"/>
  <c r="R44" i="1" s="1"/>
  <c r="CZ44" i="1" s="1"/>
  <c r="Y44" i="1" s="1"/>
  <c r="V130" i="5" s="1"/>
  <c r="CQ43" i="1"/>
  <c r="P43" i="1" s="1"/>
  <c r="CP43" i="1" s="1"/>
  <c r="O43" i="1" s="1"/>
  <c r="GM43" i="1" s="1"/>
  <c r="E120" i="5"/>
  <c r="CX70" i="3"/>
  <c r="R39" i="1"/>
  <c r="CY39" i="1" s="1"/>
  <c r="X39" i="1" s="1"/>
  <c r="T109" i="5" s="1"/>
  <c r="K112" i="5" s="1"/>
  <c r="W31" i="1"/>
  <c r="S31" i="1"/>
  <c r="K69" i="5" s="1"/>
  <c r="E145" i="5"/>
  <c r="CX94" i="3"/>
  <c r="CX34" i="3"/>
  <c r="CX98" i="3"/>
  <c r="AB35" i="1"/>
  <c r="V55" i="1"/>
  <c r="R53" i="1"/>
  <c r="AD52" i="1"/>
  <c r="AB28" i="1"/>
  <c r="CG59" i="1"/>
  <c r="CX31" i="3"/>
  <c r="CX103" i="3"/>
  <c r="CX112" i="3"/>
  <c r="AD32" i="1"/>
  <c r="CX113" i="3"/>
  <c r="AB45" i="1"/>
  <c r="CX42" i="3"/>
  <c r="CX106" i="3"/>
  <c r="CX43" i="3"/>
  <c r="CX107" i="3"/>
  <c r="CX92" i="3"/>
  <c r="CX37" i="3"/>
  <c r="CX101" i="3"/>
  <c r="P51" i="1"/>
  <c r="CR35" i="1"/>
  <c r="Q35" i="1" s="1"/>
  <c r="K90" i="5" s="1"/>
  <c r="G22" i="1"/>
  <c r="GX55" i="1"/>
  <c r="U54" i="1"/>
  <c r="L179" i="5" s="1"/>
  <c r="Q179" i="5" s="1"/>
  <c r="GX53" i="1"/>
  <c r="T53" i="1"/>
  <c r="CS52" i="1"/>
  <c r="R52" i="1" s="1"/>
  <c r="K170" i="5" s="1"/>
  <c r="AD34" i="1"/>
  <c r="CR34" i="1" s="1"/>
  <c r="Q34" i="1" s="1"/>
  <c r="CS34" i="1"/>
  <c r="R34" i="1" s="1"/>
  <c r="CX95" i="3"/>
  <c r="CX40" i="3"/>
  <c r="CX41" i="3"/>
  <c r="CX35" i="3"/>
  <c r="CX99" i="3"/>
  <c r="CX93" i="3"/>
  <c r="U55" i="1"/>
  <c r="L181" i="5" s="1"/>
  <c r="Q181" i="5" s="1"/>
  <c r="AB51" i="1"/>
  <c r="CX39" i="3"/>
  <c r="CX111" i="3"/>
  <c r="CR49" i="1"/>
  <c r="Q49" i="1" s="1"/>
  <c r="AD53" i="1"/>
  <c r="CR53" i="1" s="1"/>
  <c r="Q53" i="1" s="1"/>
  <c r="CX114" i="3"/>
  <c r="CX115" i="3"/>
  <c r="CX36" i="3"/>
  <c r="CX100" i="3"/>
  <c r="CX45" i="3"/>
  <c r="CX109" i="3"/>
  <c r="Q31" i="1"/>
  <c r="W52" i="1"/>
  <c r="U51" i="1"/>
  <c r="L166" i="5" s="1"/>
  <c r="Q166" i="5" s="1"/>
  <c r="S51" i="1"/>
  <c r="H162" i="5"/>
  <c r="U50" i="1"/>
  <c r="L157" i="5" s="1"/>
  <c r="Q157" i="5" s="1"/>
  <c r="H156" i="5"/>
  <c r="X157" i="5" s="1"/>
  <c r="AB50" i="1"/>
  <c r="T49" i="1"/>
  <c r="GX48" i="1"/>
  <c r="U48" i="1"/>
  <c r="L152" i="5" s="1"/>
  <c r="E132" i="5"/>
  <c r="CX86" i="3"/>
  <c r="V42" i="1"/>
  <c r="H122" i="5"/>
  <c r="GX39" i="1"/>
  <c r="GX31" i="1"/>
  <c r="H116" i="5"/>
  <c r="Y117" i="5" s="1"/>
  <c r="T39" i="1"/>
  <c r="CS38" i="1"/>
  <c r="R38" i="1" s="1"/>
  <c r="U37" i="1"/>
  <c r="T36" i="1"/>
  <c r="V31" i="1"/>
  <c r="H70" i="5"/>
  <c r="W25" i="1"/>
  <c r="W49" i="1"/>
  <c r="S49" i="1"/>
  <c r="P48" i="1"/>
  <c r="V46" i="1"/>
  <c r="S45" i="1"/>
  <c r="K133" i="5" s="1"/>
  <c r="T45" i="1"/>
  <c r="H136" i="5"/>
  <c r="T44" i="1"/>
  <c r="U42" i="1"/>
  <c r="L127" i="5" s="1"/>
  <c r="Q127" i="5" s="1"/>
  <c r="H123" i="5"/>
  <c r="GX37" i="1"/>
  <c r="T37" i="1"/>
  <c r="U31" i="1"/>
  <c r="L75" i="5" s="1"/>
  <c r="GX28" i="1"/>
  <c r="V28" i="1"/>
  <c r="R28" i="1"/>
  <c r="GX27" i="1"/>
  <c r="V25" i="1"/>
  <c r="R25" i="1"/>
  <c r="T46" i="1"/>
  <c r="GX44" i="1"/>
  <c r="T42" i="1"/>
  <c r="CQ42" i="1"/>
  <c r="P42" i="1" s="1"/>
  <c r="V39" i="1"/>
  <c r="H102" i="5"/>
  <c r="P36" i="1"/>
  <c r="FR36" i="1" s="1"/>
  <c r="H91" i="5"/>
  <c r="CQ29" i="1"/>
  <c r="P29" i="1" s="1"/>
  <c r="K61" i="5" s="1"/>
  <c r="U28" i="1"/>
  <c r="L56" i="5" s="1"/>
  <c r="Q56" i="5" s="1"/>
  <c r="U27" i="1"/>
  <c r="L53" i="5" s="1"/>
  <c r="S45" i="5"/>
  <c r="GX25" i="1"/>
  <c r="U25" i="1"/>
  <c r="L44" i="5" s="1"/>
  <c r="Q44" i="5" s="1"/>
  <c r="F72" i="1"/>
  <c r="BB91" i="1"/>
  <c r="BB22" i="1"/>
  <c r="F63" i="1"/>
  <c r="AO91" i="1"/>
  <c r="AO22" i="1"/>
  <c r="CZ54" i="1"/>
  <c r="Y54" i="1" s="1"/>
  <c r="V178" i="5" s="1"/>
  <c r="CY54" i="1"/>
  <c r="X54" i="1" s="1"/>
  <c r="T178" i="5" s="1"/>
  <c r="K178" i="5"/>
  <c r="J179" i="5" s="1"/>
  <c r="P179" i="5" s="1"/>
  <c r="CZ53" i="1"/>
  <c r="Y53" i="1" s="1"/>
  <c r="V176" i="5" s="1"/>
  <c r="CY53" i="1"/>
  <c r="X53" i="1" s="1"/>
  <c r="T176" i="5" s="1"/>
  <c r="K102" i="5"/>
  <c r="CP37" i="1"/>
  <c r="O37" i="1" s="1"/>
  <c r="K70" i="5"/>
  <c r="K143" i="5"/>
  <c r="J144" i="5" s="1"/>
  <c r="P144" i="5" s="1"/>
  <c r="CP47" i="1"/>
  <c r="O47" i="1" s="1"/>
  <c r="BC22" i="1"/>
  <c r="BC91" i="1"/>
  <c r="F75" i="1"/>
  <c r="L186" i="5"/>
  <c r="L187" i="5"/>
  <c r="Q187" i="5" s="1"/>
  <c r="K149" i="5"/>
  <c r="AQ59" i="1"/>
  <c r="H183" i="5"/>
  <c r="U182" i="5"/>
  <c r="H185" i="5" s="1"/>
  <c r="S182" i="5"/>
  <c r="H184" i="5" s="1"/>
  <c r="CT57" i="1"/>
  <c r="S57" i="1" s="1"/>
  <c r="AD46" i="1"/>
  <c r="CS46" i="1"/>
  <c r="R46" i="1" s="1"/>
  <c r="K110" i="5"/>
  <c r="CZ39" i="1"/>
  <c r="Y39" i="1" s="1"/>
  <c r="V109" i="5" s="1"/>
  <c r="K113" i="5" s="1"/>
  <c r="K96" i="5"/>
  <c r="J97" i="5" s="1"/>
  <c r="P97" i="5" s="1"/>
  <c r="AD57" i="1"/>
  <c r="CS57" i="1"/>
  <c r="R57" i="1" s="1"/>
  <c r="K171" i="5"/>
  <c r="L174" i="5"/>
  <c r="L175" i="5"/>
  <c r="Q175" i="5" s="1"/>
  <c r="H169" i="5"/>
  <c r="CR52" i="1"/>
  <c r="Q52" i="1" s="1"/>
  <c r="K169" i="5" s="1"/>
  <c r="AB47" i="1"/>
  <c r="E182" i="5"/>
  <c r="CX118" i="3"/>
  <c r="H180" i="5"/>
  <c r="CQ55" i="1"/>
  <c r="P55" i="1" s="1"/>
  <c r="H176" i="5"/>
  <c r="CQ53" i="1"/>
  <c r="P53" i="1" s="1"/>
  <c r="H171" i="5"/>
  <c r="AB52" i="1"/>
  <c r="H148" i="5"/>
  <c r="R148" i="5" s="1"/>
  <c r="AD48" i="1"/>
  <c r="AB48" i="1" s="1"/>
  <c r="CS48" i="1"/>
  <c r="R48" i="1" s="1"/>
  <c r="L140" i="5"/>
  <c r="Q140" i="5" s="1"/>
  <c r="L105" i="5"/>
  <c r="L106" i="5"/>
  <c r="Q106" i="5" s="1"/>
  <c r="AB27" i="1"/>
  <c r="CR27" i="1"/>
  <c r="Q27" i="1" s="1"/>
  <c r="K49" i="5" s="1"/>
  <c r="CR29" i="1"/>
  <c r="Q29" i="1" s="1"/>
  <c r="CL22" i="1"/>
  <c r="E178" i="5"/>
  <c r="V54" i="1"/>
  <c r="H168" i="5"/>
  <c r="U167" i="5"/>
  <c r="H173" i="5" s="1"/>
  <c r="S167" i="5"/>
  <c r="H172" i="5" s="1"/>
  <c r="CT52" i="1"/>
  <c r="S52" i="1" s="1"/>
  <c r="H149" i="5"/>
  <c r="L126" i="5"/>
  <c r="L115" i="5"/>
  <c r="Q115" i="5" s="1"/>
  <c r="L114" i="5"/>
  <c r="L85" i="5"/>
  <c r="Q85" i="5" s="1"/>
  <c r="L84" i="5"/>
  <c r="U180" i="5"/>
  <c r="S180" i="5"/>
  <c r="H178" i="5"/>
  <c r="H161" i="5"/>
  <c r="R161" i="5" s="1"/>
  <c r="CX102" i="3"/>
  <c r="G157" i="5"/>
  <c r="O157" i="5" s="1"/>
  <c r="U141" i="5"/>
  <c r="S141" i="5"/>
  <c r="X131" i="5"/>
  <c r="G131" i="5"/>
  <c r="O131" i="5" s="1"/>
  <c r="S120" i="5"/>
  <c r="H124" i="5" s="1"/>
  <c r="H121" i="5"/>
  <c r="U120" i="5"/>
  <c r="H125" i="5" s="1"/>
  <c r="AB41" i="1"/>
  <c r="W41" i="1"/>
  <c r="CS40" i="1"/>
  <c r="R40" i="1" s="1"/>
  <c r="S116" i="5"/>
  <c r="U116" i="5"/>
  <c r="H111" i="5"/>
  <c r="CQ38" i="1"/>
  <c r="P38" i="1" s="1"/>
  <c r="U86" i="5"/>
  <c r="S86" i="5"/>
  <c r="AB34" i="1"/>
  <c r="R33" i="1"/>
  <c r="H60" i="5"/>
  <c r="R60" i="5" s="1"/>
  <c r="CS29" i="1"/>
  <c r="R29" i="1" s="1"/>
  <c r="AB26" i="1"/>
  <c r="H40" i="5"/>
  <c r="CQ25" i="1"/>
  <c r="P25" i="1" s="1"/>
  <c r="H159" i="5"/>
  <c r="U158" i="5"/>
  <c r="H164" i="5" s="1"/>
  <c r="S158" i="5"/>
  <c r="H163" i="5" s="1"/>
  <c r="S154" i="5"/>
  <c r="U154" i="5"/>
  <c r="S145" i="5"/>
  <c r="H150" i="5" s="1"/>
  <c r="H146" i="5"/>
  <c r="U145" i="5"/>
  <c r="H151" i="5" s="1"/>
  <c r="U143" i="5"/>
  <c r="S143" i="5"/>
  <c r="H143" i="5"/>
  <c r="CR45" i="1"/>
  <c r="Q45" i="1" s="1"/>
  <c r="K134" i="5" s="1"/>
  <c r="CQ45" i="1"/>
  <c r="P45" i="1" s="1"/>
  <c r="AB44" i="1"/>
  <c r="H118" i="5"/>
  <c r="CQ40" i="1"/>
  <c r="P40" i="1" s="1"/>
  <c r="CX63" i="3"/>
  <c r="U107" i="5"/>
  <c r="S107" i="5"/>
  <c r="AB38" i="1"/>
  <c r="H101" i="5"/>
  <c r="R101" i="5" s="1"/>
  <c r="CX62" i="3"/>
  <c r="U96" i="5"/>
  <c r="S96" i="5"/>
  <c r="H96" i="5"/>
  <c r="H89" i="5"/>
  <c r="U88" i="5"/>
  <c r="H93" i="5" s="1"/>
  <c r="S88" i="5"/>
  <c r="H92" i="5" s="1"/>
  <c r="CQ35" i="1"/>
  <c r="P35" i="1" s="1"/>
  <c r="H77" i="5"/>
  <c r="CQ32" i="1"/>
  <c r="P32" i="1" s="1"/>
  <c r="H66" i="5"/>
  <c r="AB30" i="1"/>
  <c r="CQ30" i="1"/>
  <c r="P30" i="1" s="1"/>
  <c r="W28" i="1"/>
  <c r="CQ27" i="1"/>
  <c r="P27" i="1" s="1"/>
  <c r="H50" i="5"/>
  <c r="S98" i="5"/>
  <c r="H103" i="5" s="1"/>
  <c r="H99" i="5"/>
  <c r="U98" i="5"/>
  <c r="H104" i="5" s="1"/>
  <c r="L94" i="5"/>
  <c r="L95" i="5"/>
  <c r="Q95" i="5" s="1"/>
  <c r="X87" i="5"/>
  <c r="G87" i="5"/>
  <c r="O87" i="5" s="1"/>
  <c r="E79" i="5"/>
  <c r="CX46" i="3"/>
  <c r="U77" i="5"/>
  <c r="S77" i="5"/>
  <c r="CT32" i="1"/>
  <c r="S32" i="1" s="1"/>
  <c r="U68" i="5"/>
  <c r="H74" i="5" s="1"/>
  <c r="S68" i="5"/>
  <c r="H73" i="5" s="1"/>
  <c r="H69" i="5"/>
  <c r="U66" i="5"/>
  <c r="S66" i="5"/>
  <c r="CT30" i="1"/>
  <c r="S30" i="1" s="1"/>
  <c r="L64" i="5"/>
  <c r="L65" i="5"/>
  <c r="Q65" i="5" s="1"/>
  <c r="G56" i="5"/>
  <c r="O56" i="5" s="1"/>
  <c r="X56" i="5"/>
  <c r="R48" i="5"/>
  <c r="S38" i="5"/>
  <c r="H41" i="5" s="1"/>
  <c r="CT25" i="1"/>
  <c r="S25" i="1" s="1"/>
  <c r="H39" i="5"/>
  <c r="U38" i="5"/>
  <c r="H42" i="5" s="1"/>
  <c r="U178" i="5"/>
  <c r="S178" i="5"/>
  <c r="U176" i="5"/>
  <c r="S176" i="5"/>
  <c r="S156" i="5"/>
  <c r="U156" i="5"/>
  <c r="X155" i="5"/>
  <c r="G155" i="5"/>
  <c r="O155" i="5" s="1"/>
  <c r="H141" i="5"/>
  <c r="U132" i="5"/>
  <c r="H138" i="5" s="1"/>
  <c r="S132" i="5"/>
  <c r="H137" i="5" s="1"/>
  <c r="H133" i="5"/>
  <c r="U130" i="5"/>
  <c r="S130" i="5"/>
  <c r="U128" i="5"/>
  <c r="S128" i="5"/>
  <c r="U118" i="5"/>
  <c r="S118" i="5"/>
  <c r="S109" i="5"/>
  <c r="H112" i="5" s="1"/>
  <c r="H110" i="5"/>
  <c r="U109" i="5"/>
  <c r="H113" i="5" s="1"/>
  <c r="G108" i="5"/>
  <c r="O108" i="5" s="1"/>
  <c r="Y108" i="5"/>
  <c r="R37" i="1"/>
  <c r="U36" i="1"/>
  <c r="S36" i="1"/>
  <c r="CQ34" i="1"/>
  <c r="P34" i="1" s="1"/>
  <c r="S79" i="5"/>
  <c r="H82" i="5" s="1"/>
  <c r="H80" i="5"/>
  <c r="U79" i="5"/>
  <c r="H83" i="5" s="1"/>
  <c r="H81" i="5"/>
  <c r="CQ33" i="1"/>
  <c r="P33" i="1" s="1"/>
  <c r="CX30" i="3"/>
  <c r="E68" i="5"/>
  <c r="U57" i="5"/>
  <c r="H63" i="5" s="1"/>
  <c r="U45" i="5"/>
  <c r="S47" i="5"/>
  <c r="H51" i="5" s="1"/>
  <c r="CS31" i="1"/>
  <c r="R31" i="1" s="1"/>
  <c r="H72" i="5"/>
  <c r="H58" i="5"/>
  <c r="S57" i="5"/>
  <c r="H62" i="5" s="1"/>
  <c r="CQ28" i="1"/>
  <c r="P28" i="1" s="1"/>
  <c r="CT28" i="1"/>
  <c r="S28" i="1" s="1"/>
  <c r="CT27" i="1"/>
  <c r="S27" i="1" s="1"/>
  <c r="CX14" i="3"/>
  <c r="CS26" i="1"/>
  <c r="R26" i="1" s="1"/>
  <c r="E38" i="5"/>
  <c r="H45" i="5"/>
  <c r="U47" i="5"/>
  <c r="H52" i="5" s="1"/>
  <c r="H71" i="5"/>
  <c r="R71" i="5" s="1"/>
  <c r="CS30" i="1"/>
  <c r="R30" i="1" s="1"/>
  <c r="T30" i="1"/>
  <c r="U55" i="5"/>
  <c r="CT26" i="1"/>
  <c r="S26" i="1" s="1"/>
  <c r="CP26" i="1" s="1"/>
  <c r="O26" i="1" s="1"/>
  <c r="GM26" i="1" s="1"/>
  <c r="K45" i="5" l="1"/>
  <c r="J46" i="5" s="1"/>
  <c r="P46" i="5" s="1"/>
  <c r="FR26" i="1"/>
  <c r="L153" i="5"/>
  <c r="Q153" i="5" s="1"/>
  <c r="Y129" i="5"/>
  <c r="L165" i="5"/>
  <c r="L54" i="5"/>
  <c r="Q54" i="5" s="1"/>
  <c r="CY35" i="1"/>
  <c r="X35" i="1" s="1"/>
  <c r="T88" i="5" s="1"/>
  <c r="K92" i="5" s="1"/>
  <c r="CZ35" i="1"/>
  <c r="Y35" i="1" s="1"/>
  <c r="V88" i="5" s="1"/>
  <c r="K93" i="5" s="1"/>
  <c r="CY50" i="1"/>
  <c r="X50" i="1" s="1"/>
  <c r="GO50" i="1"/>
  <c r="AB54" i="1"/>
  <c r="K118" i="5"/>
  <c r="J119" i="5" s="1"/>
  <c r="P119" i="5" s="1"/>
  <c r="FR41" i="1"/>
  <c r="AE59" i="1"/>
  <c r="CP36" i="1"/>
  <c r="O36" i="1" s="1"/>
  <c r="GM36" i="1" s="1"/>
  <c r="AI59" i="1"/>
  <c r="AI22" i="1" s="1"/>
  <c r="G54" i="5"/>
  <c r="O54" i="5" s="1"/>
  <c r="L43" i="5"/>
  <c r="CP31" i="1"/>
  <c r="O31" i="1" s="1"/>
  <c r="CJ59" i="1"/>
  <c r="CP49" i="1"/>
  <c r="O49" i="1" s="1"/>
  <c r="K162" i="5"/>
  <c r="CP51" i="1"/>
  <c r="O51" i="1" s="1"/>
  <c r="AG59" i="1"/>
  <c r="T59" i="1" s="1"/>
  <c r="L76" i="5"/>
  <c r="Q76" i="5" s="1"/>
  <c r="G117" i="5"/>
  <c r="O117" i="5" s="1"/>
  <c r="AJ59" i="1"/>
  <c r="W59" i="1" s="1"/>
  <c r="AB53" i="1"/>
  <c r="K123" i="5"/>
  <c r="J127" i="5" s="1"/>
  <c r="P127" i="5" s="1"/>
  <c r="CP42" i="1"/>
  <c r="O42" i="1" s="1"/>
  <c r="K159" i="5"/>
  <c r="CY51" i="1"/>
  <c r="X51" i="1" s="1"/>
  <c r="T158" i="5" s="1"/>
  <c r="K163" i="5" s="1"/>
  <c r="CZ51" i="1"/>
  <c r="Y51" i="1" s="1"/>
  <c r="V158" i="5" s="1"/>
  <c r="K164" i="5" s="1"/>
  <c r="K130" i="5"/>
  <c r="J131" i="5" s="1"/>
  <c r="P131" i="5" s="1"/>
  <c r="CP44" i="1"/>
  <c r="O44" i="1" s="1"/>
  <c r="CZ34" i="1"/>
  <c r="Y34" i="1" s="1"/>
  <c r="V86" i="5" s="1"/>
  <c r="CY34" i="1"/>
  <c r="X34" i="1" s="1"/>
  <c r="T86" i="5" s="1"/>
  <c r="CZ45" i="1"/>
  <c r="Y45" i="1" s="1"/>
  <c r="V132" i="5" s="1"/>
  <c r="K138" i="5" s="1"/>
  <c r="CY45" i="1"/>
  <c r="X45" i="1" s="1"/>
  <c r="T132" i="5" s="1"/>
  <c r="K137" i="5" s="1"/>
  <c r="CZ49" i="1"/>
  <c r="Y49" i="1" s="1"/>
  <c r="V154" i="5" s="1"/>
  <c r="CY49" i="1"/>
  <c r="X49" i="1" s="1"/>
  <c r="T154" i="5" s="1"/>
  <c r="AB32" i="1"/>
  <c r="CR32" i="1"/>
  <c r="Q32" i="1" s="1"/>
  <c r="CG22" i="1"/>
  <c r="AX59" i="1"/>
  <c r="K128" i="5"/>
  <c r="J129" i="5" s="1"/>
  <c r="P129" i="5" s="1"/>
  <c r="FR43" i="1"/>
  <c r="CY44" i="1"/>
  <c r="X44" i="1" s="1"/>
  <c r="T130" i="5" s="1"/>
  <c r="CZ28" i="1"/>
  <c r="Y28" i="1" s="1"/>
  <c r="V55" i="5" s="1"/>
  <c r="CY28" i="1"/>
  <c r="X28" i="1" s="1"/>
  <c r="T55" i="5" s="1"/>
  <c r="G142" i="5"/>
  <c r="O142" i="5" s="1"/>
  <c r="W142" i="5"/>
  <c r="X54" i="5"/>
  <c r="CZ30" i="1"/>
  <c r="Y30" i="1" s="1"/>
  <c r="V66" i="5" s="1"/>
  <c r="CY30" i="1"/>
  <c r="X30" i="1" s="1"/>
  <c r="T66" i="5" s="1"/>
  <c r="R99" i="5"/>
  <c r="X106" i="5"/>
  <c r="G106" i="5"/>
  <c r="O106" i="5" s="1"/>
  <c r="K50" i="5"/>
  <c r="CP27" i="1"/>
  <c r="O27" i="1" s="1"/>
  <c r="X67" i="5"/>
  <c r="G67" i="5"/>
  <c r="O67" i="5" s="1"/>
  <c r="K116" i="5"/>
  <c r="J117" i="5" s="1"/>
  <c r="P117" i="5" s="1"/>
  <c r="FR40" i="1"/>
  <c r="CP40" i="1"/>
  <c r="O40" i="1" s="1"/>
  <c r="GM40" i="1" s="1"/>
  <c r="X177" i="5"/>
  <c r="G177" i="5"/>
  <c r="O177" i="5" s="1"/>
  <c r="CP52" i="1"/>
  <c r="O52" i="1" s="1"/>
  <c r="CR46" i="1"/>
  <c r="Q46" i="1" s="1"/>
  <c r="CP46" i="1" s="1"/>
  <c r="O46" i="1" s="1"/>
  <c r="AB46" i="1"/>
  <c r="AE22" i="1"/>
  <c r="R59" i="1"/>
  <c r="K55" i="5"/>
  <c r="J56" i="5" s="1"/>
  <c r="P56" i="5" s="1"/>
  <c r="CP28" i="1"/>
  <c r="O28" i="1" s="1"/>
  <c r="K71" i="5"/>
  <c r="CZ31" i="1"/>
  <c r="Y31" i="1" s="1"/>
  <c r="V68" i="5" s="1"/>
  <c r="K74" i="5" s="1"/>
  <c r="CY31" i="1"/>
  <c r="X31" i="1" s="1"/>
  <c r="T68" i="5" s="1"/>
  <c r="K73" i="5" s="1"/>
  <c r="X85" i="5"/>
  <c r="R80" i="5"/>
  <c r="G85" i="5"/>
  <c r="O85" i="5" s="1"/>
  <c r="G140" i="5"/>
  <c r="O140" i="5" s="1"/>
  <c r="R133" i="5"/>
  <c r="X140" i="5"/>
  <c r="X44" i="5"/>
  <c r="R39" i="5"/>
  <c r="G44" i="5"/>
  <c r="O44" i="5" s="1"/>
  <c r="AJ22" i="1"/>
  <c r="K77" i="5"/>
  <c r="J78" i="5" s="1"/>
  <c r="P78" i="5" s="1"/>
  <c r="CP32" i="1"/>
  <c r="O32" i="1" s="1"/>
  <c r="G119" i="5"/>
  <c r="O119" i="5" s="1"/>
  <c r="Y119" i="5"/>
  <c r="K136" i="5"/>
  <c r="J140" i="5" s="1"/>
  <c r="P140" i="5" s="1"/>
  <c r="CP45" i="1"/>
  <c r="O45" i="1" s="1"/>
  <c r="R159" i="5"/>
  <c r="X166" i="5"/>
  <c r="G166" i="5"/>
  <c r="O166" i="5" s="1"/>
  <c r="CY33" i="1"/>
  <c r="X33" i="1" s="1"/>
  <c r="T79" i="5" s="1"/>
  <c r="K82" i="5" s="1"/>
  <c r="CZ33" i="1"/>
  <c r="Y33" i="1" s="1"/>
  <c r="V79" i="5" s="1"/>
  <c r="K83" i="5" s="1"/>
  <c r="K107" i="5"/>
  <c r="J108" i="5" s="1"/>
  <c r="P108" i="5" s="1"/>
  <c r="FR38" i="1"/>
  <c r="CP38" i="1"/>
  <c r="O38" i="1" s="1"/>
  <c r="GM38" i="1" s="1"/>
  <c r="X127" i="5"/>
  <c r="G127" i="5"/>
  <c r="O127" i="5" s="1"/>
  <c r="R121" i="5"/>
  <c r="X175" i="5"/>
  <c r="G175" i="5"/>
  <c r="O175" i="5" s="1"/>
  <c r="R168" i="5"/>
  <c r="K59" i="5"/>
  <c r="CP29" i="1"/>
  <c r="O29" i="1" s="1"/>
  <c r="K180" i="5"/>
  <c r="J181" i="5" s="1"/>
  <c r="P181" i="5" s="1"/>
  <c r="CP55" i="1"/>
  <c r="O55" i="1" s="1"/>
  <c r="G187" i="5"/>
  <c r="O187" i="5" s="1"/>
  <c r="Z187" i="5"/>
  <c r="G29" i="5" s="1"/>
  <c r="R183" i="5"/>
  <c r="BC18" i="1"/>
  <c r="F107" i="1"/>
  <c r="GO31" i="1"/>
  <c r="GM39" i="1"/>
  <c r="Y46" i="5"/>
  <c r="G46" i="5"/>
  <c r="O46" i="5" s="1"/>
  <c r="K81" i="5"/>
  <c r="CP33" i="1"/>
  <c r="O33" i="1" s="1"/>
  <c r="L97" i="5"/>
  <c r="Q97" i="5" s="1"/>
  <c r="L189" i="5" s="1"/>
  <c r="AH59" i="1"/>
  <c r="K39" i="5"/>
  <c r="CY25" i="1"/>
  <c r="X25" i="1" s="1"/>
  <c r="CZ25" i="1"/>
  <c r="Y25" i="1" s="1"/>
  <c r="AF59" i="1"/>
  <c r="CZ32" i="1"/>
  <c r="Y32" i="1" s="1"/>
  <c r="V77" i="5" s="1"/>
  <c r="CY32" i="1"/>
  <c r="X32" i="1" s="1"/>
  <c r="T77" i="5" s="1"/>
  <c r="K66" i="5"/>
  <c r="J67" i="5" s="1"/>
  <c r="P67" i="5" s="1"/>
  <c r="CP30" i="1"/>
  <c r="O30" i="1" s="1"/>
  <c r="G78" i="5"/>
  <c r="O78" i="5" s="1"/>
  <c r="X78" i="5"/>
  <c r="X95" i="5"/>
  <c r="G95" i="5"/>
  <c r="O95" i="5" s="1"/>
  <c r="R89" i="5"/>
  <c r="K40" i="5"/>
  <c r="AC59" i="1"/>
  <c r="CP25" i="1"/>
  <c r="O25" i="1" s="1"/>
  <c r="K168" i="5"/>
  <c r="CZ52" i="1"/>
  <c r="Y52" i="1" s="1"/>
  <c r="V167" i="5" s="1"/>
  <c r="K173" i="5" s="1"/>
  <c r="CY52" i="1"/>
  <c r="X52" i="1" s="1"/>
  <c r="T167" i="5" s="1"/>
  <c r="K172" i="5" s="1"/>
  <c r="K148" i="5"/>
  <c r="CY48" i="1"/>
  <c r="X48" i="1" s="1"/>
  <c r="T145" i="5" s="1"/>
  <c r="K150" i="5" s="1"/>
  <c r="CZ48" i="1"/>
  <c r="Y48" i="1" s="1"/>
  <c r="V145" i="5" s="1"/>
  <c r="K151" i="5" s="1"/>
  <c r="G181" i="5"/>
  <c r="O181" i="5" s="1"/>
  <c r="W181" i="5"/>
  <c r="J115" i="5"/>
  <c r="P115" i="5" s="1"/>
  <c r="K183" i="5"/>
  <c r="CY57" i="1"/>
  <c r="X57" i="1" s="1"/>
  <c r="T182" i="5" s="1"/>
  <c r="K184" i="5" s="1"/>
  <c r="CZ57" i="1"/>
  <c r="Y57" i="1" s="1"/>
  <c r="V182" i="5" s="1"/>
  <c r="K185" i="5" s="1"/>
  <c r="F69" i="1"/>
  <c r="AQ91" i="1"/>
  <c r="AQ22" i="1"/>
  <c r="GO54" i="1"/>
  <c r="GM54" i="1"/>
  <c r="GO39" i="1"/>
  <c r="K48" i="5"/>
  <c r="CY27" i="1"/>
  <c r="X27" i="1" s="1"/>
  <c r="T47" i="5" s="1"/>
  <c r="K51" i="5" s="1"/>
  <c r="CZ27" i="1"/>
  <c r="Y27" i="1" s="1"/>
  <c r="V47" i="5" s="1"/>
  <c r="K52" i="5" s="1"/>
  <c r="X65" i="5"/>
  <c r="G65" i="5"/>
  <c r="O65" i="5" s="1"/>
  <c r="R58" i="5"/>
  <c r="K86" i="5"/>
  <c r="J87" i="5" s="1"/>
  <c r="P87" i="5" s="1"/>
  <c r="CP34" i="1"/>
  <c r="O34" i="1" s="1"/>
  <c r="K101" i="5"/>
  <c r="CZ37" i="1"/>
  <c r="Y37" i="1" s="1"/>
  <c r="V98" i="5" s="1"/>
  <c r="K104" i="5" s="1"/>
  <c r="CY37" i="1"/>
  <c r="X37" i="1" s="1"/>
  <c r="T98" i="5" s="1"/>
  <c r="K103" i="5" s="1"/>
  <c r="X115" i="5"/>
  <c r="R110" i="5"/>
  <c r="G115" i="5"/>
  <c r="O115" i="5" s="1"/>
  <c r="G76" i="5"/>
  <c r="O76" i="5" s="1"/>
  <c r="R69" i="5"/>
  <c r="X76" i="5"/>
  <c r="K91" i="5"/>
  <c r="CP35" i="1"/>
  <c r="O35" i="1" s="1"/>
  <c r="G97" i="5"/>
  <c r="O97" i="5" s="1"/>
  <c r="Y97" i="5"/>
  <c r="G144" i="5"/>
  <c r="O144" i="5" s="1"/>
  <c r="W144" i="5"/>
  <c r="R146" i="5"/>
  <c r="K60" i="5"/>
  <c r="CZ29" i="1"/>
  <c r="Y29" i="1" s="1"/>
  <c r="V57" i="5" s="1"/>
  <c r="K63" i="5" s="1"/>
  <c r="CY29" i="1"/>
  <c r="X29" i="1" s="1"/>
  <c r="T57" i="5" s="1"/>
  <c r="K62" i="5" s="1"/>
  <c r="X179" i="5"/>
  <c r="G179" i="5"/>
  <c r="O179" i="5" s="1"/>
  <c r="H147" i="5"/>
  <c r="X153" i="5" s="1"/>
  <c r="CR48" i="1"/>
  <c r="Q48" i="1" s="1"/>
  <c r="K176" i="5"/>
  <c r="J177" i="5" s="1"/>
  <c r="P177" i="5" s="1"/>
  <c r="CP53" i="1"/>
  <c r="O53" i="1" s="1"/>
  <c r="AB57" i="1"/>
  <c r="CR57" i="1"/>
  <c r="Q57" i="1" s="1"/>
  <c r="CP57" i="1" s="1"/>
  <c r="O57" i="1" s="1"/>
  <c r="BY59" i="1"/>
  <c r="CY46" i="1"/>
  <c r="X46" i="1" s="1"/>
  <c r="T141" i="5" s="1"/>
  <c r="CZ46" i="1"/>
  <c r="Y46" i="1" s="1"/>
  <c r="V141" i="5" s="1"/>
  <c r="GN47" i="1"/>
  <c r="GM47" i="1"/>
  <c r="AD59" i="1"/>
  <c r="AO18" i="1"/>
  <c r="F95" i="1"/>
  <c r="F104" i="1"/>
  <c r="BB18" i="1"/>
  <c r="AG22" i="1" l="1"/>
  <c r="V59" i="1"/>
  <c r="J95" i="5"/>
  <c r="P95" i="5" s="1"/>
  <c r="GM31" i="1"/>
  <c r="T156" i="5"/>
  <c r="GM50" i="1"/>
  <c r="BA59" i="1"/>
  <c r="CJ22" i="1"/>
  <c r="GM37" i="1"/>
  <c r="GM44" i="1"/>
  <c r="GO44" i="1"/>
  <c r="J166" i="5"/>
  <c r="P166" i="5" s="1"/>
  <c r="GM51" i="1"/>
  <c r="GO51" i="1"/>
  <c r="GM42" i="1"/>
  <c r="GO42" i="1"/>
  <c r="J106" i="5"/>
  <c r="P106" i="5" s="1"/>
  <c r="AX91" i="1"/>
  <c r="AX22" i="1"/>
  <c r="F66" i="1"/>
  <c r="GO49" i="1"/>
  <c r="GM49" i="1"/>
  <c r="GO37" i="1"/>
  <c r="GM34" i="1"/>
  <c r="GO34" i="1"/>
  <c r="GM25" i="1"/>
  <c r="GO25" i="1"/>
  <c r="GO30" i="1"/>
  <c r="GM30" i="1"/>
  <c r="S59" i="1"/>
  <c r="AF22" i="1"/>
  <c r="AH22" i="1"/>
  <c r="U59" i="1"/>
  <c r="GN55" i="1"/>
  <c r="GM55" i="1"/>
  <c r="G31" i="5"/>
  <c r="J76" i="5"/>
  <c r="P76" i="5" s="1"/>
  <c r="GN46" i="1"/>
  <c r="CB59" i="1" s="1"/>
  <c r="GM46" i="1"/>
  <c r="GO53" i="1"/>
  <c r="GM53" i="1"/>
  <c r="GO35" i="1"/>
  <c r="GM35" i="1"/>
  <c r="CF59" i="1"/>
  <c r="CE59" i="1"/>
  <c r="AC22" i="1"/>
  <c r="P59" i="1"/>
  <c r="CH59" i="1"/>
  <c r="V38" i="5"/>
  <c r="K42" i="5" s="1"/>
  <c r="AL59" i="1"/>
  <c r="G28" i="5"/>
  <c r="G27" i="5"/>
  <c r="F73" i="1"/>
  <c r="R22" i="1"/>
  <c r="R91" i="1"/>
  <c r="GM52" i="1"/>
  <c r="GO52" i="1"/>
  <c r="GO27" i="1"/>
  <c r="GM27" i="1"/>
  <c r="G26" i="5"/>
  <c r="AP59" i="1"/>
  <c r="CI59" i="1"/>
  <c r="BY22" i="1"/>
  <c r="G153" i="5"/>
  <c r="O153" i="5" s="1"/>
  <c r="G25" i="5" s="1"/>
  <c r="AQ18" i="1"/>
  <c r="F101" i="1"/>
  <c r="J187" i="5"/>
  <c r="P187" i="5" s="1"/>
  <c r="T38" i="5"/>
  <c r="K41" i="5" s="1"/>
  <c r="AK59" i="1"/>
  <c r="GO33" i="1"/>
  <c r="GM33" i="1"/>
  <c r="GM29" i="1"/>
  <c r="GO29" i="1"/>
  <c r="W22" i="1"/>
  <c r="W91" i="1"/>
  <c r="F83" i="1"/>
  <c r="V22" i="1"/>
  <c r="V91" i="1"/>
  <c r="F82" i="1"/>
  <c r="AD22" i="1"/>
  <c r="Q59" i="1"/>
  <c r="GM57" i="1"/>
  <c r="GP57" i="1"/>
  <c r="CD59" i="1" s="1"/>
  <c r="K147" i="5"/>
  <c r="J153" i="5" s="1"/>
  <c r="P153" i="5" s="1"/>
  <c r="CP48" i="1"/>
  <c r="O48" i="1" s="1"/>
  <c r="J54" i="5"/>
  <c r="P54" i="5" s="1"/>
  <c r="J175" i="5"/>
  <c r="P175" i="5" s="1"/>
  <c r="J44" i="5"/>
  <c r="P44" i="5" s="1"/>
  <c r="J189" i="5" s="1"/>
  <c r="J85" i="5"/>
  <c r="P85" i="5" s="1"/>
  <c r="T22" i="1"/>
  <c r="T91" i="1"/>
  <c r="F80" i="1"/>
  <c r="J65" i="5"/>
  <c r="P65" i="5" s="1"/>
  <c r="GO45" i="1"/>
  <c r="GM45" i="1"/>
  <c r="GO32" i="1"/>
  <c r="GM32" i="1"/>
  <c r="GM28" i="1"/>
  <c r="GO28" i="1"/>
  <c r="G189" i="5" l="1"/>
  <c r="AX18" i="1"/>
  <c r="F98" i="1"/>
  <c r="BA22" i="1"/>
  <c r="BA91" i="1"/>
  <c r="F79" i="1"/>
  <c r="GM48" i="1"/>
  <c r="GO48" i="1"/>
  <c r="CC59" i="1" s="1"/>
  <c r="Q91" i="1"/>
  <c r="Q22" i="1"/>
  <c r="F71" i="1"/>
  <c r="X59" i="1"/>
  <c r="AK22" i="1"/>
  <c r="AP22" i="1"/>
  <c r="F68" i="1"/>
  <c r="G16" i="2" s="1"/>
  <c r="G18" i="2" s="1"/>
  <c r="AP91" i="1"/>
  <c r="CE22" i="1"/>
  <c r="AV59" i="1"/>
  <c r="U91" i="1"/>
  <c r="F81" i="1"/>
  <c r="U22" i="1"/>
  <c r="CA59" i="1"/>
  <c r="AY59" i="1"/>
  <c r="CH22" i="1"/>
  <c r="CF22" i="1"/>
  <c r="AW59" i="1"/>
  <c r="T18" i="1"/>
  <c r="F112" i="1"/>
  <c r="AU59" i="1"/>
  <c r="CD22" i="1"/>
  <c r="F115" i="1"/>
  <c r="W18" i="1"/>
  <c r="F105" i="1"/>
  <c r="R18" i="1"/>
  <c r="P91" i="1"/>
  <c r="F62" i="1"/>
  <c r="P22" i="1"/>
  <c r="AB59" i="1"/>
  <c r="F114" i="1"/>
  <c r="V18" i="1"/>
  <c r="AZ59" i="1"/>
  <c r="CI22" i="1"/>
  <c r="Y59" i="1"/>
  <c r="AL22" i="1"/>
  <c r="CB22" i="1"/>
  <c r="AS59" i="1"/>
  <c r="S91" i="1"/>
  <c r="F74" i="1"/>
  <c r="J16" i="2" s="1"/>
  <c r="J18" i="2" s="1"/>
  <c r="S22" i="1"/>
  <c r="BA18" i="1" l="1"/>
  <c r="F111" i="1"/>
  <c r="AT59" i="1"/>
  <c r="CC22" i="1"/>
  <c r="AZ22" i="1"/>
  <c r="F70" i="1"/>
  <c r="AZ91" i="1"/>
  <c r="AU22" i="1"/>
  <c r="F78" i="1"/>
  <c r="H16" i="2" s="1"/>
  <c r="H18" i="2" s="1"/>
  <c r="AU91" i="1"/>
  <c r="AR59" i="1"/>
  <c r="CA22" i="1"/>
  <c r="AV22" i="1"/>
  <c r="F64" i="1"/>
  <c r="AV91" i="1"/>
  <c r="S18" i="1"/>
  <c r="F106" i="1"/>
  <c r="I31" i="5" s="1"/>
  <c r="P18" i="1"/>
  <c r="F94" i="1"/>
  <c r="F103" i="1"/>
  <c r="Q18" i="1"/>
  <c r="AY22" i="1"/>
  <c r="F67" i="1"/>
  <c r="AY91" i="1"/>
  <c r="AP18" i="1"/>
  <c r="F100" i="1"/>
  <c r="I28" i="5" s="1"/>
  <c r="F84" i="1"/>
  <c r="X22" i="1"/>
  <c r="X91" i="1"/>
  <c r="F85" i="1"/>
  <c r="Y22" i="1"/>
  <c r="Y91" i="1"/>
  <c r="AS22" i="1"/>
  <c r="AS91" i="1"/>
  <c r="F76" i="1"/>
  <c r="E16" i="2" s="1"/>
  <c r="AB22" i="1"/>
  <c r="O59" i="1"/>
  <c r="AW22" i="1"/>
  <c r="AW91" i="1"/>
  <c r="F65" i="1"/>
  <c r="F113" i="1"/>
  <c r="I30" i="5" s="1"/>
  <c r="G30" i="5" s="1"/>
  <c r="U18" i="1"/>
  <c r="AU18" i="1" l="1"/>
  <c r="F110" i="1"/>
  <c r="I29" i="5" s="1"/>
  <c r="O22" i="1"/>
  <c r="O91" i="1"/>
  <c r="F61" i="1"/>
  <c r="F87" i="1" s="1"/>
  <c r="J192" i="5" s="1"/>
  <c r="X18" i="1"/>
  <c r="F116" i="1"/>
  <c r="Y18" i="1"/>
  <c r="F117" i="1"/>
  <c r="F99" i="1"/>
  <c r="AY18" i="1"/>
  <c r="F108" i="1"/>
  <c r="I26" i="5" s="1"/>
  <c r="AS18" i="1"/>
  <c r="F97" i="1"/>
  <c r="AW18" i="1"/>
  <c r="E18" i="2"/>
  <c r="F96" i="1"/>
  <c r="AV18" i="1"/>
  <c r="F86" i="1"/>
  <c r="AR22" i="1"/>
  <c r="AR91" i="1"/>
  <c r="AZ18" i="1"/>
  <c r="F102" i="1"/>
  <c r="F77" i="1"/>
  <c r="F16" i="2" s="1"/>
  <c r="F18" i="2" s="1"/>
  <c r="AT22" i="1"/>
  <c r="AT91" i="1"/>
  <c r="AT18" i="1" l="1"/>
  <c r="F109" i="1"/>
  <c r="I27" i="5" s="1"/>
  <c r="O18" i="1"/>
  <c r="F93" i="1"/>
  <c r="AR18" i="1"/>
  <c r="F118" i="1"/>
  <c r="I16" i="2"/>
  <c r="I18" i="2" s="1"/>
  <c r="F88" i="1"/>
  <c r="J193" i="5" s="1"/>
  <c r="F89" i="1" l="1"/>
  <c r="J194" i="5" s="1"/>
  <c r="I25" i="5" l="1"/>
</calcChain>
</file>

<file path=xl/sharedStrings.xml><?xml version="1.0" encoding="utf-8"?>
<sst xmlns="http://schemas.openxmlformats.org/spreadsheetml/2006/main" count="3346" uniqueCount="582">
  <si>
    <t>Smeta.RU  (495) 974-1589</t>
  </si>
  <si>
    <t>_PS_</t>
  </si>
  <si>
    <t>Smeta.RU</t>
  </si>
  <si>
    <t/>
  </si>
  <si>
    <t>Новый объект_(Копия)_(Копия)_(Копия)_(Копия)</t>
  </si>
  <si>
    <t>МАДОУ Д-С №7 "Семицветик" монтаж РСПИ_2020_комп</t>
  </si>
  <si>
    <t>142290, Московская обл., г.Пущино, ул.Южная, здание 1</t>
  </si>
  <si>
    <t>Жарикова С.В.</t>
  </si>
  <si>
    <t>заведующий</t>
  </si>
  <si>
    <t>МАДОУ Д-С № 7 "Семицветик"</t>
  </si>
  <si>
    <t>МАДОУ Д-С № 7 "Семицветик", 142290, Московская обл., г.Пущино, микрорайон Д, д.6А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</si>
  <si>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</si>
  <si>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</si>
  <si>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</si>
  <si>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учетом п-ма 2536-ИП/12/ГС от 22.03.2017 г</t>
  </si>
  <si>
    <t>ТСНБ-2001 Московской области (редакция 2014 г версия 15.0)</t>
  </si>
  <si>
    <t>Поправки  для НБ 2014 года от 28.04.2017</t>
  </si>
  <si>
    <t>Новая локальная смета</t>
  </si>
  <si>
    <t>Раздел 1. Монтаж оборудования</t>
  </si>
  <si>
    <t>1</t>
  </si>
  <si>
    <t>м10-04-088-1 прим.</t>
  </si>
  <si>
    <t>Объектовая станция</t>
  </si>
  <si>
    <t>1 КОМПЛ.</t>
  </si>
  <si>
    <t>ТЕРм Московской обл., м10-04-088-1, приказ Минстроя России №675/пр от 28.02.2017 № 259/пр</t>
  </si>
  <si>
    <t>м10-04-088-1</t>
  </si>
  <si>
    <t>Монтажные работы</t>
  </si>
  <si>
    <t>Связь:  монтаж теле- радио оборудования ( отдел 4 и 5 )  - (при устройстве средств посадки самолетов : НР=95%, СП=55% - {АВИА}=1)</t>
  </si>
  <si>
    <t>мФЕР-10</t>
  </si>
  <si>
    <t>2</t>
  </si>
  <si>
    <t>Цена поставщика</t>
  </si>
  <si>
    <t>компл.</t>
  </si>
  <si>
    <t>оборудование</t>
  </si>
  <si>
    <t>Оборудование</t>
  </si>
  <si>
    <t>оборудование (03)</t>
  </si>
  <si>
    <t>[18 986,4 / 1,2]</t>
  </si>
  <si>
    <t>3</t>
  </si>
  <si>
    <t>м10-08-001-8</t>
  </si>
  <si>
    <t>Прибор ОПС на 4 луча</t>
  </si>
  <si>
    <t>1  ШТ.</t>
  </si>
  <si>
    <t>ТЕРм Московской обл., м10-08-001-8, приказ Минстроя России №675/пр от 28.02.2017 № 259/пр</t>
  </si>
  <si>
    <t>Связь: пожарно-охранная сигнализация и пром. телевиз. установки  ( отделы 8 и 9 ) (при устройстве средств посадки самолетов : НР=95%, СП=55% - {АВИА}=1)</t>
  </si>
  <si>
    <t>4</t>
  </si>
  <si>
    <t>509-5664</t>
  </si>
  <si>
    <t>Прибор приемно-контрольный охранно-пожарный</t>
  </si>
  <si>
    <t>шт.</t>
  </si>
  <si>
    <t>ТССЦ Московской обл., 509-5664, приказ Минстроя России №675/пр от 28.02.2017 № 258/пр</t>
  </si>
  <si>
    <t>Материалы монтажные</t>
  </si>
  <si>
    <t>Материалы и конструкции ( монтажные )  по ценникам и каталогам</t>
  </si>
  <si>
    <t>ФССЦм</t>
  </si>
  <si>
    <t>5</t>
  </si>
  <si>
    <t>м08-03-573-4</t>
  </si>
  <si>
    <t>Шкаф (пульт) управления навесной, высота, ширина и глубина до 600х600х350 мм</t>
  </si>
  <si>
    <t>ТЕРм Московской обл., м08-03-573-4, приказ Минстроя России №675/пр от 28.02.2017 № 259/пр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</si>
  <si>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</si>
  <si>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</si>
  <si>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6</t>
  </si>
  <si>
    <t>509-4292</t>
  </si>
  <si>
    <t>Пульт контроля и управления охранно-пожарный светодиодный</t>
  </si>
  <si>
    <t>ТССЦ Московской обл., 509-4292, приказ Минстроя России №675/пр от 28.02.2017 № 258/пр</t>
  </si>
  <si>
    <t>7</t>
  </si>
  <si>
    <t>м10-02-016-6</t>
  </si>
  <si>
    <t>Отдельно устанавливаемый преобразователь или блок питания</t>
  </si>
  <si>
    <t>ТЕРм Московской обл., м10-02-016-6, приказ Минстроя России №675/пр от 28.02.2017 № 259/пр</t>
  </si>
  <si>
    <t>Связь:  городская, местная, междугородняя проводная телефонная связь ( отделы 1, 2, 3 ) - ( при уст-ве средств посадки самолетов:  {AВИА}=1 - НР=95%, СП=55% )</t>
  </si>
  <si>
    <t>8</t>
  </si>
  <si>
    <t>509-7205</t>
  </si>
  <si>
    <t>Источник бесперебойного питания</t>
  </si>
  <si>
    <t>ТССЦ Московской обл., 509-7205, приказ Минстроя России №675/пр от 28.02.2017 № 258/пр</t>
  </si>
  <si>
    <t>9</t>
  </si>
  <si>
    <t>м08-01-121-1</t>
  </si>
  <si>
    <t>Аккумулятор стационарный</t>
  </si>
  <si>
    <t>ТЕРм Московской обл., м08-01-121-1, приказ Минстроя России №675/пр от 28.02.2017 № 259/пр</t>
  </si>
  <si>
    <t>10</t>
  </si>
  <si>
    <t>509-1810</t>
  </si>
  <si>
    <t>Батарея аккумуляторная АКБ-7 12В/7 А/ч</t>
  </si>
  <si>
    <t>ТССЦ Московской обл., 509-1810, приказ Минстроя России №675/пр от 28.02.2017 № 258/пр</t>
  </si>
  <si>
    <t>11</t>
  </si>
  <si>
    <t>м10-05-010-1 прим.</t>
  </si>
  <si>
    <t>Антенны приемо-передающие</t>
  </si>
  <si>
    <t>1 антенна</t>
  </si>
  <si>
    <t>ТЕРм Московской обл., м10-05-010-1, приказ Минстроя России №675/пр от 28.02.2017 № 259/пр</t>
  </si>
  <si>
    <t>м10-05-010-1</t>
  </si>
  <si>
    <t>12</t>
  </si>
  <si>
    <t>Выносная антенна</t>
  </si>
  <si>
    <t>[8 650 / 1,2]</t>
  </si>
  <si>
    <t>13</t>
  </si>
  <si>
    <t>м10-01-001-7 прим.</t>
  </si>
  <si>
    <t>Кронштейн</t>
  </si>
  <si>
    <t>ТЕРм Московской обл., м10-01-001-7, приказ Минстроя России №675/пр от 28.02.2017 № 259/пр</t>
  </si>
  <si>
    <t>м10-01-001-7</t>
  </si>
  <si>
    <t>14</t>
  </si>
  <si>
    <t>Кронштейн антенны</t>
  </si>
  <si>
    <t>[250 / 1,2]</t>
  </si>
  <si>
    <t>15</t>
  </si>
  <si>
    <t>м10-01-051-31</t>
  </si>
  <si>
    <t>Разделка и включение кабеля станционного сигнальной проводки на съемных и несъемных штекерах</t>
  </si>
  <si>
    <t>100 концов жил</t>
  </si>
  <si>
    <t>ТЕРм Московской обл., м10-01-051-31, приказ Минстроя России №675/пр от 28.02.2017 № 259/пр</t>
  </si>
  <si>
    <t>16</t>
  </si>
  <si>
    <t>Разъем</t>
  </si>
  <si>
    <t>[85 / 1,2]</t>
  </si>
  <si>
    <t>17</t>
  </si>
  <si>
    <t>[150 / 1,2]</t>
  </si>
  <si>
    <t>18</t>
  </si>
  <si>
    <t>м08-03-526-01</t>
  </si>
  <si>
    <t>Автомат одно-, двух-, трехполюсный, устанавливаемый на конструкции на стене или колонне, на ток до 25 А</t>
  </si>
  <si>
    <t>ТЕРм Московской обл., м08-03-526-1, приказ Минстроя России №675/пр от 28.02.2017 № 259/пр</t>
  </si>
  <si>
    <t>м08-03-526-1</t>
  </si>
  <si>
    <t>19</t>
  </si>
  <si>
    <t>509-2227 прим.</t>
  </si>
  <si>
    <t>Выключатели автоматические «IEK» ВА47-29 1Р 6А, характеристика С</t>
  </si>
  <si>
    <t>ТССЦ Московской обл., 509-2227, приказ Минстроя России №675/пр от 28.02.2017 № 258/пр</t>
  </si>
  <si>
    <t>20</t>
  </si>
  <si>
    <t>509-6576</t>
  </si>
  <si>
    <t>Боксы модульные для автоматических выключателей наружной установки</t>
  </si>
  <si>
    <t>10 шт.</t>
  </si>
  <si>
    <t>ТССЦ Московской обл., 509-6576, приказ Минстроя России №675/пр от 28.02.2017 № 258/пр</t>
  </si>
  <si>
    <t>21</t>
  </si>
  <si>
    <t>м08-02-409-1</t>
  </si>
  <si>
    <t>Труба винипластовая по установленным конструкциям, по стенам и колоннам с креплением скобами, диаметр до 25 мм</t>
  </si>
  <si>
    <t>100 м</t>
  </si>
  <si>
    <t>ТЕРм Московской обл., м08-02-409-1, приказ Минстроя России №675/пр от 28.02.2017 № 259/пр</t>
  </si>
  <si>
    <t>22</t>
  </si>
  <si>
    <t>103-2446</t>
  </si>
  <si>
    <t>Трубы гибкие гофрированные легкие из ПНД, серии BL, диаметром 16 мм</t>
  </si>
  <si>
    <t>10 м</t>
  </si>
  <si>
    <t>ТССЦ Московской обл., 103-2446, приказ Минстроя России №675/пр от 28.02.2017 № 254/пр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</si>
  <si>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</si>
  <si>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</si>
  <si>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</si>
  <si>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23</t>
  </si>
  <si>
    <t>103-1177</t>
  </si>
  <si>
    <t>Клипса для крепежа гофротрубы, диаметром 16 мм</t>
  </si>
  <si>
    <t>ТССЦ Московской обл., 103-1177, приказ Минстроя России №675/пр от 28.02.2017 № 254/пр</t>
  </si>
  <si>
    <t>24</t>
  </si>
  <si>
    <t>м08-02-390-1</t>
  </si>
  <si>
    <t>Короба пластмассовые шириной до 40 мм</t>
  </si>
  <si>
    <t>ТЕРм Московской обл., м08-02-390-1, приказ Минстроя России №675/пр от 28.02.2017 № 259/пр</t>
  </si>
  <si>
    <t>25</t>
  </si>
  <si>
    <t>509-1831</t>
  </si>
  <si>
    <t>Кабель-канал (короб) "Электропласт" 25x16 мм</t>
  </si>
  <si>
    <t>ТССЦ Московской обл., 509-1831, приказ Минстроя России №675/пр от 28.02.2017 № 258/пр</t>
  </si>
  <si>
    <t>26</t>
  </si>
  <si>
    <t>509-1830</t>
  </si>
  <si>
    <t>Кабель-канал (короб) "Электропласт" 20x10 мм</t>
  </si>
  <si>
    <t>ТССЦ Московской обл., 509-1830, приказ Минстроя России №675/пр от 28.02.2017 № 258/пр</t>
  </si>
  <si>
    <t>27</t>
  </si>
  <si>
    <t>м08-02-412-2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</si>
  <si>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 до 6 мм2</t>
  </si>
  <si>
    <t>ТЕРм Московской обл., м08-02-412-2, приказ Минстроя России №675/пр от 28.02.2017 № 259/пр</t>
  </si>
  <si>
    <t>28</t>
  </si>
  <si>
    <t>м08-02-399-1</t>
  </si>
  <si>
    <t>Провод в коробах, сечением до 6 мм2</t>
  </si>
  <si>
    <t>ТЕРм Московской обл., м08-02-399-1, приказ Минстроя России №675/пр от 28.02.2017 № 259/пр</t>
  </si>
  <si>
    <t>29</t>
  </si>
  <si>
    <t>501-1887 прим.</t>
  </si>
  <si>
    <t>1000 м</t>
  </si>
  <si>
    <t>ТССЦ Московской обл., 501-1887, приказ Минстроя России №675/пр от 28.02.2017 № 258/пр</t>
  </si>
  <si>
    <t>501-1887</t>
  </si>
  <si>
    <t>1000 М</t>
  </si>
  <si>
    <t>30</t>
  </si>
  <si>
    <t>501-8442</t>
  </si>
  <si>
    <t>Кабель силовой с медными жилами с поливинилхлоридной изоляцией и оболочкой, не распространяющий горение марки ВВГнг, напряжением 0,66 кВ, с числом жил - 3 и сечением 1,5 мм2</t>
  </si>
  <si>
    <t>ТССЦ Московской обл., 501-8442, приказ Минстроя России №675/пр от 28.02.2017 № 258/пр</t>
  </si>
  <si>
    <t>31</t>
  </si>
  <si>
    <t>Кабель коаксиальный радиочастотный RG-58</t>
  </si>
  <si>
    <t>100 м кабеля или провода</t>
  </si>
  <si>
    <t>Материалы, изделия и конструкции</t>
  </si>
  <si>
    <t>материалы (03)</t>
  </si>
  <si>
    <t>[18,07 / 1,2]</t>
  </si>
  <si>
    <t>Раздел 2. Пусконаладочные работы</t>
  </si>
  <si>
    <t>32</t>
  </si>
  <si>
    <t>п02-01-002-1</t>
  </si>
  <si>
    <t>Автоматизированная система управления II категории технической сложности с количеством каналов (Кобщ) 2</t>
  </si>
  <si>
    <t>1 система</t>
  </si>
  <si>
    <t>ТЕРп Московской обл., п02-01-002-1, приказ Минстроя России №675/пр от 28.02.2017 № 262/пр</t>
  </si>
  <si>
    <t>Пусконаладочные работы</t>
  </si>
  <si>
    <t>Пусконаладочные работы : все сборники, отдел 05 ( диагностика лифтов ) и отдел 06 ( техническое освидетельствование ) сборника мрФЕР-01</t>
  </si>
  <si>
    <t>пФЕРп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</si>
  <si>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</si>
  <si>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</si>
  <si>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</si>
  <si>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</si>
  <si>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</si>
  <si>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</si>
  <si>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</si>
  <si>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</si>
  <si>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</si>
  <si>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</si>
  <si>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</si>
  <si>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</si>
  <si>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</si>
  <si>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</si>
  <si>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</si>
  <si>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</si>
  <si>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</si>
  <si>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</si>
  <si>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</si>
  <si>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</si>
  <si>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</si>
  <si>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</si>
  <si>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</si>
  <si>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</si>
  <si>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</si>
  <si>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</si>
  <si>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</si>
  <si>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</si>
  <si>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</si>
  <si>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</si>
  <si>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</si>
  <si>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</si>
  <si>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</si>
  <si>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</si>
  <si>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</si>
  <si>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</si>
  <si>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</si>
  <si>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</si>
  <si>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</si>
  <si>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</si>
  <si>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</si>
  <si>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</si>
  <si>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</si>
  <si>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</si>
  <si>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</si>
  <si>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</si>
  <si>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</si>
  <si>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</si>
  <si>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</si>
  <si>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</si>
  <si>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</si>
  <si>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</si>
  <si>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итог1</t>
  </si>
  <si>
    <t>Итого по смете:</t>
  </si>
  <si>
    <t>НДС</t>
  </si>
  <si>
    <t>НДС 20%</t>
  </si>
  <si>
    <t>Итог_с_НДС</t>
  </si>
  <si>
    <t>ИТОГО с НДС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</si>
  <si>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</si>
  <si>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</si>
  <si>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</si>
  <si>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</si>
  <si>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</si>
  <si>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</si>
  <si>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</si>
  <si>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</si>
  <si>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</si>
  <si>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</si>
  <si>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</si>
  <si>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</si>
  <si>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</si>
  <si>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</si>
  <si>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</si>
  <si>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М/Т/Я</t>
  </si>
  <si>
    <t>Работы по строительству мостов, тоннелей, метрополитенов, атомных станций, объектов с ядерным топливом и радиокативными отходами ( письмо Госстроя РФ № 2536-ИП/12/ГС от 27.11.12), коэффициенты к НР =0,85 и к СП-0,8 не назначаются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</si>
  <si>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</si>
  <si>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</si>
  <si>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</si>
  <si>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</si>
  <si>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</si>
  <si>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</si>
  <si>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</si>
  <si>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</si>
  <si>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</si>
  <si>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</si>
  <si>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</si>
  <si>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</si>
  <si>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</si>
  <si>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</si>
  <si>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</si>
  <si>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</si>
  <si>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</si>
  <si>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</si>
  <si>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</si>
  <si>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</si>
  <si>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</si>
  <si>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</si>
  <si>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</si>
  <si>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</si>
  <si>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</si>
  <si>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</si>
  <si>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</si>
  <si>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</si>
  <si>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</si>
  <si>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  если (М/Т/Я) = {выкл.}</t>
  </si>
  <si>
    <t>К_СП_12</t>
  </si>
  <si>
    <t>Корректировка СП с 03.12.12  в текущем уровне цен по письму  2536-ИП/12/ГС от 27.11.12  ( если (М/Т/Я)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</si>
  <si>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</si>
  <si>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</si>
  <si>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</si>
  <si>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</si>
  <si>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</si>
  <si>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</si>
  <si>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</si>
  <si>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 и  кап. ремонте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</si>
  <si>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</si>
  <si>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</si>
  <si>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</si>
  <si>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</si>
  <si>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</si>
  <si>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</si>
  <si>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Московской области (редакция 2014 г)</t>
  </si>
  <si>
    <t>_OBSM_</t>
  </si>
  <si>
    <t>1-2040-90</t>
  </si>
  <si>
    <t>Рабочий монтажник среднего разряда 4</t>
  </si>
  <si>
    <t>чел.-ч</t>
  </si>
  <si>
    <t>101-0511</t>
  </si>
  <si>
    <t>ТССЦ Московской обл., 101-0511, приказ Минстроя России №675/пр от 28.02.2017 № 254/пр</t>
  </si>
  <si>
    <t>Лак пропиточный без растворителей АС-9115</t>
  </si>
  <si>
    <t>т</t>
  </si>
  <si>
    <t>101-1925</t>
  </si>
  <si>
    <t>ТССЦ Московской обл., 101-1925, приказ Минстроя России №675/пр от 28.02.2017 № 254/пр</t>
  </si>
  <si>
    <t>Жесть белая толщиной 0,25 мм</t>
  </si>
  <si>
    <t>101-1963</t>
  </si>
  <si>
    <t>ТССЦ Московской обл., 101-1963, приказ Минстроя России №675/пр от 28.02.2017 № 254/пр</t>
  </si>
  <si>
    <t>Канифоль сосновая</t>
  </si>
  <si>
    <t>кг</t>
  </si>
  <si>
    <t>101-2073</t>
  </si>
  <si>
    <t>ТССЦ Московской обл., 101-2073, приказ Минстроя России №675/пр от 28.02.2017 № 254/пр</t>
  </si>
  <si>
    <t>Нитки суровые</t>
  </si>
  <si>
    <t>101-2290</t>
  </si>
  <si>
    <t>ТССЦ Московской обл., 101-2290, приказ Минстроя России №675/пр от 28.02.2017 № 254/пр</t>
  </si>
  <si>
    <t>Кислота соляная техническая</t>
  </si>
  <si>
    <t>101-2493</t>
  </si>
  <si>
    <t>ТССЦ Московской обл., 101-2493, приказ Минстроя России №675/пр от 28.02.2017 № 254/пр</t>
  </si>
  <si>
    <t>Лента липкая изоляционная на поликасиновом компаунде марки ЛСЭПЛ, шириной 20-30 мм, толщиной от 0,14 до 0,19 мм</t>
  </si>
  <si>
    <t>113-8016</t>
  </si>
  <si>
    <t>ТССЦ Московской обл., 113-8016, приказ Минстроя России №675/пр от 28.02.2017 № 254/пр</t>
  </si>
  <si>
    <t>Нитроэмаль</t>
  </si>
  <si>
    <t>506-1361</t>
  </si>
  <si>
    <t>ТССЦ Московской обл., 506-1361, приказ Минстроя России №675/пр от 28.02.2017 № 258/пр</t>
  </si>
  <si>
    <t>Припои оловянно-свинцовые бессурьмянистые марки ПОС40</t>
  </si>
  <si>
    <t>509-0860</t>
  </si>
  <si>
    <t>ТССЦ Московской обл., 509-0860, приказ Минстроя России №675/пр от 28.02.2017 № 258/пр</t>
  </si>
  <si>
    <t>Прессшпан листовой, марки А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</si>
  <si>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</si>
  <si>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</si>
  <si>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</si>
  <si>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</si>
  <si>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1-2046-90</t>
  </si>
  <si>
    <t>Рабочий монтажник среднего разряда 4,6</t>
  </si>
  <si>
    <t>330206</t>
  </si>
  <si>
    <t>ТСЭМ Московской обл., 330206, приказ Минстроя России №675/пр от 28.02.2017 № 264/пр</t>
  </si>
  <si>
    <t>Дрели электрические</t>
  </si>
  <si>
    <t>маш.-ч</t>
  </si>
  <si>
    <t>101-2206</t>
  </si>
  <si>
    <t>ТССЦ Московской обл., 101-2206, приказ Минстроя России №675/пр от 28.02.2017 № 254/пр</t>
  </si>
  <si>
    <t>Дюбели пластмассовые с шурупами 12х70 мм</t>
  </si>
  <si>
    <t>100 шт.</t>
  </si>
  <si>
    <t>405-0219</t>
  </si>
  <si>
    <t>ТССЦ Московской обл., 405-0219, приказ Минстроя России №675/пр от 28.02.2017 № 257/пр</t>
  </si>
  <si>
    <t>Гипсовые вяжущие, марка Г3</t>
  </si>
  <si>
    <t>1-2042-90</t>
  </si>
  <si>
    <t>Рабочий монтажник среднего разряда 4,2</t>
  </si>
  <si>
    <t>Затраты труда машинистов</t>
  </si>
  <si>
    <t>чел.час</t>
  </si>
  <si>
    <t>021102</t>
  </si>
  <si>
    <t>ТСЭМ Московской обл., 021102, приказ Минстроя России №675/пр от 28.02.2017 № 264/пр</t>
  </si>
  <si>
    <t>Краны на автомобильном ходу при работе на монтаже технологического оборудования 10 т</t>
  </si>
  <si>
    <t>040502</t>
  </si>
  <si>
    <t>ТСЭМ Московской обл., 040502, приказ Минстроя России №675/пр от 28.02.2017 № 264/пр</t>
  </si>
  <si>
    <t>Установки для сварки ручной дуговой (постоянного тока)</t>
  </si>
  <si>
    <t>050101</t>
  </si>
  <si>
    <t>ТСЭМ Московской обл., 050101, приказ Минстроя России №675/пр от 28.02.2017 № 264/пр</t>
  </si>
  <si>
    <t>Компрессоры передвижные с двигателем внутреннего сгорания давлением до 686 кПа (7 ат), производительность  до 5 м3/мин</t>
  </si>
  <si>
    <t>100602</t>
  </si>
  <si>
    <t>ТСЭМ Московской обл., 100602, приказ Минстроя России №675/пр от 28.02.2017 № 264/пр</t>
  </si>
  <si>
    <t>Молотки бурильные легкие при работе от передвижных компрессорных станций</t>
  </si>
  <si>
    <t>400001</t>
  </si>
  <si>
    <t>ТСЭМ Московской обл., 400001, приказ Минстроя России №675/пр от 28.02.2017 № 264/пр</t>
  </si>
  <si>
    <t>Автомобили бортовые, грузоподъемность до 5 т</t>
  </si>
  <si>
    <t>101-1924</t>
  </si>
  <si>
    <t>ТССЦ Московской обл., 101-1924, приказ Минстроя России №675/пр от 28.02.2017 № 254/пр</t>
  </si>
  <si>
    <t>Электроды диаметром 4 мм Э42А</t>
  </si>
  <si>
    <t>101-1977</t>
  </si>
  <si>
    <t>ТССЦ Московской обл., 101-1977, приказ Минстроя России №675/пр от 28.02.2017 № 254/пр</t>
  </si>
  <si>
    <t>Болты с гайками и шайбами строительные</t>
  </si>
  <si>
    <t>101-2143</t>
  </si>
  <si>
    <t>ТССЦ Московской обл., 101-2143, приказ Минстроя России №675/пр от 28.02.2017 № 254/пр</t>
  </si>
  <si>
    <t>Краска</t>
  </si>
  <si>
    <t>1-2050-90</t>
  </si>
  <si>
    <t>Рабочий монтажник среднего разряда 5</t>
  </si>
  <si>
    <t>030101</t>
  </si>
  <si>
    <t>ТСЭМ Московской обл., 030101, приказ Минстроя России №675/пр от 28.02.2017 № 264/пр</t>
  </si>
  <si>
    <t>Автопогрузчики 5 т</t>
  </si>
  <si>
    <t>101-1665</t>
  </si>
  <si>
    <t>ТССЦ Московской обл., 101-1665, приказ Минстроя России №675/пр от 28.02.2017 № 254/пр</t>
  </si>
  <si>
    <t>Лак электроизоляционный 318</t>
  </si>
  <si>
    <t>101-1959</t>
  </si>
  <si>
    <t>ТССЦ Московской обл., 101-1959, приказ Минстроя России №675/пр от 28.02.2017 № 254/пр</t>
  </si>
  <si>
    <t>Краска водоэмульсионная ВЭАК-1180</t>
  </si>
  <si>
    <t>110-0113</t>
  </si>
  <si>
    <t>ТССЦ Московской обл., 110-0113, приказ Минстроя России №675/пр от 28.02.2017 № 254/пр</t>
  </si>
  <si>
    <t>Скрепы 10х2</t>
  </si>
  <si>
    <t>506-0855</t>
  </si>
  <si>
    <t>ТССЦ Московской обл., 506-0855, приказ Минстроя России №675/пр от 28.02.2017 № 258/пр</t>
  </si>
  <si>
    <t>Проволока медная круглая электротехническая ММ (мягкая) диаметром 1,0-3,0 мм и выше</t>
  </si>
  <si>
    <t>507-0702</t>
  </si>
  <si>
    <t>ТССЦ Московской обл., 507-0702, приказ Минстроя России №675/пр от 28.02.2017 № 258/пр</t>
  </si>
  <si>
    <t>Трубка полихлорвиниловая ПХВ-305 диаметром 6-10 мм</t>
  </si>
  <si>
    <t>509-0056</t>
  </si>
  <si>
    <t>ТССЦ Московской обл., 509-0056, приказ Минстроя России №675/пр от 28.02.2017 № 258/пр</t>
  </si>
  <si>
    <t>Наконечники кабельные П2.5-4Д-МУ3</t>
  </si>
  <si>
    <t>101-0625</t>
  </si>
  <si>
    <t>ТССЦ Московской обл., 101-0625, приказ Минстроя России №675/пр от 28.02.2017 № 254/пр</t>
  </si>
  <si>
    <t>Натр едкий (сода каустическая) технический, марки ТД</t>
  </si>
  <si>
    <t>101-2285</t>
  </si>
  <si>
    <t>ТССЦ Московской обл., 101-2285, приказ Минстроя России №675/пр от 28.02.2017 № 254/пр</t>
  </si>
  <si>
    <t>Кислота серная аккумуляторная, сорт высший</t>
  </si>
  <si>
    <t>411-0006</t>
  </si>
  <si>
    <t>ТССЦ Московской обл., 411-0006, приказ Минстроя России №675/пр от 28.02.2017 № 257/пр</t>
  </si>
  <si>
    <t>Вода дистиллированная</t>
  </si>
  <si>
    <t>506-1329</t>
  </si>
  <si>
    <t>ТССЦ Московской обл., 506-1329, приказ Минстроя России №675/пр от 28.02.2017 № 258/пр</t>
  </si>
  <si>
    <t>Алюминиевые сплавы литейные в чушках марки АК5М2</t>
  </si>
  <si>
    <t>030402</t>
  </si>
  <si>
    <t>ТСЭМ Московской обл., 030402, приказ Минстроя России №675/пр от 28.02.2017 № 264/пр</t>
  </si>
  <si>
    <t>Лебедки электрические тяговым усилием до 12,26 кН (1,25 т)</t>
  </si>
  <si>
    <t>1-2030-90</t>
  </si>
  <si>
    <t>Рабочий монтажник среднего разряда 3</t>
  </si>
  <si>
    <t>101-0424</t>
  </si>
  <si>
    <t>ТССЦ Московской обл., 101-0424, приказ Минстроя России №675/пр от 28.02.2017 № 254/пр</t>
  </si>
  <si>
    <t>Краски масляные и алкидные, готовые к применению белила цинковые МА-15</t>
  </si>
  <si>
    <t>101-1825</t>
  </si>
  <si>
    <t>ТССЦ Московской обл., 101-1825, приказ Минстроя России №675/пр от 28.02.2017 № 254/пр</t>
  </si>
  <si>
    <t>Олифа натуральная</t>
  </si>
  <si>
    <t>102-0262</t>
  </si>
  <si>
    <t>ТССЦ Московской обл., 102-0262, приказ Минстроя России №675/пр от 28.02.2017 № 254/пр</t>
  </si>
  <si>
    <t>Фанера клееная марки ФК и ФБА, сорт В/ВВ толщиной 4 мм</t>
  </si>
  <si>
    <t>м3</t>
  </si>
  <si>
    <t>101-3593</t>
  </si>
  <si>
    <t>ТССЦ Московской обл., 101-3593, приказ Минстроя России №675/пр от 28.02.2017 № 254/пр</t>
  </si>
  <si>
    <t>Лента киперная 40 мм</t>
  </si>
  <si>
    <t>506-1360</t>
  </si>
  <si>
    <t>ТССЦ Московской обл., 506-1360, приказ Минстроя России №675/пр от 28.02.2017 № 258/пр</t>
  </si>
  <si>
    <t>Припои оловянно-свинцовые бессурьмянистые марки ПОС61</t>
  </si>
  <si>
    <t>1-2039-90</t>
  </si>
  <si>
    <t>Рабочий монтажник среднего разряда 3,9</t>
  </si>
  <si>
    <t>101-1964</t>
  </si>
  <si>
    <t>ТССЦ Московской обл., 101-1964, приказ Минстроя России №675/пр от 28.02.2017 № 254/пр</t>
  </si>
  <si>
    <t>Шпагат бумажный</t>
  </si>
  <si>
    <t>101-2365</t>
  </si>
  <si>
    <t>ТССЦ Московской обл., 101-2365, приказ Минстроя России №675/пр от 28.02.2017 № 254/пр</t>
  </si>
  <si>
    <t>Нитки швейные</t>
  </si>
  <si>
    <t>101-2499</t>
  </si>
  <si>
    <t>ТССЦ Московской обл., 101-2499, приказ Минстроя России №675/пр от 28.02.2017 № 254/пр</t>
  </si>
  <si>
    <t>Лента изоляционная прорезиненная односторонняя ширина 20 мм, толщина 0,25-0,35 мм</t>
  </si>
  <si>
    <t>101-3914</t>
  </si>
  <si>
    <t>ТССЦ Московской обл., 101-3914, приказ Минстроя России №675/пр от 28.02.2017 № 254/пр</t>
  </si>
  <si>
    <t>Дюбели распорные полипропиленовые</t>
  </si>
  <si>
    <t>201-0843</t>
  </si>
  <si>
    <t>ТССЦ Московской обл., 201-0843, приказ Минстроя России №675/пр от 28.02.2017 № 255/пр</t>
  </si>
  <si>
    <t>Конструкции стальные индивидуальные решетчатые сварные массой до 0,1 т</t>
  </si>
  <si>
    <t>509-0090</t>
  </si>
  <si>
    <t>ТССЦ Московской обл., 509-0090, приказ Минстроя России №675/пр от 28.02.2017 № 258/пр</t>
  </si>
  <si>
    <t>Перемычки гибкие, тип ПГС-50</t>
  </si>
  <si>
    <t>509-1210</t>
  </si>
  <si>
    <t>ТССЦ Московской обл., 509-1210, приказ Минстроя России №675/пр от 28.02.2017 № 258/пр</t>
  </si>
  <si>
    <t>Вазелин технический</t>
  </si>
  <si>
    <t>1-2038-90</t>
  </si>
  <si>
    <t>Рабочий монтажник среднего разряда 3,8</t>
  </si>
  <si>
    <t>331451</t>
  </si>
  <si>
    <t>ТСЭМ Московской обл., 331451, приказ Минстроя России №675/пр от 28.02.2017 № 264/пр</t>
  </si>
  <si>
    <t>Перфораторы электрические</t>
  </si>
  <si>
    <t>113-8040</t>
  </si>
  <si>
    <t>ТССЦ Московской обл., 113-8040, приказ Минстроя России №675/пр от 28.02.2017 № 254/пр</t>
  </si>
  <si>
    <t>Клей БМК-5к</t>
  </si>
  <si>
    <t>1-1039-90</t>
  </si>
  <si>
    <t>Рабочий строитель среднего разряда 3,9</t>
  </si>
  <si>
    <t>030954</t>
  </si>
  <si>
    <t>ТСЭМ Московской обл., 030954, приказ Минстроя России №675/пр от 28.02.2017 № 264/пр</t>
  </si>
  <si>
    <t>Подъемники грузоподъемностью до 500 кг одномачтовые, высота подъема 45 м</t>
  </si>
  <si>
    <t>134041</t>
  </si>
  <si>
    <t>ТСЭМ Московской обл., 134041, приказ Минстроя России №675/пр от 28.02.2017 № 264/пр</t>
  </si>
  <si>
    <t>Шуруповерт</t>
  </si>
  <si>
    <t>101-1481</t>
  </si>
  <si>
    <t>ТССЦ Московской обл., 101-1481, приказ Минстроя России №675/пр от 28.02.2017 № 254/пр</t>
  </si>
  <si>
    <t>Шурупы с полукруглой головкой 4x40 мм</t>
  </si>
  <si>
    <t>101-2202</t>
  </si>
  <si>
    <t>ТССЦ Московской обл., 101-2202, приказ Минстроя России №675/пр от 28.02.2017 № 254/пр</t>
  </si>
  <si>
    <t>Дюбели распорные полиэтиленовые 6х40 мм</t>
  </si>
  <si>
    <t>1000 шт.</t>
  </si>
  <si>
    <t>101-1764</t>
  </si>
  <si>
    <t>ТССЦ Московской обл., 101-1764, приказ Минстроя России №675/пр от 28.02.2017 № 254/пр</t>
  </si>
  <si>
    <t>Тальк молотый, сорт I</t>
  </si>
  <si>
    <t>509-0778</t>
  </si>
  <si>
    <t>ТССЦ Московской обл., 509-0778, приказ Минстроя России №675/пр от 28.02.2017 № 258/пр</t>
  </si>
  <si>
    <t>Втулки В22</t>
  </si>
  <si>
    <t>509-1652</t>
  </si>
  <si>
    <t>ТССЦ Московской обл., 509-1652, приказ Минстроя России №675/пр от 28.02.2017 № 258/пр</t>
  </si>
  <si>
    <t>Гильза кабельная медная ГМ 6</t>
  </si>
  <si>
    <t>101-2478</t>
  </si>
  <si>
    <t>ТССЦ Московской обл., 101-2478, приказ Минстроя России №675/пр от 28.02.2017 № 254/пр</t>
  </si>
  <si>
    <t>Лента К226</t>
  </si>
  <si>
    <t>2-0011-90</t>
  </si>
  <si>
    <t>Инженер I категории</t>
  </si>
  <si>
    <t>2-0012-90</t>
  </si>
  <si>
    <t>Инженер II категории</t>
  </si>
  <si>
    <t>2-0013-90</t>
  </si>
  <si>
    <t>Инженер III категории</t>
  </si>
  <si>
    <t>2-2001-90</t>
  </si>
  <si>
    <t>Ведущий инженер</t>
  </si>
  <si>
    <t>999-0005</t>
  </si>
  <si>
    <t>ТССЦ Московской обл., 999-0005, приказ Минстроя России №675/пр от 21.09.2015 г.</t>
  </si>
  <si>
    <t>Масса оборудования</t>
  </si>
  <si>
    <t>Кабели парной скрутки огнестойкие для систем пожарной сигнализации с однопроволочными медными жилами, изоляцией из кремнийорганической резины, оболочкой из ПВХ, не распространяющий горение, с низким дымо- и газовыделением, с экраном из алюмолавсановой ленты, марки КПСЭнг-FRLS 2х2х0,2</t>
  </si>
  <si>
    <t>"СОГЛАСОВАНО"</t>
  </si>
  <si>
    <t>"УТВЕРЖДАЮ"</t>
  </si>
  <si>
    <t>"_____"________________ 2020 г.</t>
  </si>
  <si>
    <t>заведующий, МАДОУ Д-С № 7 "Семицветик"</t>
  </si>
  <si>
    <t>(наименование стройки)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</si>
  <si>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</si>
  <si>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</si>
  <si>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</si>
  <si>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</si>
  <si>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</si>
  <si>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</si>
  <si>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</si>
  <si>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</si>
  <si>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</si>
  <si>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</si>
  <si>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</si>
  <si>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</si>
  <si>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</si>
  <si>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</si>
  <si>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</si>
  <si>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</si>
  <si>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</si>
  <si>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</si>
  <si>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</si>
  <si>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</si>
  <si>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</si>
  <si>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</si>
  <si>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</si>
  <si>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</si>
  <si>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Московской области (редакция 2014 г) март 2020 года</t>
  </si>
  <si>
    <t>ТЕРм 10-04-088-1 прим.</t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</si>
  <si>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</si>
  <si>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</si>
  <si>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</si>
  <si>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</si>
  <si>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</si>
  <si>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</si>
  <si>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</si>
  <si>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r>
      <t>Объектовая станция</t>
    </r>
    <r>
      <rPr>
        <i/>
        <sz val="10"/>
        <rFont val="Arial"/>
        <family val="2"/>
        <charset val="204"/>
      </rPr>
      <t xml:space="preserve">
Базисная стоимость: 15 822,00 = [18 986,4 / 1,2]</t>
    </r>
  </si>
  <si>
    <t>ТЕРм 10-08-001-8</t>
  </si>
  <si>
    <t>ТССЦ 509-5664</t>
  </si>
  <si>
    <t>ТЕРм 08-03-573-4</t>
  </si>
  <si>
    <t>в т.ч. зарплата машинистов</t>
  </si>
  <si>
    <t>ТССЦ 509-4292</t>
  </si>
  <si>
    <t>ТЕРм 10-02-016-6</t>
  </si>
  <si>
    <t>ТССЦ 509-7205</t>
  </si>
  <si>
    <t>ТЕРм 08-01-121-1</t>
  </si>
  <si>
    <t>ТССЦ 509-1810</t>
  </si>
  <si>
    <t>ТЕРм 10-05-010-1 прим.</t>
  </si>
  <si>
    <r>
      <t>Выносная антенна</t>
    </r>
    <r>
      <rPr>
        <i/>
        <sz val="10"/>
        <rFont val="Arial"/>
        <family val="2"/>
        <charset val="204"/>
      </rPr>
      <t xml:space="preserve">
Базисная стоимость: 7 208,33 = [8 650 / 1,2]</t>
    </r>
  </si>
  <si>
    <t>ТЕРм 10-01-001-7 прим.</t>
  </si>
  <si>
    <r>
      <t>Кронштейн антенны</t>
    </r>
    <r>
      <rPr>
        <i/>
        <sz val="10"/>
        <rFont val="Arial"/>
        <family val="2"/>
        <charset val="204"/>
      </rPr>
      <t xml:space="preserve">
Базисная стоимость: 208,33 = [250 / 1,2]</t>
    </r>
  </si>
  <si>
    <t>ТЕРм 10-01-051-31</t>
  </si>
  <si>
    <r>
      <t>Разъем</t>
    </r>
    <r>
      <rPr>
        <i/>
        <sz val="10"/>
        <rFont val="Arial"/>
        <family val="2"/>
        <charset val="204"/>
      </rPr>
      <t xml:space="preserve">
Базисная стоимость: 70,83 = [85 / 1,2]</t>
    </r>
  </si>
  <si>
    <r>
      <t>Разъем</t>
    </r>
    <r>
      <rPr>
        <i/>
        <sz val="10"/>
        <rFont val="Arial"/>
        <family val="2"/>
        <charset val="204"/>
      </rPr>
      <t xml:space="preserve">
Базисная стоимость: 125,00 = [150 / 1,2]</t>
    </r>
  </si>
  <si>
    <t>ТЕРм 08-03-526-01</t>
  </si>
  <si>
    <t>ТССЦ 509-2227 прим.</t>
  </si>
  <si>
    <t>ТССЦ 509-6576</t>
  </si>
  <si>
    <t>ТЕРм 08-02-409-1</t>
  </si>
  <si>
    <t>ТССЦ 103-2446</t>
  </si>
  <si>
    <t>ТССЦ 103-1177</t>
  </si>
  <si>
    <t>ТЕРм 08-02-390-1</t>
  </si>
  <si>
    <t>ТССЦ 509-1831</t>
  </si>
  <si>
    <t>ТССЦ 509-1830</t>
  </si>
  <si>
    <t>ТЕРм 08-02-412-2</t>
  </si>
  <si>
    <t>ТЕРм 08-02-399-1</t>
  </si>
  <si>
    <t>ТССЦ 501-1887 прим.</t>
  </si>
  <si>
    <t>ТССЦ 501-8442</t>
  </si>
  <si>
    <r>
      <t>Кабель коаксиальный радиочастотный RG-58</t>
    </r>
    <r>
      <rPr>
        <i/>
        <sz val="10"/>
        <rFont val="Arial"/>
        <family val="2"/>
        <charset val="204"/>
      </rPr>
      <t xml:space="preserve">
Базисная стоимость: 15,06 = [18,07 / 1,2]</t>
    </r>
  </si>
  <si>
    <t>ТЕРп 02-01-002-1</t>
  </si>
  <si>
    <t xml:space="preserve">   </t>
  </si>
  <si>
    <t xml:space="preserve">Составил  </t>
  </si>
  <si>
    <t>[должность,подпись(инициалы,фамилия)]</t>
  </si>
  <si>
    <t xml:space="preserve">Проверил  </t>
  </si>
  <si>
    <t>Муниципальное автономное дошкольное образовательное учреждение детский сад комбинированного вида №7 "Семицветик", расположенное по адресу: г.о. Пущино, Московской обл., микрорайон Д, д.6А</t>
  </si>
  <si>
    <t>на</t>
  </si>
  <si>
    <t>монтажные, пусконаладочные работы объектового оборудования радиоканальной системы передачи извещений на прибор пультовой оконечный Программно-аппаратного комплекса системы мониторинга, обработки и передачи данных о параметрах возгорания, угрозах и рисках развития крупных пожаров «Стрелец-Мониторинг»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</si>
</sst>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-\ #,##0.00"/>
  </numFmts>
  <fonts count="19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b/>
      <sz val="10"/>
      <color indexed="14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wrapText="1"/>
    </xf>
    <xf numFmtId="0" fontId="11" fillId="0" borderId="0" xfId="0" applyFont="1" applyBorder="1"/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left" wrapText="1"/>
    </xf>
    <xf numFmtId="0" fontId="14" fillId="0" borderId="0" xfId="0" applyFont="1" applyAlignment="1">
      <alignment vertic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11" fillId="0" borderId="0" xfId="0" applyFont="1" applyAlignment="1">
      <alignment vertical="center"/>
    </xf>
    <xf numFmtId="0" fontId="14" fillId="0" borderId="0" xfId="0" applyFont="1"/>
    <xf numFmtId="0" fontId="16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16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164" fontId="10" fillId="0" borderId="2" xfId="0" applyNumberFormat="1" applyFont="1" applyBorder="1" applyAlignment="1">
      <alignment horizontal="right"/>
    </xf>
    <xf numFmtId="164" fontId="18" fillId="0" borderId="0" xfId="0" applyNumberFormat="1" applyFont="1" applyAlignment="1">
      <alignment horizontal="right"/>
    </xf>
    <xf numFmtId="0" fontId="10" fillId="0" borderId="2" xfId="0" applyFont="1" applyBorder="1" applyAlignment="1">
      <alignment horizontal="right"/>
    </xf>
    <xf numFmtId="164" fontId="16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 wrapText="1"/>
    </xf>
    <xf numFmtId="0" fontId="14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2" xfId="0" applyFont="1" applyBorder="1" applyAlignment="1">
      <alignment horizontal="left"/>
    </xf>
    <xf numFmtId="164" fontId="14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01"/>
  <sheetViews>
    <sheetView tabSelected="1" workbookViewId="0">
      <selection activeCell="B13" sqref="A13:B13"/>
    </sheetView>
  </sheetViews>
  <sheetFormatPr defaultRowHeight="12.75" x14ac:dyDescent="0.2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8.7109375" customWidth="1"/>
    <col min="15" max="36" width="0" hidden="1" customWidth="1"/>
  </cols>
  <sheetData>
    <row r="1" spans="1:12" x14ac:dyDescent="0.2">
      <c r="A1" s="9" t="str">
        <f>Source!B1</f>
        <v>Smeta.RU  (495) 974-1589</v>
      </c>
    </row>
    <row r="2" spans="1:12" ht="14.25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 x14ac:dyDescent="0.25">
      <c r="A3" s="12"/>
      <c r="B3" s="55" t="s">
        <v>505</v>
      </c>
      <c r="C3" s="55"/>
      <c r="D3" s="55"/>
      <c r="E3" s="55"/>
      <c r="F3" s="11"/>
      <c r="G3" s="11"/>
      <c r="H3" s="55" t="s">
        <v>506</v>
      </c>
      <c r="I3" s="55"/>
      <c r="J3" s="55"/>
      <c r="K3" s="55"/>
      <c r="L3" s="55"/>
    </row>
    <row r="4" spans="1:12" ht="14.25" x14ac:dyDescent="0.2">
      <c r="A4" s="11"/>
      <c r="B4" s="56"/>
      <c r="C4" s="56"/>
      <c r="D4" s="56"/>
      <c r="E4" s="56"/>
      <c r="F4" s="11"/>
      <c r="G4" s="11"/>
      <c r="H4" s="56" t="s">
        <v>508</v>
      </c>
      <c r="I4" s="56"/>
      <c r="J4" s="56"/>
      <c r="K4" s="56"/>
      <c r="L4" s="56"/>
    </row>
    <row r="5" spans="1:12" ht="14.25" x14ac:dyDescent="0.2">
      <c r="A5" s="14"/>
      <c r="B5" s="14"/>
      <c r="C5" s="15"/>
      <c r="D5" s="15"/>
      <c r="E5" s="15"/>
      <c r="F5" s="11"/>
      <c r="G5" s="11"/>
      <c r="H5" s="13"/>
      <c r="I5" s="15"/>
      <c r="J5" s="15"/>
      <c r="K5" s="15"/>
      <c r="L5" s="13"/>
    </row>
    <row r="6" spans="1:12" ht="14.25" x14ac:dyDescent="0.2">
      <c r="A6" s="13"/>
      <c r="B6" s="56" t="str">
        <f>CONCATENATE("______________________ ", IF(Source!AL12&lt;&gt;"", Source!AL12, ""))</f>
        <v xml:space="preserve">______________________ </v>
      </c>
      <c r="C6" s="56"/>
      <c r="D6" s="56"/>
      <c r="E6" s="56"/>
      <c r="F6" s="11"/>
      <c r="G6" s="11"/>
      <c r="H6" s="56" t="str">
        <f>CONCATENATE("______________________ ", IF(Source!AH12&lt;&gt;"", Source!AH12, ""))</f>
        <v>______________________ Жарикова С.В.</v>
      </c>
      <c r="I6" s="56"/>
      <c r="J6" s="56"/>
      <c r="K6" s="56"/>
      <c r="L6" s="56"/>
    </row>
    <row r="7" spans="1:12" ht="14.25" x14ac:dyDescent="0.2">
      <c r="A7" s="16"/>
      <c r="B7" s="57" t="s">
        <v>507</v>
      </c>
      <c r="C7" s="57"/>
      <c r="D7" s="57"/>
      <c r="E7" s="57"/>
      <c r="F7" s="11"/>
      <c r="G7" s="11"/>
      <c r="H7" s="57" t="s">
        <v>507</v>
      </c>
      <c r="I7" s="57"/>
      <c r="J7" s="57"/>
      <c r="K7" s="57"/>
      <c r="L7" s="57"/>
    </row>
    <row r="10" spans="1:12" ht="54.4" customHeight="1" x14ac:dyDescent="0.25">
      <c r="A10" s="16"/>
      <c r="B10" s="49" t="s">
        <v>579</v>
      </c>
      <c r="C10" s="49"/>
      <c r="D10" s="49"/>
      <c r="E10" s="49"/>
      <c r="F10" s="49"/>
      <c r="G10" s="49"/>
      <c r="H10" s="49"/>
      <c r="I10" s="49"/>
      <c r="J10" s="49"/>
      <c r="K10" s="49"/>
      <c r="L10" s="16"/>
    </row>
    <row r="11" spans="1:12" ht="14.25" x14ac:dyDescent="0.2">
      <c r="A11" s="18"/>
      <c r="B11" s="48" t="s">
        <v>509</v>
      </c>
      <c r="C11" s="48"/>
      <c r="D11" s="48"/>
      <c r="E11" s="48"/>
      <c r="F11" s="48"/>
      <c r="G11" s="48"/>
      <c r="H11" s="48"/>
      <c r="I11" s="48"/>
      <c r="J11" s="48"/>
      <c r="K11" s="48"/>
      <c r="L11" s="16"/>
    </row>
    <row r="12" spans="1:12" ht="14.25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ht="15.75" x14ac:dyDescent="0.25">
      <c r="A14" s="21"/>
      <c r="B14" s="49" t="str">
        <f>CONCATENATE( "ЛОКАЛЬНАЯ СМЕТА № ",IF(Source!F12&lt;&gt;"Новый объект", Source!F12, ""))</f>
        <v>ЛОКАЛЬНАЯ СМЕТА № 1</v>
      </c>
      <c r="C14" s="49"/>
      <c r="D14" s="49"/>
      <c r="E14" s="49"/>
      <c r="F14" s="49"/>
      <c r="G14" s="49"/>
      <c r="H14" s="49"/>
      <c r="I14" s="49"/>
      <c r="J14" s="49"/>
      <c r="K14" s="49"/>
      <c r="L14" s="21"/>
    </row>
    <row r="15" spans="1:12" ht="15.75" x14ac:dyDescent="0.25">
      <c r="A15" s="21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1"/>
    </row>
    <row r="16" spans="1:12" ht="18" hidden="1" x14ac:dyDescent="0.25">
      <c r="A16" s="21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21"/>
    </row>
    <row r="17" spans="1:12" ht="14.25" hidden="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65.25" customHeight="1" x14ac:dyDescent="0.25">
      <c r="A18" s="23" t="s">
        <v>580</v>
      </c>
      <c r="B18" s="51" t="str">
        <f>IF(Source!G12&lt;&gt;"Новый объект", Source!G12, "")</f>
        <v>монтажные, пусконаладочные работы объектового оборудования радиоканальной системы передачи извещений на прибор пультовой оконечный Программно-аппаратного комплекса системы мониторинга, обработки и передачи данных о параметрах возгорания, угрозах и рисках развития крупных пожаров «Стрелец-Мониторинг»</v>
      </c>
      <c r="C18" s="51"/>
      <c r="D18" s="51"/>
      <c r="E18" s="51"/>
      <c r="F18" s="51"/>
      <c r="G18" s="51"/>
      <c r="H18" s="51"/>
      <c r="I18" s="51"/>
      <c r="J18" s="51"/>
      <c r="K18" s="51"/>
      <c r="L18" s="22"/>
    </row>
    <row r="19" spans="1:12" ht="14.25" x14ac:dyDescent="0.2">
      <c r="A19" s="11"/>
      <c r="B19" s="52" t="s">
        <v>510</v>
      </c>
      <c r="C19" s="52"/>
      <c r="D19" s="52"/>
      <c r="E19" s="52"/>
      <c r="F19" s="52"/>
      <c r="G19" s="52"/>
      <c r="H19" s="52"/>
      <c r="I19" s="52"/>
      <c r="J19" s="52"/>
      <c r="K19" s="52"/>
      <c r="L19" s="16"/>
    </row>
    <row r="20" spans="1:12" ht="14.25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ht="14.25" hidden="1" x14ac:dyDescent="0.2">
      <c r="A21" s="53" t="str">
        <f>CONCATENATE("Основание: ", Source!J12)</f>
        <v xml:space="preserve">Основание: 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14.25" hidden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14.25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 x14ac:dyDescent="0.2">
      <c r="A24" s="11"/>
      <c r="B24" s="11"/>
      <c r="C24" s="11"/>
      <c r="D24" s="11"/>
      <c r="E24" s="23"/>
      <c r="F24" s="23"/>
      <c r="G24" s="54" t="s">
        <v>511</v>
      </c>
      <c r="H24" s="54"/>
      <c r="I24" s="54" t="s">
        <v>512</v>
      </c>
      <c r="J24" s="54"/>
      <c r="K24" s="11"/>
      <c r="L24" s="11"/>
    </row>
    <row r="25" spans="1:12" ht="15" x14ac:dyDescent="0.25">
      <c r="A25" s="11"/>
      <c r="B25" s="11"/>
      <c r="C25" s="58" t="s">
        <v>513</v>
      </c>
      <c r="D25" s="58"/>
      <c r="E25" s="58"/>
      <c r="F25" s="58"/>
      <c r="G25" s="59">
        <f>SUM(O1:O194)/1000</f>
        <v>27.39086</v>
      </c>
      <c r="H25" s="59"/>
      <c r="I25" s="59">
        <f>(Source!F89/1000)</f>
        <v>105.11292999999999</v>
      </c>
      <c r="J25" s="59"/>
      <c r="K25" s="60" t="s">
        <v>514</v>
      </c>
      <c r="L25" s="60"/>
    </row>
    <row r="26" spans="1:12" ht="14.25" hidden="1" x14ac:dyDescent="0.2">
      <c r="A26" s="11"/>
      <c r="B26" s="11"/>
      <c r="C26" s="61" t="s">
        <v>515</v>
      </c>
      <c r="D26" s="61"/>
      <c r="E26" s="61"/>
      <c r="F26" s="61"/>
      <c r="G26" s="59">
        <f>SUM(W1:W194)/1000</f>
        <v>4.5180000000000005E-2</v>
      </c>
      <c r="H26" s="59"/>
      <c r="I26" s="59">
        <f>(Source!F108)/1000</f>
        <v>0.28445999999999999</v>
      </c>
      <c r="J26" s="59"/>
      <c r="K26" s="60" t="s">
        <v>514</v>
      </c>
      <c r="L26" s="60"/>
    </row>
    <row r="27" spans="1:12" ht="14.25" hidden="1" x14ac:dyDescent="0.2">
      <c r="A27" s="11"/>
      <c r="B27" s="11"/>
      <c r="C27" s="61" t="s">
        <v>516</v>
      </c>
      <c r="D27" s="61"/>
      <c r="E27" s="61"/>
      <c r="F27" s="61"/>
      <c r="G27" s="59">
        <f>SUM(X1:X194)/1000</f>
        <v>3.3638999999999997</v>
      </c>
      <c r="H27" s="59"/>
      <c r="I27" s="59">
        <f>(Source!F109)/1000</f>
        <v>47.496310000000001</v>
      </c>
      <c r="J27" s="59"/>
      <c r="K27" s="60" t="s">
        <v>514</v>
      </c>
      <c r="L27" s="60"/>
    </row>
    <row r="28" spans="1:12" ht="14.25" hidden="1" x14ac:dyDescent="0.2">
      <c r="A28" s="11"/>
      <c r="B28" s="11"/>
      <c r="C28" s="61" t="s">
        <v>517</v>
      </c>
      <c r="D28" s="61"/>
      <c r="E28" s="61"/>
      <c r="F28" s="61"/>
      <c r="G28" s="59">
        <f>SUM(Y1:Y194)/1000</f>
        <v>23.447870000000005</v>
      </c>
      <c r="H28" s="59"/>
      <c r="I28" s="59">
        <f>(Source!F100)/1000</f>
        <v>23.518650000000001</v>
      </c>
      <c r="J28" s="59"/>
      <c r="K28" s="60" t="s">
        <v>514</v>
      </c>
      <c r="L28" s="60"/>
    </row>
    <row r="29" spans="1:12" ht="14.25" hidden="1" x14ac:dyDescent="0.2">
      <c r="A29" s="11"/>
      <c r="B29" s="11"/>
      <c r="C29" s="61" t="s">
        <v>518</v>
      </c>
      <c r="D29" s="61"/>
      <c r="E29" s="61"/>
      <c r="F29" s="61"/>
      <c r="G29" s="59">
        <f>SUM(Z1:Z194)/1000</f>
        <v>0.53391000000000011</v>
      </c>
      <c r="H29" s="59"/>
      <c r="I29" s="59">
        <f>(Source!F110+Source!F111)/1000</f>
        <v>16.294689999999999</v>
      </c>
      <c r="J29" s="59"/>
      <c r="K29" s="60" t="s">
        <v>514</v>
      </c>
      <c r="L29" s="60"/>
    </row>
    <row r="30" spans="1:12" ht="15" x14ac:dyDescent="0.25">
      <c r="A30" s="11"/>
      <c r="B30" s="11"/>
      <c r="C30" s="58" t="s">
        <v>519</v>
      </c>
      <c r="D30" s="58"/>
      <c r="E30" s="58"/>
      <c r="F30" s="58"/>
      <c r="G30" s="59">
        <f>I30</f>
        <v>67.646900000000016</v>
      </c>
      <c r="H30" s="59"/>
      <c r="I30" s="59">
        <f>(Source!F113+Source!F114)</f>
        <v>67.646900000000016</v>
      </c>
      <c r="J30" s="59"/>
      <c r="K30" s="60" t="s">
        <v>520</v>
      </c>
      <c r="L30" s="60"/>
    </row>
    <row r="31" spans="1:12" ht="15" x14ac:dyDescent="0.25">
      <c r="A31" s="11"/>
      <c r="B31" s="11"/>
      <c r="C31" s="58" t="s">
        <v>521</v>
      </c>
      <c r="D31" s="58"/>
      <c r="E31" s="58"/>
      <c r="F31" s="58"/>
      <c r="G31" s="59">
        <f>SUM(R1:R194)/1000</f>
        <v>0.76755999999999991</v>
      </c>
      <c r="H31" s="59"/>
      <c r="I31" s="59">
        <f>(Source!F106+ Source!F105)/1000</f>
        <v>23.42577</v>
      </c>
      <c r="J31" s="59"/>
      <c r="K31" s="60" t="s">
        <v>514</v>
      </c>
      <c r="L31" s="60"/>
    </row>
    <row r="32" spans="1:12" ht="14.25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26" ht="14.25" x14ac:dyDescent="0.2">
      <c r="A33" s="62" t="s">
        <v>534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26" ht="57" x14ac:dyDescent="0.2">
      <c r="A34" s="25" t="s">
        <v>522</v>
      </c>
      <c r="B34" s="25" t="s">
        <v>523</v>
      </c>
      <c r="C34" s="25" t="s">
        <v>524</v>
      </c>
      <c r="D34" s="25" t="s">
        <v>525</v>
      </c>
      <c r="E34" s="25" t="s">
        <v>526</v>
      </c>
      <c r="F34" s="25" t="s">
        <v>527</v>
      </c>
      <c r="G34" s="25" t="s">
        <v>528</v>
      </c>
      <c r="H34" s="25" t="s">
        <v>529</v>
      </c>
      <c r="I34" s="25" t="s">
        <v>530</v>
      </c>
      <c r="J34" s="25" t="s">
        <v>531</v>
      </c>
      <c r="K34" s="25" t="s">
        <v>532</v>
      </c>
      <c r="L34" s="25" t="s">
        <v>533</v>
      </c>
    </row>
    <row r="35" spans="1:26" ht="14.25" x14ac:dyDescent="0.2">
      <c r="A35" s="26">
        <v>1</v>
      </c>
      <c r="B35" s="26">
        <v>2</v>
      </c>
      <c r="C35" s="26">
        <v>3</v>
      </c>
      <c r="D35" s="26">
        <v>4</v>
      </c>
      <c r="E35" s="26">
        <v>5</v>
      </c>
      <c r="F35" s="26">
        <v>6</v>
      </c>
      <c r="G35" s="26">
        <v>7</v>
      </c>
      <c r="H35" s="26">
        <v>8</v>
      </c>
      <c r="I35" s="26">
        <v>9</v>
      </c>
      <c r="J35" s="26">
        <v>10</v>
      </c>
      <c r="K35" s="26">
        <v>11</v>
      </c>
      <c r="L35" s="27">
        <v>12</v>
      </c>
    </row>
    <row r="37" spans="1:26" ht="16.5" x14ac:dyDescent="0.25">
      <c r="A37" s="65" t="str">
        <f>CONCATENATE("Локальная смета: ",IF(Source!G20&lt;&gt;"Новая локальная смета", Source!G20, ""))</f>
        <v xml:space="preserve">Локальная смета: 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</row>
    <row r="38" spans="1:26" ht="42.75" x14ac:dyDescent="0.2">
      <c r="A38" s="43" t="str">
        <f>Source!E25</f>
        <v>1</v>
      </c>
      <c r="B38" s="44" t="s">
        <v>535</v>
      </c>
      <c r="C38" s="44" t="str">
        <f>Source!G25</f>
        <v>Объектовая станция</v>
      </c>
      <c r="D38" s="32" t="str">
        <f>Source!H25</f>
        <v>1 КОМПЛ.</v>
      </c>
      <c r="E38" s="10">
        <f>Source!I25</f>
        <v>1</v>
      </c>
      <c r="F38" s="24">
        <f>Source!AL25+Source!AM25+Source!AO25</f>
        <v>159.44</v>
      </c>
      <c r="G38" s="19"/>
      <c r="H38" s="24"/>
      <c r="I38" s="19" t="str">
        <f>Source!BO25</f>
        <v>м10-04-088-1</v>
      </c>
      <c r="J38" s="19"/>
      <c r="K38" s="24"/>
      <c r="L38" s="33"/>
      <c r="S38">
        <f>ROUND((Source!FX25/100)*((ROUND(Source!AF25*Source!I25, 2)+ROUND(Source!AE25*Source!I25, 2))), 2)</f>
        <v>88.5</v>
      </c>
      <c r="T38">
        <f>Source!X25</f>
        <v>2701.14</v>
      </c>
      <c r="U38">
        <f>ROUND((Source!FY25/100)*((ROUND(Source!AF25*Source!I25, 2)+ROUND(Source!AE25*Source!I25, 2))), 2)</f>
        <v>62.53</v>
      </c>
      <c r="V38">
        <f>Source!Y25</f>
        <v>1908.41</v>
      </c>
    </row>
    <row r="39" spans="1:26" ht="14.25" x14ac:dyDescent="0.2">
      <c r="A39" s="43"/>
      <c r="B39" s="44"/>
      <c r="C39" s="44" t="s">
        <v>536</v>
      </c>
      <c r="D39" s="32"/>
      <c r="E39" s="10"/>
      <c r="F39" s="24">
        <f>Source!AO25</f>
        <v>96.2</v>
      </c>
      <c r="G39" s="19" t="str">
        <f>Source!DG25</f>
        <v/>
      </c>
      <c r="H39" s="24">
        <f>ROUND(Source!AF25*Source!I25, 2)</f>
        <v>96.2</v>
      </c>
      <c r="I39" s="19"/>
      <c r="J39" s="19">
        <f>IF(Source!BA25&lt;&gt; 0, Source!BA25, 1)</f>
        <v>30.52</v>
      </c>
      <c r="K39" s="24">
        <f>Source!S25</f>
        <v>2936.02</v>
      </c>
      <c r="L39" s="33"/>
      <c r="R39">
        <f>H39</f>
        <v>96.2</v>
      </c>
    </row>
    <row r="40" spans="1:26" ht="14.25" x14ac:dyDescent="0.2">
      <c r="A40" s="43"/>
      <c r="B40" s="44"/>
      <c r="C40" s="44" t="s">
        <v>537</v>
      </c>
      <c r="D40" s="32"/>
      <c r="E40" s="10"/>
      <c r="F40" s="24">
        <f>Source!AL25</f>
        <v>63.24</v>
      </c>
      <c r="G40" s="19" t="str">
        <f>Source!DD25</f>
        <v/>
      </c>
      <c r="H40" s="24">
        <f>ROUND(Source!AC25*Source!I25, 2)</f>
        <v>63.24</v>
      </c>
      <c r="I40" s="19"/>
      <c r="J40" s="19">
        <f>IF(Source!BC25&lt;&gt; 0, Source!BC25, 1)</f>
        <v>4.97</v>
      </c>
      <c r="K40" s="24">
        <f>Source!P25</f>
        <v>314.3</v>
      </c>
      <c r="L40" s="33"/>
    </row>
    <row r="41" spans="1:26" ht="14.25" x14ac:dyDescent="0.2">
      <c r="A41" s="43"/>
      <c r="B41" s="44"/>
      <c r="C41" s="44" t="s">
        <v>538</v>
      </c>
      <c r="D41" s="32" t="s">
        <v>539</v>
      </c>
      <c r="E41" s="10">
        <f>Source!BZ25</f>
        <v>92</v>
      </c>
      <c r="F41" s="47"/>
      <c r="G41" s="19"/>
      <c r="H41" s="24">
        <f>SUM(S38:S43)</f>
        <v>88.5</v>
      </c>
      <c r="I41" s="34"/>
      <c r="J41" s="20">
        <f>Source!AT25</f>
        <v>92</v>
      </c>
      <c r="K41" s="24">
        <f>SUM(T38:T43)</f>
        <v>2701.14</v>
      </c>
      <c r="L41" s="33"/>
    </row>
    <row r="42" spans="1:26" ht="14.25" x14ac:dyDescent="0.2">
      <c r="A42" s="43"/>
      <c r="B42" s="44"/>
      <c r="C42" s="44" t="s">
        <v>540</v>
      </c>
      <c r="D42" s="32" t="s">
        <v>539</v>
      </c>
      <c r="E42" s="10">
        <f>Source!CA25</f>
        <v>65</v>
      </c>
      <c r="F42" s="47"/>
      <c r="G42" s="19"/>
      <c r="H42" s="24">
        <f>SUM(U38:U43)</f>
        <v>62.53</v>
      </c>
      <c r="I42" s="34"/>
      <c r="J42" s="20">
        <f>Source!AU25</f>
        <v>65</v>
      </c>
      <c r="K42" s="24">
        <f>SUM(V38:V43)</f>
        <v>1908.41</v>
      </c>
      <c r="L42" s="33"/>
    </row>
    <row r="43" spans="1:26" ht="14.25" x14ac:dyDescent="0.2">
      <c r="A43" s="45"/>
      <c r="B43" s="46"/>
      <c r="C43" s="46" t="s">
        <v>541</v>
      </c>
      <c r="D43" s="35" t="s">
        <v>542</v>
      </c>
      <c r="E43" s="36">
        <f>Source!AQ25</f>
        <v>10</v>
      </c>
      <c r="F43" s="37"/>
      <c r="G43" s="38" t="str">
        <f>Source!DI25</f>
        <v/>
      </c>
      <c r="H43" s="37"/>
      <c r="I43" s="38"/>
      <c r="J43" s="38"/>
      <c r="K43" s="37"/>
      <c r="L43" s="39">
        <f>Source!U25</f>
        <v>10</v>
      </c>
    </row>
    <row r="44" spans="1:26" ht="15" x14ac:dyDescent="0.25">
      <c r="G44" s="63">
        <f>H39+H40+H41+H42</f>
        <v>310.47000000000003</v>
      </c>
      <c r="H44" s="63"/>
      <c r="J44" s="63">
        <f>K39+K40+K41+K42</f>
        <v>7859.87</v>
      </c>
      <c r="K44" s="63"/>
      <c r="L44" s="40">
        <f>Source!U25</f>
        <v>10</v>
      </c>
      <c r="O44" s="28">
        <f>G44</f>
        <v>310.47000000000003</v>
      </c>
      <c r="P44" s="28">
        <f>J44</f>
        <v>7859.87</v>
      </c>
      <c r="Q44" s="28">
        <f>L44</f>
        <v>10</v>
      </c>
      <c r="W44">
        <f>IF(Source!BI25&lt;=1,H39+H40+H41+H42, 0)</f>
        <v>0</v>
      </c>
      <c r="X44">
        <f>IF(Source!BI25=2,H39+H40+H41+H42, 0)</f>
        <v>310.47000000000003</v>
      </c>
      <c r="Y44">
        <f>IF(Source!BI25=3,H39+H40+H41+H42, 0)</f>
        <v>0</v>
      </c>
      <c r="Z44">
        <f>IF(Source!BI25=4,H39+H40+H41+H42, 0)</f>
        <v>0</v>
      </c>
    </row>
    <row r="45" spans="1:26" ht="42.75" x14ac:dyDescent="0.2">
      <c r="A45" s="45" t="str">
        <f>Source!E26</f>
        <v>2</v>
      </c>
      <c r="B45" s="46" t="s">
        <v>29</v>
      </c>
      <c r="C45" s="46" t="s">
        <v>543</v>
      </c>
      <c r="D45" s="35" t="str">
        <f>Source!H26</f>
        <v>компл.</v>
      </c>
      <c r="E45" s="36">
        <f>Source!I26</f>
        <v>1</v>
      </c>
      <c r="F45" s="37">
        <f>Source!AL26</f>
        <v>15822</v>
      </c>
      <c r="G45" s="38" t="str">
        <f>Source!DD26</f>
        <v/>
      </c>
      <c r="H45" s="37">
        <f>ROUND(Source!AC26*Source!I26, 2)</f>
        <v>15822</v>
      </c>
      <c r="I45" s="38" t="str">
        <f>Source!BO26</f>
        <v/>
      </c>
      <c r="J45" s="38">
        <f>IF(Source!BC26&lt;&gt; 0, Source!BC26, 1)</f>
        <v>1</v>
      </c>
      <c r="K45" s="37">
        <f>Source!P26</f>
        <v>15822</v>
      </c>
      <c r="L45" s="41"/>
      <c r="S45">
        <f>ROUND((Source!FX26/100)*((ROUND(Source!AF26*Source!I26, 2)+ROUND(Source!AE26*Source!I26, 2))), 2)</f>
        <v>0</v>
      </c>
      <c r="T45">
        <f>Source!X26</f>
        <v>0</v>
      </c>
      <c r="U45">
        <f>ROUND((Source!FY26/100)*((ROUND(Source!AF26*Source!I26, 2)+ROUND(Source!AE26*Source!I26, 2))), 2)</f>
        <v>0</v>
      </c>
      <c r="V45">
        <f>Source!Y26</f>
        <v>0</v>
      </c>
    </row>
    <row r="46" spans="1:26" ht="15" x14ac:dyDescent="0.25">
      <c r="G46" s="63">
        <f>H45</f>
        <v>15822</v>
      </c>
      <c r="H46" s="63"/>
      <c r="J46" s="63">
        <f>K45</f>
        <v>15822</v>
      </c>
      <c r="K46" s="63"/>
      <c r="L46" s="40">
        <f>Source!U26</f>
        <v>0</v>
      </c>
      <c r="O46" s="28">
        <f>G46</f>
        <v>15822</v>
      </c>
      <c r="P46" s="28">
        <f>J46</f>
        <v>15822</v>
      </c>
      <c r="Q46" s="28">
        <f>L46</f>
        <v>0</v>
      </c>
      <c r="W46">
        <f>IF(Source!BI26&lt;=1,H45, 0)</f>
        <v>0</v>
      </c>
      <c r="X46">
        <f>IF(Source!BI26=2,H45, 0)</f>
        <v>0</v>
      </c>
      <c r="Y46">
        <f>IF(Source!BI26=3,H45, 0)</f>
        <v>15822</v>
      </c>
      <c r="Z46">
        <f>IF(Source!BI26=4,H45, 0)</f>
        <v>0</v>
      </c>
    </row>
    <row r="47" spans="1:26" ht="28.5" x14ac:dyDescent="0.2">
      <c r="A47" s="43" t="str">
        <f>Source!E27</f>
        <v>3</v>
      </c>
      <c r="B47" s="44" t="s">
        <v>544</v>
      </c>
      <c r="C47" s="44" t="str">
        <f>Source!G27</f>
        <v>Прибор ОПС на 4 луча</v>
      </c>
      <c r="D47" s="32" t="str">
        <f>Source!H27</f>
        <v>1  ШТ.</v>
      </c>
      <c r="E47" s="10">
        <f>Source!I27</f>
        <v>1</v>
      </c>
      <c r="F47" s="24">
        <f>Source!AL27+Source!AM27+Source!AO27</f>
        <v>29.66</v>
      </c>
      <c r="G47" s="19"/>
      <c r="H47" s="24"/>
      <c r="I47" s="19" t="str">
        <f>Source!BO27</f>
        <v>м10-08-001-8</v>
      </c>
      <c r="J47" s="19"/>
      <c r="K47" s="24"/>
      <c r="L47" s="33"/>
      <c r="S47">
        <f>ROUND((Source!FX27/100)*((ROUND(Source!AF27*Source!I27, 2)+ROUND(Source!AE27*Source!I27, 2))), 2)</f>
        <v>20.16</v>
      </c>
      <c r="T47">
        <f>Source!X27</f>
        <v>615.28</v>
      </c>
      <c r="U47">
        <f>ROUND((Source!FY27/100)*((ROUND(Source!AF27*Source!I27, 2)+ROUND(Source!AE27*Source!I27, 2))), 2)</f>
        <v>15.12</v>
      </c>
      <c r="V47">
        <f>Source!Y27</f>
        <v>461.46</v>
      </c>
    </row>
    <row r="48" spans="1:26" ht="14.25" x14ac:dyDescent="0.2">
      <c r="A48" s="43"/>
      <c r="B48" s="44"/>
      <c r="C48" s="44" t="s">
        <v>536</v>
      </c>
      <c r="D48" s="32"/>
      <c r="E48" s="10"/>
      <c r="F48" s="24">
        <f>Source!AO27</f>
        <v>25.2</v>
      </c>
      <c r="G48" s="19" t="str">
        <f>Source!DG27</f>
        <v/>
      </c>
      <c r="H48" s="24">
        <f>ROUND(Source!AF27*Source!I27, 2)</f>
        <v>25.2</v>
      </c>
      <c r="I48" s="19"/>
      <c r="J48" s="19">
        <f>IF(Source!BA27&lt;&gt; 0, Source!BA27, 1)</f>
        <v>30.52</v>
      </c>
      <c r="K48" s="24">
        <f>Source!S27</f>
        <v>769.1</v>
      </c>
      <c r="L48" s="33"/>
      <c r="R48">
        <f>H48</f>
        <v>25.2</v>
      </c>
    </row>
    <row r="49" spans="1:26" ht="14.25" x14ac:dyDescent="0.2">
      <c r="A49" s="43"/>
      <c r="B49" s="44"/>
      <c r="C49" s="44" t="s">
        <v>200</v>
      </c>
      <c r="D49" s="32"/>
      <c r="E49" s="10"/>
      <c r="F49" s="24">
        <f>Source!AM27</f>
        <v>0.25</v>
      </c>
      <c r="G49" s="19" t="str">
        <f>Source!DE27</f>
        <v/>
      </c>
      <c r="H49" s="24">
        <f>ROUND(Source!AD27*Source!I27, 2)</f>
        <v>0.25</v>
      </c>
      <c r="I49" s="19"/>
      <c r="J49" s="19">
        <f>IF(Source!BB27&lt;&gt; 0, Source!BB27, 1)</f>
        <v>3.76</v>
      </c>
      <c r="K49" s="24">
        <f>Source!Q27</f>
        <v>0.94</v>
      </c>
      <c r="L49" s="33"/>
    </row>
    <row r="50" spans="1:26" ht="14.25" x14ac:dyDescent="0.2">
      <c r="A50" s="43"/>
      <c r="B50" s="44"/>
      <c r="C50" s="44" t="s">
        <v>537</v>
      </c>
      <c r="D50" s="32"/>
      <c r="E50" s="10"/>
      <c r="F50" s="24">
        <f>Source!AL27</f>
        <v>4.21</v>
      </c>
      <c r="G50" s="19" t="str">
        <f>Source!DD27</f>
        <v/>
      </c>
      <c r="H50" s="24">
        <f>ROUND(Source!AC27*Source!I27, 2)</f>
        <v>4.21</v>
      </c>
      <c r="I50" s="19"/>
      <c r="J50" s="19">
        <f>IF(Source!BC27&lt;&gt; 0, Source!BC27, 1)</f>
        <v>8.4700000000000006</v>
      </c>
      <c r="K50" s="24">
        <f>Source!P27</f>
        <v>35.659999999999997</v>
      </c>
      <c r="L50" s="33"/>
    </row>
    <row r="51" spans="1:26" ht="14.25" x14ac:dyDescent="0.2">
      <c r="A51" s="43"/>
      <c r="B51" s="44"/>
      <c r="C51" s="44" t="s">
        <v>538</v>
      </c>
      <c r="D51" s="32" t="s">
        <v>539</v>
      </c>
      <c r="E51" s="10">
        <f>Source!BZ27</f>
        <v>80</v>
      </c>
      <c r="F51" s="47"/>
      <c r="G51" s="19"/>
      <c r="H51" s="24">
        <f>SUM(S47:S53)</f>
        <v>20.16</v>
      </c>
      <c r="I51" s="34"/>
      <c r="J51" s="20">
        <f>Source!AT27</f>
        <v>80</v>
      </c>
      <c r="K51" s="24">
        <f>SUM(T47:T53)</f>
        <v>615.28</v>
      </c>
      <c r="L51" s="33"/>
    </row>
    <row r="52" spans="1:26" ht="14.25" x14ac:dyDescent="0.2">
      <c r="A52" s="43"/>
      <c r="B52" s="44"/>
      <c r="C52" s="44" t="s">
        <v>540</v>
      </c>
      <c r="D52" s="32" t="s">
        <v>539</v>
      </c>
      <c r="E52" s="10">
        <f>Source!CA27</f>
        <v>60</v>
      </c>
      <c r="F52" s="47"/>
      <c r="G52" s="19"/>
      <c r="H52" s="24">
        <f>SUM(U47:U53)</f>
        <v>15.12</v>
      </c>
      <c r="I52" s="34"/>
      <c r="J52" s="20">
        <f>Source!AU27</f>
        <v>60</v>
      </c>
      <c r="K52" s="24">
        <f>SUM(V47:V53)</f>
        <v>461.46</v>
      </c>
      <c r="L52" s="33"/>
    </row>
    <row r="53" spans="1:26" ht="14.25" x14ac:dyDescent="0.2">
      <c r="A53" s="45"/>
      <c r="B53" s="46"/>
      <c r="C53" s="46" t="s">
        <v>541</v>
      </c>
      <c r="D53" s="35" t="s">
        <v>542</v>
      </c>
      <c r="E53" s="36">
        <f>Source!AQ27</f>
        <v>2.4</v>
      </c>
      <c r="F53" s="37"/>
      <c r="G53" s="38" t="str">
        <f>Source!DI27</f>
        <v/>
      </c>
      <c r="H53" s="37"/>
      <c r="I53" s="38"/>
      <c r="J53" s="38"/>
      <c r="K53" s="37"/>
      <c r="L53" s="39">
        <f>Source!U27</f>
        <v>2.4</v>
      </c>
    </row>
    <row r="54" spans="1:26" ht="15" x14ac:dyDescent="0.25">
      <c r="G54" s="63">
        <f>H48+H49+H50+H51+H52</f>
        <v>64.94</v>
      </c>
      <c r="H54" s="63"/>
      <c r="J54" s="63">
        <f>K48+K49+K50+K51+K52</f>
        <v>1882.44</v>
      </c>
      <c r="K54" s="63"/>
      <c r="L54" s="40">
        <f>Source!U27</f>
        <v>2.4</v>
      </c>
      <c r="O54" s="28">
        <f>G54</f>
        <v>64.94</v>
      </c>
      <c r="P54" s="28">
        <f>J54</f>
        <v>1882.44</v>
      </c>
      <c r="Q54" s="28">
        <f>L54</f>
        <v>2.4</v>
      </c>
      <c r="W54">
        <f>IF(Source!BI27&lt;=1,H48+H49+H50+H51+H52, 0)</f>
        <v>0</v>
      </c>
      <c r="X54">
        <f>IF(Source!BI27=2,H48+H49+H50+H51+H52, 0)</f>
        <v>64.94</v>
      </c>
      <c r="Y54">
        <f>IF(Source!BI27=3,H48+H49+H50+H51+H52, 0)</f>
        <v>0</v>
      </c>
      <c r="Z54">
        <f>IF(Source!BI27=4,H48+H49+H50+H51+H52, 0)</f>
        <v>0</v>
      </c>
    </row>
    <row r="55" spans="1:26" ht="28.5" x14ac:dyDescent="0.2">
      <c r="A55" s="45" t="str">
        <f>Source!E28</f>
        <v>4</v>
      </c>
      <c r="B55" s="46" t="s">
        <v>545</v>
      </c>
      <c r="C55" s="46" t="str">
        <f>Source!G28</f>
        <v>Прибор приемно-контрольный охранно-пожарный</v>
      </c>
      <c r="D55" s="35" t="str">
        <f>Source!H28</f>
        <v>шт.</v>
      </c>
      <c r="E55" s="36">
        <f>Source!I28</f>
        <v>1</v>
      </c>
      <c r="F55" s="37">
        <f>Source!AL28</f>
        <v>875.85</v>
      </c>
      <c r="G55" s="38" t="str">
        <f>Source!DD28</f>
        <v/>
      </c>
      <c r="H55" s="37">
        <f>ROUND(Source!AC28*Source!I28, 2)</f>
        <v>875.85</v>
      </c>
      <c r="I55" s="38" t="str">
        <f>Source!BO28</f>
        <v>509-5664</v>
      </c>
      <c r="J55" s="38">
        <f>IF(Source!BC28&lt;&gt; 0, Source!BC28, 1)</f>
        <v>2.0499999999999998</v>
      </c>
      <c r="K55" s="37">
        <f>Source!P28</f>
        <v>1795.49</v>
      </c>
      <c r="L55" s="41"/>
      <c r="S55">
        <f>ROUND((Source!FX28/100)*((ROUND(Source!AF28*Source!I28, 2)+ROUND(Source!AE28*Source!I28, 2))), 2)</f>
        <v>0</v>
      </c>
      <c r="T55">
        <f>Source!X28</f>
        <v>0</v>
      </c>
      <c r="U55">
        <f>ROUND((Source!FY28/100)*((ROUND(Source!AF28*Source!I28, 2)+ROUND(Source!AE28*Source!I28, 2))), 2)</f>
        <v>0</v>
      </c>
      <c r="V55">
        <f>Source!Y28</f>
        <v>0</v>
      </c>
    </row>
    <row r="56" spans="1:26" ht="15" x14ac:dyDescent="0.25">
      <c r="G56" s="63">
        <f>H55</f>
        <v>875.85</v>
      </c>
      <c r="H56" s="63"/>
      <c r="J56" s="63">
        <f>K55</f>
        <v>1795.49</v>
      </c>
      <c r="K56" s="63"/>
      <c r="L56" s="40">
        <f>Source!U28</f>
        <v>0</v>
      </c>
      <c r="O56" s="28">
        <f>G56</f>
        <v>875.85</v>
      </c>
      <c r="P56" s="28">
        <f>J56</f>
        <v>1795.49</v>
      </c>
      <c r="Q56" s="28">
        <f>L56</f>
        <v>0</v>
      </c>
      <c r="W56">
        <f>IF(Source!BI28&lt;=1,H55, 0)</f>
        <v>0</v>
      </c>
      <c r="X56">
        <f>IF(Source!BI28=2,H55, 0)</f>
        <v>875.85</v>
      </c>
      <c r="Y56">
        <f>IF(Source!BI28=3,H55, 0)</f>
        <v>0</v>
      </c>
      <c r="Z56">
        <f>IF(Source!BI28=4,H55, 0)</f>
        <v>0</v>
      </c>
    </row>
    <row r="57" spans="1:26" ht="42.75" x14ac:dyDescent="0.2">
      <c r="A57" s="43" t="str">
        <f>Source!E29</f>
        <v>5</v>
      </c>
      <c r="B57" s="44" t="s">
        <v>546</v>
      </c>
      <c r="C57" s="44" t="str">
        <f>Source!G29</f>
        <v>Шкаф (пульт) управления навесной, высота, ширина и глубина до 600х600х350 мм</v>
      </c>
      <c r="D57" s="32" t="str">
        <f>Source!H29</f>
        <v>1  ШТ.</v>
      </c>
      <c r="E57" s="10">
        <f>Source!I29</f>
        <v>1</v>
      </c>
      <c r="F57" s="24">
        <f>Source!AL29+Source!AM29+Source!AO29</f>
        <v>59.070000000000007</v>
      </c>
      <c r="G57" s="19"/>
      <c r="H57" s="24"/>
      <c r="I57" s="19" t="str">
        <f>Source!BO29</f>
        <v>м08-03-573-4</v>
      </c>
      <c r="J57" s="19"/>
      <c r="K57" s="24"/>
      <c r="L57" s="33"/>
      <c r="S57">
        <f>ROUND((Source!FX29/100)*((ROUND(Source!AF29*Source!I29, 2)+ROUND(Source!AE29*Source!I29, 2))), 2)</f>
        <v>25.34</v>
      </c>
      <c r="T57">
        <f>Source!X29</f>
        <v>773.27</v>
      </c>
      <c r="U57">
        <f>ROUND((Source!FY29/100)*((ROUND(Source!AF29*Source!I29, 2)+ROUND(Source!AE29*Source!I29, 2))), 2)</f>
        <v>17.34</v>
      </c>
      <c r="V57">
        <f>Source!Y29</f>
        <v>529.08000000000004</v>
      </c>
    </row>
    <row r="58" spans="1:26" ht="14.25" x14ac:dyDescent="0.2">
      <c r="A58" s="43"/>
      <c r="B58" s="44"/>
      <c r="C58" s="44" t="s">
        <v>536</v>
      </c>
      <c r="D58" s="32"/>
      <c r="E58" s="10"/>
      <c r="F58" s="24">
        <f>Source!AO29</f>
        <v>23.51</v>
      </c>
      <c r="G58" s="19" t="str">
        <f>Source!DG29</f>
        <v/>
      </c>
      <c r="H58" s="24">
        <f>ROUND(Source!AF29*Source!I29, 2)</f>
        <v>23.51</v>
      </c>
      <c r="I58" s="19"/>
      <c r="J58" s="19">
        <f>IF(Source!BA29&lt;&gt; 0, Source!BA29, 1)</f>
        <v>30.52</v>
      </c>
      <c r="K58" s="24">
        <f>Source!S29</f>
        <v>717.53</v>
      </c>
      <c r="L58" s="33"/>
      <c r="R58">
        <f>H58</f>
        <v>23.51</v>
      </c>
    </row>
    <row r="59" spans="1:26" ht="14.25" x14ac:dyDescent="0.2">
      <c r="A59" s="43"/>
      <c r="B59" s="44"/>
      <c r="C59" s="44" t="s">
        <v>200</v>
      </c>
      <c r="D59" s="32"/>
      <c r="E59" s="10"/>
      <c r="F59" s="24">
        <f>Source!AM29</f>
        <v>32.18</v>
      </c>
      <c r="G59" s="19" t="str">
        <f>Source!DE29</f>
        <v/>
      </c>
      <c r="H59" s="24">
        <f>ROUND(Source!AD29*Source!I29, 2)</f>
        <v>32.18</v>
      </c>
      <c r="I59" s="19"/>
      <c r="J59" s="19">
        <f>IF(Source!BB29&lt;&gt; 0, Source!BB29, 1)</f>
        <v>9.14</v>
      </c>
      <c r="K59" s="24">
        <f>Source!Q29</f>
        <v>294.13</v>
      </c>
      <c r="L59" s="33"/>
    </row>
    <row r="60" spans="1:26" ht="14.25" x14ac:dyDescent="0.2">
      <c r="A60" s="43"/>
      <c r="B60" s="44"/>
      <c r="C60" s="44" t="s">
        <v>547</v>
      </c>
      <c r="D60" s="32"/>
      <c r="E60" s="10"/>
      <c r="F60" s="24">
        <f>Source!AN29</f>
        <v>3.16</v>
      </c>
      <c r="G60" s="19" t="str">
        <f>Source!DF29</f>
        <v/>
      </c>
      <c r="H60" s="42">
        <f>ROUND(Source!AE29*Source!I29, 2)</f>
        <v>3.16</v>
      </c>
      <c r="I60" s="19"/>
      <c r="J60" s="19">
        <f>IF(Source!BS29&lt;&gt; 0, Source!BS29, 1)</f>
        <v>30.52</v>
      </c>
      <c r="K60" s="42">
        <f>Source!R29</f>
        <v>96.44</v>
      </c>
      <c r="L60" s="33"/>
      <c r="R60">
        <f>H60</f>
        <v>3.16</v>
      </c>
    </row>
    <row r="61" spans="1:26" ht="14.25" x14ac:dyDescent="0.2">
      <c r="A61" s="43"/>
      <c r="B61" s="44"/>
      <c r="C61" s="44" t="s">
        <v>537</v>
      </c>
      <c r="D61" s="32"/>
      <c r="E61" s="10"/>
      <c r="F61" s="24">
        <f>Source!AL29</f>
        <v>3.38</v>
      </c>
      <c r="G61" s="19" t="str">
        <f>Source!DD29</f>
        <v/>
      </c>
      <c r="H61" s="24">
        <f>ROUND(Source!AC29*Source!I29, 2)</f>
        <v>3.38</v>
      </c>
      <c r="I61" s="19"/>
      <c r="J61" s="19">
        <f>IF(Source!BC29&lt;&gt; 0, Source!BC29, 1)</f>
        <v>9.75</v>
      </c>
      <c r="K61" s="24">
        <f>Source!P29</f>
        <v>32.96</v>
      </c>
      <c r="L61" s="33"/>
    </row>
    <row r="62" spans="1:26" ht="14.25" x14ac:dyDescent="0.2">
      <c r="A62" s="43"/>
      <c r="B62" s="44"/>
      <c r="C62" s="44" t="s">
        <v>538</v>
      </c>
      <c r="D62" s="32" t="s">
        <v>539</v>
      </c>
      <c r="E62" s="10">
        <f>Source!BZ29</f>
        <v>95</v>
      </c>
      <c r="F62" s="47"/>
      <c r="G62" s="19"/>
      <c r="H62" s="24">
        <f>SUM(S57:S64)</f>
        <v>25.34</v>
      </c>
      <c r="I62" s="34"/>
      <c r="J62" s="20">
        <f>Source!AT29</f>
        <v>95</v>
      </c>
      <c r="K62" s="24">
        <f>SUM(T57:T64)</f>
        <v>773.27</v>
      </c>
      <c r="L62" s="33"/>
    </row>
    <row r="63" spans="1:26" ht="14.25" x14ac:dyDescent="0.2">
      <c r="A63" s="43"/>
      <c r="B63" s="44"/>
      <c r="C63" s="44" t="s">
        <v>540</v>
      </c>
      <c r="D63" s="32" t="s">
        <v>539</v>
      </c>
      <c r="E63" s="10">
        <f>Source!CA29</f>
        <v>65</v>
      </c>
      <c r="F63" s="47"/>
      <c r="G63" s="19"/>
      <c r="H63" s="24">
        <f>SUM(U57:U64)</f>
        <v>17.34</v>
      </c>
      <c r="I63" s="34"/>
      <c r="J63" s="20">
        <f>Source!AU29</f>
        <v>65</v>
      </c>
      <c r="K63" s="24">
        <f>SUM(V57:V64)</f>
        <v>529.08000000000004</v>
      </c>
      <c r="L63" s="33"/>
    </row>
    <row r="64" spans="1:26" ht="14.25" x14ac:dyDescent="0.2">
      <c r="A64" s="45"/>
      <c r="B64" s="46"/>
      <c r="C64" s="46" t="s">
        <v>541</v>
      </c>
      <c r="D64" s="35" t="s">
        <v>542</v>
      </c>
      <c r="E64" s="36">
        <f>Source!AQ29</f>
        <v>2.37</v>
      </c>
      <c r="F64" s="37"/>
      <c r="G64" s="38" t="str">
        <f>Source!DI29</f>
        <v/>
      </c>
      <c r="H64" s="37"/>
      <c r="I64" s="38"/>
      <c r="J64" s="38"/>
      <c r="K64" s="37"/>
      <c r="L64" s="39">
        <f>Source!U29</f>
        <v>2.37</v>
      </c>
    </row>
    <row r="65" spans="1:26" ht="15" x14ac:dyDescent="0.25">
      <c r="G65" s="63">
        <f>H58+H59+H61+H62+H63</f>
        <v>101.75</v>
      </c>
      <c r="H65" s="63"/>
      <c r="J65" s="63">
        <f>K58+K59+K61+K62+K63</f>
        <v>2346.9699999999998</v>
      </c>
      <c r="K65" s="63"/>
      <c r="L65" s="40">
        <f>Source!U29</f>
        <v>2.37</v>
      </c>
      <c r="O65" s="28">
        <f>G65</f>
        <v>101.75</v>
      </c>
      <c r="P65" s="28">
        <f>J65</f>
        <v>2346.9699999999998</v>
      </c>
      <c r="Q65" s="28">
        <f>L65</f>
        <v>2.37</v>
      </c>
      <c r="W65">
        <f>IF(Source!BI29&lt;=1,H58+H59+H61+H62+H63, 0)</f>
        <v>0</v>
      </c>
      <c r="X65">
        <f>IF(Source!BI29=2,H58+H59+H61+H62+H63, 0)</f>
        <v>101.75</v>
      </c>
      <c r="Y65">
        <f>IF(Source!BI29=3,H58+H59+H61+H62+H63, 0)</f>
        <v>0</v>
      </c>
      <c r="Z65">
        <f>IF(Source!BI29=4,H58+H59+H61+H62+H63, 0)</f>
        <v>0</v>
      </c>
    </row>
    <row r="66" spans="1:26" ht="28.5" x14ac:dyDescent="0.2">
      <c r="A66" s="45" t="str">
        <f>Source!E30</f>
        <v>6</v>
      </c>
      <c r="B66" s="46" t="s">
        <v>548</v>
      </c>
      <c r="C66" s="46" t="str">
        <f>Source!G30</f>
        <v>Пульт контроля и управления охранно-пожарный светодиодный</v>
      </c>
      <c r="D66" s="35" t="str">
        <f>Source!H30</f>
        <v>шт.</v>
      </c>
      <c r="E66" s="36">
        <f>Source!I30</f>
        <v>1</v>
      </c>
      <c r="F66" s="37">
        <f>Source!AL30</f>
        <v>194.88</v>
      </c>
      <c r="G66" s="38" t="str">
        <f>Source!DD30</f>
        <v/>
      </c>
      <c r="H66" s="37">
        <f>ROUND(Source!AC30*Source!I30, 2)</f>
        <v>194.88</v>
      </c>
      <c r="I66" s="38" t="str">
        <f>Source!BO30</f>
        <v>509-4292</v>
      </c>
      <c r="J66" s="38">
        <f>IF(Source!BC30&lt;&gt; 0, Source!BC30, 1)</f>
        <v>11.68</v>
      </c>
      <c r="K66" s="37">
        <f>Source!P30</f>
        <v>2276.1999999999998</v>
      </c>
      <c r="L66" s="41"/>
      <c r="S66">
        <f>ROUND((Source!FX30/100)*((ROUND(Source!AF30*Source!I30, 2)+ROUND(Source!AE30*Source!I30, 2))), 2)</f>
        <v>0</v>
      </c>
      <c r="T66">
        <f>Source!X30</f>
        <v>0</v>
      </c>
      <c r="U66">
        <f>ROUND((Source!FY30/100)*((ROUND(Source!AF30*Source!I30, 2)+ROUND(Source!AE30*Source!I30, 2))), 2)</f>
        <v>0</v>
      </c>
      <c r="V66">
        <f>Source!Y30</f>
        <v>0</v>
      </c>
    </row>
    <row r="67" spans="1:26" ht="15" x14ac:dyDescent="0.25">
      <c r="G67" s="63">
        <f>H66</f>
        <v>194.88</v>
      </c>
      <c r="H67" s="63"/>
      <c r="J67" s="63">
        <f>K66</f>
        <v>2276.1999999999998</v>
      </c>
      <c r="K67" s="63"/>
      <c r="L67" s="40">
        <f>Source!U30</f>
        <v>0</v>
      </c>
      <c r="O67" s="28">
        <f>G67</f>
        <v>194.88</v>
      </c>
      <c r="P67" s="28">
        <f>J67</f>
        <v>2276.1999999999998</v>
      </c>
      <c r="Q67" s="28">
        <f>L67</f>
        <v>0</v>
      </c>
      <c r="W67">
        <f>IF(Source!BI30&lt;=1,H66, 0)</f>
        <v>0</v>
      </c>
      <c r="X67">
        <f>IF(Source!BI30=2,H66, 0)</f>
        <v>194.88</v>
      </c>
      <c r="Y67">
        <f>IF(Source!BI30=3,H66, 0)</f>
        <v>0</v>
      </c>
      <c r="Z67">
        <f>IF(Source!BI30=4,H66, 0)</f>
        <v>0</v>
      </c>
    </row>
    <row r="68" spans="1:26" ht="28.5" x14ac:dyDescent="0.2">
      <c r="A68" s="43" t="str">
        <f>Source!E31</f>
        <v>7</v>
      </c>
      <c r="B68" s="44" t="s">
        <v>549</v>
      </c>
      <c r="C68" s="44" t="str">
        <f>Source!G31</f>
        <v>Отдельно устанавливаемый преобразователь или блок питания</v>
      </c>
      <c r="D68" s="32" t="str">
        <f>Source!H31</f>
        <v>1  ШТ.</v>
      </c>
      <c r="E68" s="10">
        <f>Source!I31</f>
        <v>1</v>
      </c>
      <c r="F68" s="24">
        <f>Source!AL31+Source!AM31+Source!AO31</f>
        <v>189.85000000000002</v>
      </c>
      <c r="G68" s="19"/>
      <c r="H68" s="24"/>
      <c r="I68" s="19" t="str">
        <f>Source!BO31</f>
        <v>м10-02-016-6</v>
      </c>
      <c r="J68" s="19"/>
      <c r="K68" s="24"/>
      <c r="L68" s="33"/>
      <c r="S68">
        <f>ROUND((Source!FX31/100)*((ROUND(Source!AF31*Source!I31, 2)+ROUND(Source!AE31*Source!I31, 2))), 2)</f>
        <v>93.15</v>
      </c>
      <c r="T68">
        <f>Source!X31</f>
        <v>2843</v>
      </c>
      <c r="U68">
        <f>ROUND((Source!FY31/100)*((ROUND(Source!AF31*Source!I31, 2)+ROUND(Source!AE31*Source!I31, 2))), 2)</f>
        <v>69.86</v>
      </c>
      <c r="V68">
        <f>Source!Y31</f>
        <v>2132.25</v>
      </c>
    </row>
    <row r="69" spans="1:26" ht="14.25" x14ac:dyDescent="0.2">
      <c r="A69" s="43"/>
      <c r="B69" s="44"/>
      <c r="C69" s="44" t="s">
        <v>536</v>
      </c>
      <c r="D69" s="32"/>
      <c r="E69" s="10"/>
      <c r="F69" s="24">
        <f>Source!AO31</f>
        <v>112.01</v>
      </c>
      <c r="G69" s="19" t="str">
        <f>Source!DG31</f>
        <v/>
      </c>
      <c r="H69" s="24">
        <f>ROUND(Source!AF31*Source!I31, 2)</f>
        <v>112.01</v>
      </c>
      <c r="I69" s="19"/>
      <c r="J69" s="19">
        <f>IF(Source!BA31&lt;&gt; 0, Source!BA31, 1)</f>
        <v>30.52</v>
      </c>
      <c r="K69" s="24">
        <f>Source!S31</f>
        <v>3418.55</v>
      </c>
      <c r="L69" s="33"/>
      <c r="R69">
        <f>H69</f>
        <v>112.01</v>
      </c>
    </row>
    <row r="70" spans="1:26" ht="14.25" x14ac:dyDescent="0.2">
      <c r="A70" s="43"/>
      <c r="B70" s="44"/>
      <c r="C70" s="44" t="s">
        <v>200</v>
      </c>
      <c r="D70" s="32"/>
      <c r="E70" s="10"/>
      <c r="F70" s="24">
        <f>Source!AM31</f>
        <v>43.95</v>
      </c>
      <c r="G70" s="19" t="str">
        <f>Source!DE31</f>
        <v/>
      </c>
      <c r="H70" s="24">
        <f>ROUND(Source!AD31*Source!I31, 2)</f>
        <v>43.95</v>
      </c>
      <c r="I70" s="19"/>
      <c r="J70" s="19">
        <f>IF(Source!BB31&lt;&gt; 0, Source!BB31, 1)</f>
        <v>8.51</v>
      </c>
      <c r="K70" s="24">
        <f>Source!Q31</f>
        <v>374.01</v>
      </c>
      <c r="L70" s="33"/>
    </row>
    <row r="71" spans="1:26" ht="14.25" x14ac:dyDescent="0.2">
      <c r="A71" s="43"/>
      <c r="B71" s="44"/>
      <c r="C71" s="44" t="s">
        <v>547</v>
      </c>
      <c r="D71" s="32"/>
      <c r="E71" s="10"/>
      <c r="F71" s="24">
        <f>Source!AN31</f>
        <v>4.43</v>
      </c>
      <c r="G71" s="19" t="str">
        <f>Source!DF31</f>
        <v/>
      </c>
      <c r="H71" s="42">
        <f>ROUND(Source!AE31*Source!I31, 2)</f>
        <v>4.43</v>
      </c>
      <c r="I71" s="19"/>
      <c r="J71" s="19">
        <f>IF(Source!BS31&lt;&gt; 0, Source!BS31, 1)</f>
        <v>30.52</v>
      </c>
      <c r="K71" s="42">
        <f>Source!R31</f>
        <v>135.19999999999999</v>
      </c>
      <c r="L71" s="33"/>
      <c r="R71">
        <f>H71</f>
        <v>4.43</v>
      </c>
    </row>
    <row r="72" spans="1:26" ht="14.25" x14ac:dyDescent="0.2">
      <c r="A72" s="43"/>
      <c r="B72" s="44"/>
      <c r="C72" s="44" t="s">
        <v>537</v>
      </c>
      <c r="D72" s="32"/>
      <c r="E72" s="10"/>
      <c r="F72" s="24">
        <f>Source!AL31</f>
        <v>33.89</v>
      </c>
      <c r="G72" s="19" t="str">
        <f>Source!DD31</f>
        <v/>
      </c>
      <c r="H72" s="24">
        <f>ROUND(Source!AC31*Source!I31, 2)</f>
        <v>33.89</v>
      </c>
      <c r="I72" s="19"/>
      <c r="J72" s="19">
        <f>IF(Source!BC31&lt;&gt; 0, Source!BC31, 1)</f>
        <v>8.67</v>
      </c>
      <c r="K72" s="24">
        <f>Source!P31</f>
        <v>293.83</v>
      </c>
      <c r="L72" s="33"/>
    </row>
    <row r="73" spans="1:26" ht="14.25" x14ac:dyDescent="0.2">
      <c r="A73" s="43"/>
      <c r="B73" s="44"/>
      <c r="C73" s="44" t="s">
        <v>538</v>
      </c>
      <c r="D73" s="32" t="s">
        <v>539</v>
      </c>
      <c r="E73" s="10">
        <f>Source!BZ31</f>
        <v>80</v>
      </c>
      <c r="F73" s="47"/>
      <c r="G73" s="19"/>
      <c r="H73" s="24">
        <f>SUM(S68:S75)</f>
        <v>93.15</v>
      </c>
      <c r="I73" s="34"/>
      <c r="J73" s="20">
        <f>Source!AT31</f>
        <v>80</v>
      </c>
      <c r="K73" s="24">
        <f>SUM(T68:T75)</f>
        <v>2843</v>
      </c>
      <c r="L73" s="33"/>
    </row>
    <row r="74" spans="1:26" ht="14.25" x14ac:dyDescent="0.2">
      <c r="A74" s="43"/>
      <c r="B74" s="44"/>
      <c r="C74" s="44" t="s">
        <v>540</v>
      </c>
      <c r="D74" s="32" t="s">
        <v>539</v>
      </c>
      <c r="E74" s="10">
        <f>Source!CA31</f>
        <v>60</v>
      </c>
      <c r="F74" s="47"/>
      <c r="G74" s="19"/>
      <c r="H74" s="24">
        <f>SUM(U68:U75)</f>
        <v>69.86</v>
      </c>
      <c r="I74" s="34"/>
      <c r="J74" s="20">
        <f>Source!AU31</f>
        <v>60</v>
      </c>
      <c r="K74" s="24">
        <f>SUM(V68:V75)</f>
        <v>2132.25</v>
      </c>
      <c r="L74" s="33"/>
    </row>
    <row r="75" spans="1:26" ht="14.25" x14ac:dyDescent="0.2">
      <c r="A75" s="45"/>
      <c r="B75" s="46"/>
      <c r="C75" s="46" t="s">
        <v>541</v>
      </c>
      <c r="D75" s="35" t="s">
        <v>542</v>
      </c>
      <c r="E75" s="36">
        <f>Source!AQ31</f>
        <v>10.1</v>
      </c>
      <c r="F75" s="37"/>
      <c r="G75" s="38" t="str">
        <f>Source!DI31</f>
        <v/>
      </c>
      <c r="H75" s="37"/>
      <c r="I75" s="38"/>
      <c r="J75" s="38"/>
      <c r="K75" s="37"/>
      <c r="L75" s="39">
        <f>Source!U31</f>
        <v>10.1</v>
      </c>
    </row>
    <row r="76" spans="1:26" ht="15" x14ac:dyDescent="0.25">
      <c r="G76" s="63">
        <f>H69+H70+H72+H73+H74</f>
        <v>352.86</v>
      </c>
      <c r="H76" s="63"/>
      <c r="J76" s="63">
        <f>K69+K70+K72+K73+K74</f>
        <v>9061.64</v>
      </c>
      <c r="K76" s="63"/>
      <c r="L76" s="40">
        <f>Source!U31</f>
        <v>10.1</v>
      </c>
      <c r="O76" s="28">
        <f>G76</f>
        <v>352.86</v>
      </c>
      <c r="P76" s="28">
        <f>J76</f>
        <v>9061.64</v>
      </c>
      <c r="Q76" s="28">
        <f>L76</f>
        <v>10.1</v>
      </c>
      <c r="W76">
        <f>IF(Source!BI31&lt;=1,H69+H70+H72+H73+H74, 0)</f>
        <v>0</v>
      </c>
      <c r="X76">
        <f>IF(Source!BI31=2,H69+H70+H72+H73+H74, 0)</f>
        <v>352.86</v>
      </c>
      <c r="Y76">
        <f>IF(Source!BI31=3,H69+H70+H72+H73+H74, 0)</f>
        <v>0</v>
      </c>
      <c r="Z76">
        <f>IF(Source!BI31=4,H69+H70+H72+H73+H74, 0)</f>
        <v>0</v>
      </c>
    </row>
    <row r="77" spans="1:26" ht="28.5" x14ac:dyDescent="0.2">
      <c r="A77" s="45" t="str">
        <f>Source!E32</f>
        <v>8</v>
      </c>
      <c r="B77" s="46" t="s">
        <v>550</v>
      </c>
      <c r="C77" s="46" t="str">
        <f>Source!G32</f>
        <v>Источник бесперебойного питания</v>
      </c>
      <c r="D77" s="35" t="str">
        <f>Source!H32</f>
        <v>шт.</v>
      </c>
      <c r="E77" s="36">
        <f>Source!I32</f>
        <v>1</v>
      </c>
      <c r="F77" s="37">
        <f>Source!AL32</f>
        <v>262.3</v>
      </c>
      <c r="G77" s="38" t="str">
        <f>Source!DD32</f>
        <v/>
      </c>
      <c r="H77" s="37">
        <f>ROUND(Source!AC32*Source!I32, 2)</f>
        <v>262.3</v>
      </c>
      <c r="I77" s="38" t="str">
        <f>Source!BO32</f>
        <v>509-7205</v>
      </c>
      <c r="J77" s="38">
        <f>IF(Source!BC32&lt;&gt; 0, Source!BC32, 1)</f>
        <v>3.66</v>
      </c>
      <c r="K77" s="37">
        <f>Source!P32</f>
        <v>960.02</v>
      </c>
      <c r="L77" s="41"/>
      <c r="S77">
        <f>ROUND((Source!FX32/100)*((ROUND(Source!AF32*Source!I32, 2)+ROUND(Source!AE32*Source!I32, 2))), 2)</f>
        <v>0</v>
      </c>
      <c r="T77">
        <f>Source!X32</f>
        <v>0</v>
      </c>
      <c r="U77">
        <f>ROUND((Source!FY32/100)*((ROUND(Source!AF32*Source!I32, 2)+ROUND(Source!AE32*Source!I32, 2))), 2)</f>
        <v>0</v>
      </c>
      <c r="V77">
        <f>Source!Y32</f>
        <v>0</v>
      </c>
    </row>
    <row r="78" spans="1:26" ht="15" x14ac:dyDescent="0.25">
      <c r="G78" s="63">
        <f>H77</f>
        <v>262.3</v>
      </c>
      <c r="H78" s="63"/>
      <c r="J78" s="63">
        <f>K77</f>
        <v>960.02</v>
      </c>
      <c r="K78" s="63"/>
      <c r="L78" s="40">
        <f>Source!U32</f>
        <v>0</v>
      </c>
      <c r="O78" s="28">
        <f>G78</f>
        <v>262.3</v>
      </c>
      <c r="P78" s="28">
        <f>J78</f>
        <v>960.02</v>
      </c>
      <c r="Q78" s="28">
        <f>L78</f>
        <v>0</v>
      </c>
      <c r="W78">
        <f>IF(Source!BI32&lt;=1,H77, 0)</f>
        <v>0</v>
      </c>
      <c r="X78">
        <f>IF(Source!BI32=2,H77, 0)</f>
        <v>262.3</v>
      </c>
      <c r="Y78">
        <f>IF(Source!BI32=3,H77, 0)</f>
        <v>0</v>
      </c>
      <c r="Z78">
        <f>IF(Source!BI32=4,H77, 0)</f>
        <v>0</v>
      </c>
    </row>
    <row r="79" spans="1:26" ht="28.5" x14ac:dyDescent="0.2">
      <c r="A79" s="43" t="str">
        <f>Source!E33</f>
        <v>9</v>
      </c>
      <c r="B79" s="44" t="s">
        <v>551</v>
      </c>
      <c r="C79" s="44" t="str">
        <f>Source!G33</f>
        <v>Аккумулятор стационарный</v>
      </c>
      <c r="D79" s="32" t="str">
        <f>Source!H33</f>
        <v>1  ШТ.</v>
      </c>
      <c r="E79" s="10">
        <f>Source!I33</f>
        <v>1</v>
      </c>
      <c r="F79" s="24">
        <f>Source!AL33+Source!AM33+Source!AO33</f>
        <v>36.700000000000003</v>
      </c>
      <c r="G79" s="19"/>
      <c r="H79" s="24"/>
      <c r="I79" s="19" t="str">
        <f>Source!BO33</f>
        <v>м08-01-121-1</v>
      </c>
      <c r="J79" s="19"/>
      <c r="K79" s="24"/>
      <c r="L79" s="33"/>
      <c r="S79">
        <f>ROUND((Source!FX33/100)*((ROUND(Source!AF33*Source!I33, 2)+ROUND(Source!AE33*Source!I33, 2))), 2)</f>
        <v>18.829999999999998</v>
      </c>
      <c r="T79">
        <f>Source!X33</f>
        <v>574.66</v>
      </c>
      <c r="U79">
        <f>ROUND((Source!FY33/100)*((ROUND(Source!AF33*Source!I33, 2)+ROUND(Source!AE33*Source!I33, 2))), 2)</f>
        <v>12.88</v>
      </c>
      <c r="V79">
        <f>Source!Y33</f>
        <v>393.19</v>
      </c>
    </row>
    <row r="80" spans="1:26" ht="14.25" x14ac:dyDescent="0.2">
      <c r="A80" s="43"/>
      <c r="B80" s="44"/>
      <c r="C80" s="44" t="s">
        <v>536</v>
      </c>
      <c r="D80" s="32"/>
      <c r="E80" s="10"/>
      <c r="F80" s="24">
        <f>Source!AO33</f>
        <v>19.82</v>
      </c>
      <c r="G80" s="19" t="str">
        <f>Source!DG33</f>
        <v/>
      </c>
      <c r="H80" s="24">
        <f>ROUND(Source!AF33*Source!I33, 2)</f>
        <v>19.82</v>
      </c>
      <c r="I80" s="19"/>
      <c r="J80" s="19">
        <f>IF(Source!BA33&lt;&gt; 0, Source!BA33, 1)</f>
        <v>30.52</v>
      </c>
      <c r="K80" s="24">
        <f>Source!S33</f>
        <v>604.91</v>
      </c>
      <c r="L80" s="33"/>
      <c r="R80">
        <f>H80</f>
        <v>19.82</v>
      </c>
    </row>
    <row r="81" spans="1:26" ht="14.25" x14ac:dyDescent="0.2">
      <c r="A81" s="43"/>
      <c r="B81" s="44"/>
      <c r="C81" s="44" t="s">
        <v>537</v>
      </c>
      <c r="D81" s="32"/>
      <c r="E81" s="10"/>
      <c r="F81" s="24">
        <f>Source!AL33</f>
        <v>16.88</v>
      </c>
      <c r="G81" s="19" t="str">
        <f>Source!DD33</f>
        <v/>
      </c>
      <c r="H81" s="24">
        <f>ROUND(Source!AC33*Source!I33, 2)</f>
        <v>16.88</v>
      </c>
      <c r="I81" s="19"/>
      <c r="J81" s="19">
        <f>IF(Source!BC33&lt;&gt; 0, Source!BC33, 1)</f>
        <v>4.41</v>
      </c>
      <c r="K81" s="24">
        <f>Source!P33</f>
        <v>74.44</v>
      </c>
      <c r="L81" s="33"/>
    </row>
    <row r="82" spans="1:26" ht="14.25" x14ac:dyDescent="0.2">
      <c r="A82" s="43"/>
      <c r="B82" s="44"/>
      <c r="C82" s="44" t="s">
        <v>538</v>
      </c>
      <c r="D82" s="32" t="s">
        <v>539</v>
      </c>
      <c r="E82" s="10">
        <f>Source!BZ33</f>
        <v>95</v>
      </c>
      <c r="F82" s="47"/>
      <c r="G82" s="19"/>
      <c r="H82" s="24">
        <f>SUM(S79:S84)</f>
        <v>18.829999999999998</v>
      </c>
      <c r="I82" s="34"/>
      <c r="J82" s="20">
        <f>Source!AT33</f>
        <v>95</v>
      </c>
      <c r="K82" s="24">
        <f>SUM(T79:T84)</f>
        <v>574.66</v>
      </c>
      <c r="L82" s="33"/>
    </row>
    <row r="83" spans="1:26" ht="14.25" x14ac:dyDescent="0.2">
      <c r="A83" s="43"/>
      <c r="B83" s="44"/>
      <c r="C83" s="44" t="s">
        <v>540</v>
      </c>
      <c r="D83" s="32" t="s">
        <v>539</v>
      </c>
      <c r="E83" s="10">
        <f>Source!CA33</f>
        <v>65</v>
      </c>
      <c r="F83" s="47"/>
      <c r="G83" s="19"/>
      <c r="H83" s="24">
        <f>SUM(U79:U84)</f>
        <v>12.88</v>
      </c>
      <c r="I83" s="34"/>
      <c r="J83" s="20">
        <f>Source!AU33</f>
        <v>65</v>
      </c>
      <c r="K83" s="24">
        <f>SUM(V79:V84)</f>
        <v>393.19</v>
      </c>
      <c r="L83" s="33"/>
    </row>
    <row r="84" spans="1:26" ht="14.25" x14ac:dyDescent="0.2">
      <c r="A84" s="45"/>
      <c r="B84" s="46"/>
      <c r="C84" s="46" t="s">
        <v>541</v>
      </c>
      <c r="D84" s="35" t="s">
        <v>542</v>
      </c>
      <c r="E84" s="36">
        <f>Source!AQ33</f>
        <v>2.06</v>
      </c>
      <c r="F84" s="37"/>
      <c r="G84" s="38" t="str">
        <f>Source!DI33</f>
        <v/>
      </c>
      <c r="H84" s="37"/>
      <c r="I84" s="38"/>
      <c r="J84" s="38"/>
      <c r="K84" s="37"/>
      <c r="L84" s="39">
        <f>Source!U33</f>
        <v>2.06</v>
      </c>
    </row>
    <row r="85" spans="1:26" ht="15" x14ac:dyDescent="0.25">
      <c r="G85" s="63">
        <f>H80+H81+H82+H83</f>
        <v>68.41</v>
      </c>
      <c r="H85" s="63"/>
      <c r="J85" s="63">
        <f>K80+K81+K82+K83</f>
        <v>1647.1999999999998</v>
      </c>
      <c r="K85" s="63"/>
      <c r="L85" s="40">
        <f>Source!U33</f>
        <v>2.06</v>
      </c>
      <c r="O85" s="28">
        <f>G85</f>
        <v>68.41</v>
      </c>
      <c r="P85" s="28">
        <f>J85</f>
        <v>1647.1999999999998</v>
      </c>
      <c r="Q85" s="28">
        <f>L85</f>
        <v>2.06</v>
      </c>
      <c r="W85">
        <f>IF(Source!BI33&lt;=1,H80+H81+H82+H83, 0)</f>
        <v>0</v>
      </c>
      <c r="X85">
        <f>IF(Source!BI33=2,H80+H81+H82+H83, 0)</f>
        <v>68.41</v>
      </c>
      <c r="Y85">
        <f>IF(Source!BI33=3,H80+H81+H82+H83, 0)</f>
        <v>0</v>
      </c>
      <c r="Z85">
        <f>IF(Source!BI33=4,H80+H81+H82+H83, 0)</f>
        <v>0</v>
      </c>
    </row>
    <row r="86" spans="1:26" ht="28.5" x14ac:dyDescent="0.2">
      <c r="A86" s="45" t="str">
        <f>Source!E34</f>
        <v>10</v>
      </c>
      <c r="B86" s="46" t="s">
        <v>552</v>
      </c>
      <c r="C86" s="46" t="str">
        <f>Source!G34</f>
        <v>Батарея аккумуляторная АКБ-7 12В/7 А/ч</v>
      </c>
      <c r="D86" s="35" t="str">
        <f>Source!H34</f>
        <v>шт.</v>
      </c>
      <c r="E86" s="36">
        <f>Source!I34</f>
        <v>1</v>
      </c>
      <c r="F86" s="37">
        <f>Source!AL34</f>
        <v>78.97</v>
      </c>
      <c r="G86" s="38" t="str">
        <f>Source!DD34</f>
        <v/>
      </c>
      <c r="H86" s="37">
        <f>ROUND(Source!AC34*Source!I34, 2)</f>
        <v>78.97</v>
      </c>
      <c r="I86" s="38" t="str">
        <f>Source!BO34</f>
        <v>509-1810</v>
      </c>
      <c r="J86" s="38">
        <f>IF(Source!BC34&lt;&gt; 0, Source!BC34, 1)</f>
        <v>5.73</v>
      </c>
      <c r="K86" s="37">
        <f>Source!P34</f>
        <v>452.5</v>
      </c>
      <c r="L86" s="41"/>
      <c r="S86">
        <f>ROUND((Source!FX34/100)*((ROUND(Source!AF34*Source!I34, 2)+ROUND(Source!AE34*Source!I34, 2))), 2)</f>
        <v>0</v>
      </c>
      <c r="T86">
        <f>Source!X34</f>
        <v>0</v>
      </c>
      <c r="U86">
        <f>ROUND((Source!FY34/100)*((ROUND(Source!AF34*Source!I34, 2)+ROUND(Source!AE34*Source!I34, 2))), 2)</f>
        <v>0</v>
      </c>
      <c r="V86">
        <f>Source!Y34</f>
        <v>0</v>
      </c>
    </row>
    <row r="87" spans="1:26" ht="15" x14ac:dyDescent="0.25">
      <c r="G87" s="63">
        <f>H86</f>
        <v>78.97</v>
      </c>
      <c r="H87" s="63"/>
      <c r="J87" s="63">
        <f>K86</f>
        <v>452.5</v>
      </c>
      <c r="K87" s="63"/>
      <c r="L87" s="40">
        <f>Source!U34</f>
        <v>0</v>
      </c>
      <c r="O87" s="28">
        <f>G87</f>
        <v>78.97</v>
      </c>
      <c r="P87" s="28">
        <f>J87</f>
        <v>452.5</v>
      </c>
      <c r="Q87" s="28">
        <f>L87</f>
        <v>0</v>
      </c>
      <c r="W87">
        <f>IF(Source!BI34&lt;=1,H86, 0)</f>
        <v>0</v>
      </c>
      <c r="X87">
        <f>IF(Source!BI34=2,H86, 0)</f>
        <v>78.97</v>
      </c>
      <c r="Y87">
        <f>IF(Source!BI34=3,H86, 0)</f>
        <v>0</v>
      </c>
      <c r="Z87">
        <f>IF(Source!BI34=4,H86, 0)</f>
        <v>0</v>
      </c>
    </row>
    <row r="88" spans="1:26" ht="42.75" x14ac:dyDescent="0.2">
      <c r="A88" s="43" t="str">
        <f>Source!E35</f>
        <v>11</v>
      </c>
      <c r="B88" s="44" t="s">
        <v>553</v>
      </c>
      <c r="C88" s="44" t="str">
        <f>Source!G35</f>
        <v>Антенны приемо-передающие</v>
      </c>
      <c r="D88" s="32" t="str">
        <f>Source!H35</f>
        <v>1 антенна</v>
      </c>
      <c r="E88" s="10">
        <f>Source!I35</f>
        <v>1</v>
      </c>
      <c r="F88" s="24">
        <f>Source!AL35+Source!AM35+Source!AO35</f>
        <v>104.03999999999999</v>
      </c>
      <c r="G88" s="19"/>
      <c r="H88" s="24"/>
      <c r="I88" s="19" t="str">
        <f>Source!BO35</f>
        <v>м10-05-010-1</v>
      </c>
      <c r="J88" s="19"/>
      <c r="K88" s="24"/>
      <c r="L88" s="33"/>
      <c r="S88">
        <f>ROUND((Source!FX35/100)*((ROUND(Source!AF35*Source!I35, 2)+ROUND(Source!AE35*Source!I35, 2))), 2)</f>
        <v>93.45</v>
      </c>
      <c r="T88">
        <f>Source!X35</f>
        <v>2852.2</v>
      </c>
      <c r="U88">
        <f>ROUND((Source!FY35/100)*((ROUND(Source!AF35*Source!I35, 2)+ROUND(Source!AE35*Source!I35, 2))), 2)</f>
        <v>66.03</v>
      </c>
      <c r="V88">
        <f>Source!Y35</f>
        <v>2015.14</v>
      </c>
    </row>
    <row r="89" spans="1:26" ht="14.25" x14ac:dyDescent="0.2">
      <c r="A89" s="43"/>
      <c r="B89" s="44"/>
      <c r="C89" s="44" t="s">
        <v>536</v>
      </c>
      <c r="D89" s="32"/>
      <c r="E89" s="10"/>
      <c r="F89" s="24">
        <f>Source!AO35</f>
        <v>101.58</v>
      </c>
      <c r="G89" s="19" t="str">
        <f>Source!DG35</f>
        <v/>
      </c>
      <c r="H89" s="24">
        <f>ROUND(Source!AF35*Source!I35, 2)</f>
        <v>101.58</v>
      </c>
      <c r="I89" s="19"/>
      <c r="J89" s="19">
        <f>IF(Source!BA35&lt;&gt; 0, Source!BA35, 1)</f>
        <v>30.52</v>
      </c>
      <c r="K89" s="24">
        <f>Source!S35</f>
        <v>3100.22</v>
      </c>
      <c r="L89" s="33"/>
      <c r="R89">
        <f>H89</f>
        <v>101.58</v>
      </c>
    </row>
    <row r="90" spans="1:26" ht="14.25" x14ac:dyDescent="0.2">
      <c r="A90" s="43"/>
      <c r="B90" s="44"/>
      <c r="C90" s="44" t="s">
        <v>200</v>
      </c>
      <c r="D90" s="32"/>
      <c r="E90" s="10"/>
      <c r="F90" s="24">
        <f>Source!AM35</f>
        <v>0.43</v>
      </c>
      <c r="G90" s="19" t="str">
        <f>Source!DE35</f>
        <v/>
      </c>
      <c r="H90" s="24">
        <f>ROUND(Source!AD35*Source!I35, 2)</f>
        <v>0.43</v>
      </c>
      <c r="I90" s="19"/>
      <c r="J90" s="19">
        <f>IF(Source!BB35&lt;&gt; 0, Source!BB35, 1)</f>
        <v>9.0500000000000007</v>
      </c>
      <c r="K90" s="24">
        <f>Source!Q35</f>
        <v>3.89</v>
      </c>
      <c r="L90" s="33"/>
    </row>
    <row r="91" spans="1:26" ht="14.25" x14ac:dyDescent="0.2">
      <c r="A91" s="43"/>
      <c r="B91" s="44"/>
      <c r="C91" s="44" t="s">
        <v>537</v>
      </c>
      <c r="D91" s="32"/>
      <c r="E91" s="10"/>
      <c r="F91" s="24">
        <f>Source!AL35</f>
        <v>2.0299999999999998</v>
      </c>
      <c r="G91" s="19" t="str">
        <f>Source!DD35</f>
        <v/>
      </c>
      <c r="H91" s="24">
        <f>ROUND(Source!AC35*Source!I35, 2)</f>
        <v>2.0299999999999998</v>
      </c>
      <c r="I91" s="19"/>
      <c r="J91" s="19">
        <f>IF(Source!BC35&lt;&gt; 0, Source!BC35, 1)</f>
        <v>30.55</v>
      </c>
      <c r="K91" s="24">
        <f>Source!P35</f>
        <v>62.02</v>
      </c>
      <c r="L91" s="33"/>
    </row>
    <row r="92" spans="1:26" ht="14.25" x14ac:dyDescent="0.2">
      <c r="A92" s="43"/>
      <c r="B92" s="44"/>
      <c r="C92" s="44" t="s">
        <v>538</v>
      </c>
      <c r="D92" s="32" t="s">
        <v>539</v>
      </c>
      <c r="E92" s="10">
        <f>Source!BZ35</f>
        <v>92</v>
      </c>
      <c r="F92" s="47"/>
      <c r="G92" s="19"/>
      <c r="H92" s="24">
        <f>SUM(S88:S94)</f>
        <v>93.45</v>
      </c>
      <c r="I92" s="34"/>
      <c r="J92" s="20">
        <f>Source!AT35</f>
        <v>92</v>
      </c>
      <c r="K92" s="24">
        <f>SUM(T88:T94)</f>
        <v>2852.2</v>
      </c>
      <c r="L92" s="33"/>
    </row>
    <row r="93" spans="1:26" ht="14.25" x14ac:dyDescent="0.2">
      <c r="A93" s="43"/>
      <c r="B93" s="44"/>
      <c r="C93" s="44" t="s">
        <v>540</v>
      </c>
      <c r="D93" s="32" t="s">
        <v>539</v>
      </c>
      <c r="E93" s="10">
        <f>Source!CA35</f>
        <v>65</v>
      </c>
      <c r="F93" s="47"/>
      <c r="G93" s="19"/>
      <c r="H93" s="24">
        <f>SUM(U88:U94)</f>
        <v>66.03</v>
      </c>
      <c r="I93" s="34"/>
      <c r="J93" s="20">
        <f>Source!AU35</f>
        <v>65</v>
      </c>
      <c r="K93" s="24">
        <f>SUM(V88:V94)</f>
        <v>2015.14</v>
      </c>
      <c r="L93" s="33"/>
    </row>
    <row r="94" spans="1:26" ht="14.25" x14ac:dyDescent="0.2">
      <c r="A94" s="45"/>
      <c r="B94" s="46"/>
      <c r="C94" s="46" t="s">
        <v>541</v>
      </c>
      <c r="D94" s="35" t="s">
        <v>542</v>
      </c>
      <c r="E94" s="36">
        <f>Source!AQ35</f>
        <v>9.16</v>
      </c>
      <c r="F94" s="37"/>
      <c r="G94" s="38" t="str">
        <f>Source!DI35</f>
        <v/>
      </c>
      <c r="H94" s="37"/>
      <c r="I94" s="38"/>
      <c r="J94" s="38"/>
      <c r="K94" s="37"/>
      <c r="L94" s="39">
        <f>Source!U35</f>
        <v>9.16</v>
      </c>
    </row>
    <row r="95" spans="1:26" ht="15" x14ac:dyDescent="0.25">
      <c r="G95" s="63">
        <f>H89+H90+H91+H92+H93</f>
        <v>263.52</v>
      </c>
      <c r="H95" s="63"/>
      <c r="J95" s="63">
        <f>K89+K90+K91+K92+K93</f>
        <v>8033.47</v>
      </c>
      <c r="K95" s="63"/>
      <c r="L95" s="40">
        <f>Source!U35</f>
        <v>9.16</v>
      </c>
      <c r="O95" s="28">
        <f>G95</f>
        <v>263.52</v>
      </c>
      <c r="P95" s="28">
        <f>J95</f>
        <v>8033.47</v>
      </c>
      <c r="Q95" s="28">
        <f>L95</f>
        <v>9.16</v>
      </c>
      <c r="W95">
        <f>IF(Source!BI35&lt;=1,H89+H90+H91+H92+H93, 0)</f>
        <v>0</v>
      </c>
      <c r="X95">
        <f>IF(Source!BI35=2,H89+H90+H91+H92+H93, 0)</f>
        <v>263.52</v>
      </c>
      <c r="Y95">
        <f>IF(Source!BI35=3,H89+H90+H91+H92+H93, 0)</f>
        <v>0</v>
      </c>
      <c r="Z95">
        <f>IF(Source!BI35=4,H89+H90+H91+H92+H93, 0)</f>
        <v>0</v>
      </c>
    </row>
    <row r="96" spans="1:26" ht="42.75" x14ac:dyDescent="0.2">
      <c r="A96" s="45" t="str">
        <f>Source!E36</f>
        <v>12</v>
      </c>
      <c r="B96" s="46" t="s">
        <v>29</v>
      </c>
      <c r="C96" s="46" t="s">
        <v>554</v>
      </c>
      <c r="D96" s="35" t="str">
        <f>Source!H36</f>
        <v>компл.</v>
      </c>
      <c r="E96" s="36">
        <f>Source!I36</f>
        <v>1</v>
      </c>
      <c r="F96" s="37">
        <f>Source!AL36</f>
        <v>7208.33</v>
      </c>
      <c r="G96" s="38" t="str">
        <f>Source!DD36</f>
        <v/>
      </c>
      <c r="H96" s="37">
        <f>ROUND(Source!AC36*Source!I36, 2)</f>
        <v>7208.33</v>
      </c>
      <c r="I96" s="38" t="str">
        <f>Source!BO36</f>
        <v/>
      </c>
      <c r="J96" s="38">
        <f>IF(Source!BC36&lt;&gt; 0, Source!BC36, 1)</f>
        <v>1</v>
      </c>
      <c r="K96" s="37">
        <f>Source!P36</f>
        <v>7208.33</v>
      </c>
      <c r="L96" s="41"/>
      <c r="S96">
        <f>ROUND((Source!FX36/100)*((ROUND(Source!AF36*Source!I36, 2)+ROUND(Source!AE36*Source!I36, 2))), 2)</f>
        <v>0</v>
      </c>
      <c r="T96">
        <f>Source!X36</f>
        <v>0</v>
      </c>
      <c r="U96">
        <f>ROUND((Source!FY36/100)*((ROUND(Source!AF36*Source!I36, 2)+ROUND(Source!AE36*Source!I36, 2))), 2)</f>
        <v>0</v>
      </c>
      <c r="V96">
        <f>Source!Y36</f>
        <v>0</v>
      </c>
    </row>
    <row r="97" spans="1:26" ht="15" x14ac:dyDescent="0.25">
      <c r="G97" s="63">
        <f>H96</f>
        <v>7208.33</v>
      </c>
      <c r="H97" s="63"/>
      <c r="J97" s="63">
        <f>K96</f>
        <v>7208.33</v>
      </c>
      <c r="K97" s="63"/>
      <c r="L97" s="40">
        <f>Source!U36</f>
        <v>0</v>
      </c>
      <c r="O97" s="28">
        <f>G97</f>
        <v>7208.33</v>
      </c>
      <c r="P97" s="28">
        <f>J97</f>
        <v>7208.33</v>
      </c>
      <c r="Q97" s="28">
        <f>L97</f>
        <v>0</v>
      </c>
      <c r="W97">
        <f>IF(Source!BI36&lt;=1,H96, 0)</f>
        <v>0</v>
      </c>
      <c r="X97">
        <f>IF(Source!BI36=2,H96, 0)</f>
        <v>0</v>
      </c>
      <c r="Y97">
        <f>IF(Source!BI36=3,H96, 0)</f>
        <v>7208.33</v>
      </c>
      <c r="Z97">
        <f>IF(Source!BI36=4,H96, 0)</f>
        <v>0</v>
      </c>
    </row>
    <row r="98" spans="1:26" ht="42.75" x14ac:dyDescent="0.2">
      <c r="A98" s="43" t="str">
        <f>Source!E37</f>
        <v>13</v>
      </c>
      <c r="B98" s="44" t="s">
        <v>555</v>
      </c>
      <c r="C98" s="44" t="str">
        <f>Source!G37</f>
        <v>Кронштейн</v>
      </c>
      <c r="D98" s="32" t="str">
        <f>Source!H37</f>
        <v>1  ШТ.</v>
      </c>
      <c r="E98" s="10">
        <f>Source!I37</f>
        <v>1</v>
      </c>
      <c r="F98" s="24">
        <f>Source!AL37+Source!AM37+Source!AO37</f>
        <v>85.740000000000009</v>
      </c>
      <c r="G98" s="19"/>
      <c r="H98" s="24"/>
      <c r="I98" s="19" t="str">
        <f>Source!BO37</f>
        <v>м10-01-001-7</v>
      </c>
      <c r="J98" s="19"/>
      <c r="K98" s="24"/>
      <c r="L98" s="33"/>
      <c r="S98">
        <f>ROUND((Source!FX37/100)*((ROUND(Source!AF37*Source!I37, 2)+ROUND(Source!AE37*Source!I37, 2))), 2)</f>
        <v>31.87</v>
      </c>
      <c r="T98">
        <f>Source!X37</f>
        <v>972.74</v>
      </c>
      <c r="U98">
        <f>ROUND((Source!FY37/100)*((ROUND(Source!AF37*Source!I37, 2)+ROUND(Source!AE37*Source!I37, 2))), 2)</f>
        <v>23.9</v>
      </c>
      <c r="V98">
        <f>Source!Y37</f>
        <v>729.55</v>
      </c>
    </row>
    <row r="99" spans="1:26" ht="14.25" x14ac:dyDescent="0.2">
      <c r="A99" s="43"/>
      <c r="B99" s="44"/>
      <c r="C99" s="44" t="s">
        <v>536</v>
      </c>
      <c r="D99" s="32"/>
      <c r="E99" s="10"/>
      <c r="F99" s="24">
        <f>Source!AO37</f>
        <v>38.130000000000003</v>
      </c>
      <c r="G99" s="19" t="str">
        <f>Source!DG37</f>
        <v/>
      </c>
      <c r="H99" s="24">
        <f>ROUND(Source!AF37*Source!I37, 2)</f>
        <v>38.130000000000003</v>
      </c>
      <c r="I99" s="19"/>
      <c r="J99" s="19">
        <f>IF(Source!BA37&lt;&gt; 0, Source!BA37, 1)</f>
        <v>30.52</v>
      </c>
      <c r="K99" s="24">
        <f>Source!S37</f>
        <v>1163.73</v>
      </c>
      <c r="L99" s="33"/>
      <c r="R99">
        <f>H99</f>
        <v>38.130000000000003</v>
      </c>
    </row>
    <row r="100" spans="1:26" ht="14.25" x14ac:dyDescent="0.2">
      <c r="A100" s="43"/>
      <c r="B100" s="44"/>
      <c r="C100" s="44" t="s">
        <v>200</v>
      </c>
      <c r="D100" s="32"/>
      <c r="E100" s="10"/>
      <c r="F100" s="24">
        <f>Source!AM37</f>
        <v>16.98</v>
      </c>
      <c r="G100" s="19" t="str">
        <f>Source!DE37</f>
        <v/>
      </c>
      <c r="H100" s="24">
        <f>ROUND(Source!AD37*Source!I37, 2)</f>
        <v>16.98</v>
      </c>
      <c r="I100" s="19"/>
      <c r="J100" s="19">
        <f>IF(Source!BB37&lt;&gt; 0, Source!BB37, 1)</f>
        <v>8.51</v>
      </c>
      <c r="K100" s="24">
        <f>Source!Q37</f>
        <v>144.5</v>
      </c>
      <c r="L100" s="33"/>
    </row>
    <row r="101" spans="1:26" ht="14.25" x14ac:dyDescent="0.2">
      <c r="A101" s="43"/>
      <c r="B101" s="44"/>
      <c r="C101" s="44" t="s">
        <v>547</v>
      </c>
      <c r="D101" s="32"/>
      <c r="E101" s="10"/>
      <c r="F101" s="24">
        <f>Source!AN37</f>
        <v>1.71</v>
      </c>
      <c r="G101" s="19" t="str">
        <f>Source!DF37</f>
        <v/>
      </c>
      <c r="H101" s="42">
        <f>ROUND(Source!AE37*Source!I37, 2)</f>
        <v>1.71</v>
      </c>
      <c r="I101" s="19"/>
      <c r="J101" s="19">
        <f>IF(Source!BS37&lt;&gt; 0, Source!BS37, 1)</f>
        <v>30.52</v>
      </c>
      <c r="K101" s="42">
        <f>Source!R37</f>
        <v>52.19</v>
      </c>
      <c r="L101" s="33"/>
      <c r="R101">
        <f>H101</f>
        <v>1.71</v>
      </c>
    </row>
    <row r="102" spans="1:26" ht="14.25" x14ac:dyDescent="0.2">
      <c r="A102" s="43"/>
      <c r="B102" s="44"/>
      <c r="C102" s="44" t="s">
        <v>537</v>
      </c>
      <c r="D102" s="32"/>
      <c r="E102" s="10"/>
      <c r="F102" s="24">
        <f>Source!AL37</f>
        <v>30.63</v>
      </c>
      <c r="G102" s="19" t="str">
        <f>Source!DD37</f>
        <v/>
      </c>
      <c r="H102" s="24">
        <f>ROUND(Source!AC37*Source!I37, 2)</f>
        <v>30.63</v>
      </c>
      <c r="I102" s="19"/>
      <c r="J102" s="19">
        <f>IF(Source!BC37&lt;&gt; 0, Source!BC37, 1)</f>
        <v>8.01</v>
      </c>
      <c r="K102" s="24">
        <f>Source!P37</f>
        <v>245.35</v>
      </c>
      <c r="L102" s="33"/>
    </row>
    <row r="103" spans="1:26" ht="14.25" x14ac:dyDescent="0.2">
      <c r="A103" s="43"/>
      <c r="B103" s="44"/>
      <c r="C103" s="44" t="s">
        <v>538</v>
      </c>
      <c r="D103" s="32" t="s">
        <v>539</v>
      </c>
      <c r="E103" s="10">
        <f>Source!BZ37</f>
        <v>80</v>
      </c>
      <c r="F103" s="47"/>
      <c r="G103" s="19"/>
      <c r="H103" s="24">
        <f>SUM(S98:S105)</f>
        <v>31.87</v>
      </c>
      <c r="I103" s="34"/>
      <c r="J103" s="20">
        <f>Source!AT37</f>
        <v>80</v>
      </c>
      <c r="K103" s="24">
        <f>SUM(T98:T105)</f>
        <v>972.74</v>
      </c>
      <c r="L103" s="33"/>
    </row>
    <row r="104" spans="1:26" ht="14.25" x14ac:dyDescent="0.2">
      <c r="A104" s="43"/>
      <c r="B104" s="44"/>
      <c r="C104" s="44" t="s">
        <v>540</v>
      </c>
      <c r="D104" s="32" t="s">
        <v>539</v>
      </c>
      <c r="E104" s="10">
        <f>Source!CA37</f>
        <v>60</v>
      </c>
      <c r="F104" s="47"/>
      <c r="G104" s="19"/>
      <c r="H104" s="24">
        <f>SUM(U98:U105)</f>
        <v>23.9</v>
      </c>
      <c r="I104" s="34"/>
      <c r="J104" s="20">
        <f>Source!AU37</f>
        <v>60</v>
      </c>
      <c r="K104" s="24">
        <f>SUM(V98:V105)</f>
        <v>729.55</v>
      </c>
      <c r="L104" s="33"/>
    </row>
    <row r="105" spans="1:26" ht="14.25" x14ac:dyDescent="0.2">
      <c r="A105" s="45"/>
      <c r="B105" s="46"/>
      <c r="C105" s="46" t="s">
        <v>541</v>
      </c>
      <c r="D105" s="35" t="s">
        <v>542</v>
      </c>
      <c r="E105" s="36">
        <f>Source!AQ37</f>
        <v>4.47</v>
      </c>
      <c r="F105" s="37"/>
      <c r="G105" s="38" t="str">
        <f>Source!DI37</f>
        <v/>
      </c>
      <c r="H105" s="37"/>
      <c r="I105" s="38"/>
      <c r="J105" s="38"/>
      <c r="K105" s="37"/>
      <c r="L105" s="39">
        <f>Source!U37</f>
        <v>4.47</v>
      </c>
    </row>
    <row r="106" spans="1:26" ht="15" x14ac:dyDescent="0.25">
      <c r="G106" s="63">
        <f>H99+H100+H102+H103+H104</f>
        <v>141.51</v>
      </c>
      <c r="H106" s="63"/>
      <c r="J106" s="63">
        <f>K99+K100+K102+K103+K104</f>
        <v>3255.87</v>
      </c>
      <c r="K106" s="63"/>
      <c r="L106" s="40">
        <f>Source!U37</f>
        <v>4.47</v>
      </c>
      <c r="O106" s="28">
        <f>G106</f>
        <v>141.51</v>
      </c>
      <c r="P106" s="28">
        <f>J106</f>
        <v>3255.87</v>
      </c>
      <c r="Q106" s="28">
        <f>L106</f>
        <v>4.47</v>
      </c>
      <c r="W106">
        <f>IF(Source!BI37&lt;=1,H99+H100+H102+H103+H104, 0)</f>
        <v>0</v>
      </c>
      <c r="X106">
        <f>IF(Source!BI37=2,H99+H100+H102+H103+H104, 0)</f>
        <v>141.51</v>
      </c>
      <c r="Y106">
        <f>IF(Source!BI37=3,H99+H100+H102+H103+H104, 0)</f>
        <v>0</v>
      </c>
      <c r="Z106">
        <f>IF(Source!BI37=4,H99+H100+H102+H103+H104, 0)</f>
        <v>0</v>
      </c>
    </row>
    <row r="107" spans="1:26" ht="42.75" x14ac:dyDescent="0.2">
      <c r="A107" s="45" t="str">
        <f>Source!E38</f>
        <v>14</v>
      </c>
      <c r="B107" s="46" t="s">
        <v>29</v>
      </c>
      <c r="C107" s="46" t="s">
        <v>556</v>
      </c>
      <c r="D107" s="35" t="str">
        <f>Source!H38</f>
        <v>шт.</v>
      </c>
      <c r="E107" s="36">
        <f>Source!I38</f>
        <v>1</v>
      </c>
      <c r="F107" s="37">
        <f>Source!AL38</f>
        <v>208.33</v>
      </c>
      <c r="G107" s="38" t="str">
        <f>Source!DD38</f>
        <v/>
      </c>
      <c r="H107" s="37">
        <f>ROUND(Source!AC38*Source!I38, 2)</f>
        <v>208.33</v>
      </c>
      <c r="I107" s="38" t="str">
        <f>Source!BO38</f>
        <v/>
      </c>
      <c r="J107" s="38">
        <f>IF(Source!BC38&lt;&gt; 0, Source!BC38, 1)</f>
        <v>1</v>
      </c>
      <c r="K107" s="37">
        <f>Source!P38</f>
        <v>208.33</v>
      </c>
      <c r="L107" s="41"/>
      <c r="S107">
        <f>ROUND((Source!FX38/100)*((ROUND(Source!AF38*Source!I38, 2)+ROUND(Source!AE38*Source!I38, 2))), 2)</f>
        <v>0</v>
      </c>
      <c r="T107">
        <f>Source!X38</f>
        <v>0</v>
      </c>
      <c r="U107">
        <f>ROUND((Source!FY38/100)*((ROUND(Source!AF38*Source!I38, 2)+ROUND(Source!AE38*Source!I38, 2))), 2)</f>
        <v>0</v>
      </c>
      <c r="V107">
        <f>Source!Y38</f>
        <v>0</v>
      </c>
    </row>
    <row r="108" spans="1:26" ht="15" x14ac:dyDescent="0.25">
      <c r="G108" s="63">
        <f>H107</f>
        <v>208.33</v>
      </c>
      <c r="H108" s="63"/>
      <c r="J108" s="63">
        <f>K107</f>
        <v>208.33</v>
      </c>
      <c r="K108" s="63"/>
      <c r="L108" s="40">
        <f>Source!U38</f>
        <v>0</v>
      </c>
      <c r="O108" s="28">
        <f>G108</f>
        <v>208.33</v>
      </c>
      <c r="P108" s="28">
        <f>J108</f>
        <v>208.33</v>
      </c>
      <c r="Q108" s="28">
        <f>L108</f>
        <v>0</v>
      </c>
      <c r="W108">
        <f>IF(Source!BI38&lt;=1,H107, 0)</f>
        <v>0</v>
      </c>
      <c r="X108">
        <f>IF(Source!BI38=2,H107, 0)</f>
        <v>0</v>
      </c>
      <c r="Y108">
        <f>IF(Source!BI38=3,H107, 0)</f>
        <v>208.33</v>
      </c>
      <c r="Z108">
        <f>IF(Source!BI38=4,H107, 0)</f>
        <v>0</v>
      </c>
    </row>
    <row r="109" spans="1:26" ht="42.75" x14ac:dyDescent="0.2">
      <c r="A109" s="43" t="str">
        <f>Source!E39</f>
        <v>15</v>
      </c>
      <c r="B109" s="44" t="s">
        <v>557</v>
      </c>
      <c r="C109" s="44" t="str">
        <f>Source!G39</f>
        <v>Разделка и включение кабеля станционного сигнальной проводки на съемных и несъемных штекерах</v>
      </c>
      <c r="D109" s="32" t="str">
        <f>Source!H39</f>
        <v>100 концов жил</v>
      </c>
      <c r="E109" s="10">
        <f>Source!I39</f>
        <v>0.02</v>
      </c>
      <c r="F109" s="24">
        <f>Source!AL39+Source!AM39+Source!AO39</f>
        <v>88.58</v>
      </c>
      <c r="G109" s="19"/>
      <c r="H109" s="24"/>
      <c r="I109" s="19" t="str">
        <f>Source!BO39</f>
        <v>м10-01-051-31</v>
      </c>
      <c r="J109" s="19"/>
      <c r="K109" s="24"/>
      <c r="L109" s="33"/>
      <c r="S109">
        <f>ROUND((Source!FX39/100)*((ROUND(Source!AF39*Source!I39, 2)+ROUND(Source!AE39*Source!I39, 2))), 2)</f>
        <v>1.26</v>
      </c>
      <c r="T109">
        <f>Source!X39</f>
        <v>38.520000000000003</v>
      </c>
      <c r="U109">
        <f>ROUND((Source!FY39/100)*((ROUND(Source!AF39*Source!I39, 2)+ROUND(Source!AE39*Source!I39, 2))), 2)</f>
        <v>0.95</v>
      </c>
      <c r="V109">
        <f>Source!Y39</f>
        <v>28.89</v>
      </c>
    </row>
    <row r="110" spans="1:26" ht="14.25" x14ac:dyDescent="0.2">
      <c r="A110" s="43"/>
      <c r="B110" s="44"/>
      <c r="C110" s="44" t="s">
        <v>536</v>
      </c>
      <c r="D110" s="32"/>
      <c r="E110" s="10"/>
      <c r="F110" s="24">
        <f>Source!AO39</f>
        <v>78.88</v>
      </c>
      <c r="G110" s="19" t="str">
        <f>Source!DG39</f>
        <v/>
      </c>
      <c r="H110" s="24">
        <f>ROUND(Source!AF39*Source!I39, 2)</f>
        <v>1.58</v>
      </c>
      <c r="I110" s="19"/>
      <c r="J110" s="19">
        <f>IF(Source!BA39&lt;&gt; 0, Source!BA39, 1)</f>
        <v>30.52</v>
      </c>
      <c r="K110" s="24">
        <f>Source!S39</f>
        <v>48.15</v>
      </c>
      <c r="L110" s="33"/>
      <c r="R110">
        <f>H110</f>
        <v>1.58</v>
      </c>
    </row>
    <row r="111" spans="1:26" ht="14.25" x14ac:dyDescent="0.2">
      <c r="A111" s="43"/>
      <c r="B111" s="44"/>
      <c r="C111" s="44" t="s">
        <v>537</v>
      </c>
      <c r="D111" s="32"/>
      <c r="E111" s="10"/>
      <c r="F111" s="24">
        <f>Source!AL39</f>
        <v>9.6999999999999993</v>
      </c>
      <c r="G111" s="19" t="str">
        <f>Source!DD39</f>
        <v/>
      </c>
      <c r="H111" s="24">
        <f>ROUND(Source!AC39*Source!I39, 2)</f>
        <v>0.19</v>
      </c>
      <c r="I111" s="19"/>
      <c r="J111" s="19">
        <f>IF(Source!BC39&lt;&gt; 0, Source!BC39, 1)</f>
        <v>7.79</v>
      </c>
      <c r="K111" s="24">
        <f>Source!P39</f>
        <v>1.51</v>
      </c>
      <c r="L111" s="33"/>
    </row>
    <row r="112" spans="1:26" ht="14.25" x14ac:dyDescent="0.2">
      <c r="A112" s="43"/>
      <c r="B112" s="44"/>
      <c r="C112" s="44" t="s">
        <v>538</v>
      </c>
      <c r="D112" s="32" t="s">
        <v>539</v>
      </c>
      <c r="E112" s="10">
        <f>Source!BZ39</f>
        <v>80</v>
      </c>
      <c r="F112" s="47"/>
      <c r="G112" s="19"/>
      <c r="H112" s="24">
        <f>SUM(S109:S114)</f>
        <v>1.26</v>
      </c>
      <c r="I112" s="34"/>
      <c r="J112" s="20">
        <f>Source!AT39</f>
        <v>80</v>
      </c>
      <c r="K112" s="24">
        <f>SUM(T109:T114)</f>
        <v>38.520000000000003</v>
      </c>
      <c r="L112" s="33"/>
    </row>
    <row r="113" spans="1:26" ht="14.25" x14ac:dyDescent="0.2">
      <c r="A113" s="43"/>
      <c r="B113" s="44"/>
      <c r="C113" s="44" t="s">
        <v>540</v>
      </c>
      <c r="D113" s="32" t="s">
        <v>539</v>
      </c>
      <c r="E113" s="10">
        <f>Source!CA39</f>
        <v>60</v>
      </c>
      <c r="F113" s="47"/>
      <c r="G113" s="19"/>
      <c r="H113" s="24">
        <f>SUM(U109:U114)</f>
        <v>0.95</v>
      </c>
      <c r="I113" s="34"/>
      <c r="J113" s="20">
        <f>Source!AU39</f>
        <v>60</v>
      </c>
      <c r="K113" s="24">
        <f>SUM(V109:V114)</f>
        <v>28.89</v>
      </c>
      <c r="L113" s="33"/>
    </row>
    <row r="114" spans="1:26" ht="14.25" x14ac:dyDescent="0.2">
      <c r="A114" s="45"/>
      <c r="B114" s="46"/>
      <c r="C114" s="46" t="s">
        <v>541</v>
      </c>
      <c r="D114" s="35" t="s">
        <v>542</v>
      </c>
      <c r="E114" s="36">
        <f>Source!AQ39</f>
        <v>8.1999999999999993</v>
      </c>
      <c r="F114" s="37"/>
      <c r="G114" s="38" t="str">
        <f>Source!DI39</f>
        <v/>
      </c>
      <c r="H114" s="37"/>
      <c r="I114" s="38"/>
      <c r="J114" s="38"/>
      <c r="K114" s="37"/>
      <c r="L114" s="39">
        <f>Source!U39</f>
        <v>0.16399999999999998</v>
      </c>
    </row>
    <row r="115" spans="1:26" ht="15" x14ac:dyDescent="0.25">
      <c r="G115" s="63">
        <f>H110+H111+H112+H113</f>
        <v>3.9800000000000004</v>
      </c>
      <c r="H115" s="63"/>
      <c r="J115" s="63">
        <f>K110+K111+K112+K113</f>
        <v>117.07000000000001</v>
      </c>
      <c r="K115" s="63"/>
      <c r="L115" s="40">
        <f>Source!U39</f>
        <v>0.16399999999999998</v>
      </c>
      <c r="O115" s="28">
        <f>G115</f>
        <v>3.9800000000000004</v>
      </c>
      <c r="P115" s="28">
        <f>J115</f>
        <v>117.07000000000001</v>
      </c>
      <c r="Q115" s="28">
        <f>L115</f>
        <v>0.16399999999999998</v>
      </c>
      <c r="W115">
        <f>IF(Source!BI39&lt;=1,H110+H111+H112+H113, 0)</f>
        <v>0</v>
      </c>
      <c r="X115">
        <f>IF(Source!BI39=2,H110+H111+H112+H113, 0)</f>
        <v>3.9800000000000004</v>
      </c>
      <c r="Y115">
        <f>IF(Source!BI39=3,H110+H111+H112+H113, 0)</f>
        <v>0</v>
      </c>
      <c r="Z115">
        <f>IF(Source!BI39=4,H110+H111+H112+H113, 0)</f>
        <v>0</v>
      </c>
    </row>
    <row r="116" spans="1:26" ht="42.75" x14ac:dyDescent="0.2">
      <c r="A116" s="45" t="str">
        <f>Source!E40</f>
        <v>16</v>
      </c>
      <c r="B116" s="46" t="s">
        <v>29</v>
      </c>
      <c r="C116" s="46" t="s">
        <v>558</v>
      </c>
      <c r="D116" s="35" t="str">
        <f>Source!H40</f>
        <v>шт.</v>
      </c>
      <c r="E116" s="36">
        <f>Source!I40</f>
        <v>1</v>
      </c>
      <c r="F116" s="37">
        <f>Source!AL40</f>
        <v>70.83</v>
      </c>
      <c r="G116" s="38" t="str">
        <f>Source!DD40</f>
        <v/>
      </c>
      <c r="H116" s="37">
        <f>ROUND(Source!AC40*Source!I40, 2)</f>
        <v>70.83</v>
      </c>
      <c r="I116" s="38" t="str">
        <f>Source!BO40</f>
        <v/>
      </c>
      <c r="J116" s="38">
        <f>IF(Source!BC40&lt;&gt; 0, Source!BC40, 1)</f>
        <v>1</v>
      </c>
      <c r="K116" s="37">
        <f>Source!P40</f>
        <v>70.83</v>
      </c>
      <c r="L116" s="41"/>
      <c r="S116">
        <f>ROUND((Source!FX40/100)*((ROUND(Source!AF40*Source!I40, 2)+ROUND(Source!AE40*Source!I40, 2))), 2)</f>
        <v>0</v>
      </c>
      <c r="T116">
        <f>Source!X40</f>
        <v>0</v>
      </c>
      <c r="U116">
        <f>ROUND((Source!FY40/100)*((ROUND(Source!AF40*Source!I40, 2)+ROUND(Source!AE40*Source!I40, 2))), 2)</f>
        <v>0</v>
      </c>
      <c r="V116">
        <f>Source!Y40</f>
        <v>0</v>
      </c>
    </row>
    <row r="117" spans="1:26" ht="15" x14ac:dyDescent="0.25">
      <c r="G117" s="63">
        <f>H116</f>
        <v>70.83</v>
      </c>
      <c r="H117" s="63"/>
      <c r="J117" s="63">
        <f>K116</f>
        <v>70.83</v>
      </c>
      <c r="K117" s="63"/>
      <c r="L117" s="40">
        <f>Source!U40</f>
        <v>0</v>
      </c>
      <c r="O117" s="28">
        <f>G117</f>
        <v>70.83</v>
      </c>
      <c r="P117" s="28">
        <f>J117</f>
        <v>70.83</v>
      </c>
      <c r="Q117" s="28">
        <f>L117</f>
        <v>0</v>
      </c>
      <c r="W117">
        <f>IF(Source!BI40&lt;=1,H116, 0)</f>
        <v>0</v>
      </c>
      <c r="X117">
        <f>IF(Source!BI40=2,H116, 0)</f>
        <v>0</v>
      </c>
      <c r="Y117">
        <f>IF(Source!BI40=3,H116, 0)</f>
        <v>70.83</v>
      </c>
      <c r="Z117">
        <f>IF(Source!BI40=4,H116, 0)</f>
        <v>0</v>
      </c>
    </row>
    <row r="118" spans="1:26" ht="42.75" x14ac:dyDescent="0.2">
      <c r="A118" s="45" t="str">
        <f>Source!E41</f>
        <v>17</v>
      </c>
      <c r="B118" s="46" t="s">
        <v>29</v>
      </c>
      <c r="C118" s="46" t="s">
        <v>559</v>
      </c>
      <c r="D118" s="35" t="str">
        <f>Source!H41</f>
        <v>шт.</v>
      </c>
      <c r="E118" s="36">
        <f>Source!I41</f>
        <v>1</v>
      </c>
      <c r="F118" s="37">
        <f>Source!AL41</f>
        <v>125</v>
      </c>
      <c r="G118" s="38" t="str">
        <f>Source!DD41</f>
        <v/>
      </c>
      <c r="H118" s="37">
        <f>ROUND(Source!AC41*Source!I41, 2)</f>
        <v>125</v>
      </c>
      <c r="I118" s="38" t="str">
        <f>Source!BO41</f>
        <v/>
      </c>
      <c r="J118" s="38">
        <f>IF(Source!BC41&lt;&gt; 0, Source!BC41, 1)</f>
        <v>1</v>
      </c>
      <c r="K118" s="37">
        <f>Source!P41</f>
        <v>125</v>
      </c>
      <c r="L118" s="41"/>
      <c r="S118">
        <f>ROUND((Source!FX41/100)*((ROUND(Source!AF41*Source!I41, 2)+ROUND(Source!AE41*Source!I41, 2))), 2)</f>
        <v>0</v>
      </c>
      <c r="T118">
        <f>Source!X41</f>
        <v>0</v>
      </c>
      <c r="U118">
        <f>ROUND((Source!FY41/100)*((ROUND(Source!AF41*Source!I41, 2)+ROUND(Source!AE41*Source!I41, 2))), 2)</f>
        <v>0</v>
      </c>
      <c r="V118">
        <f>Source!Y41</f>
        <v>0</v>
      </c>
    </row>
    <row r="119" spans="1:26" ht="15" x14ac:dyDescent="0.25">
      <c r="G119" s="63">
        <f>H118</f>
        <v>125</v>
      </c>
      <c r="H119" s="63"/>
      <c r="J119" s="63">
        <f>K118</f>
        <v>125</v>
      </c>
      <c r="K119" s="63"/>
      <c r="L119" s="40">
        <f>Source!U41</f>
        <v>0</v>
      </c>
      <c r="O119" s="28">
        <f>G119</f>
        <v>125</v>
      </c>
      <c r="P119" s="28">
        <f>J119</f>
        <v>125</v>
      </c>
      <c r="Q119" s="28">
        <f>L119</f>
        <v>0</v>
      </c>
      <c r="W119">
        <f>IF(Source!BI41&lt;=1,H118, 0)</f>
        <v>0</v>
      </c>
      <c r="X119">
        <f>IF(Source!BI41=2,H118, 0)</f>
        <v>0</v>
      </c>
      <c r="Y119">
        <f>IF(Source!BI41=3,H118, 0)</f>
        <v>125</v>
      </c>
      <c r="Z119">
        <f>IF(Source!BI41=4,H118, 0)</f>
        <v>0</v>
      </c>
    </row>
    <row r="120" spans="1:26" ht="42.75" x14ac:dyDescent="0.2">
      <c r="A120" s="43" t="str">
        <f>Source!E42</f>
        <v>18</v>
      </c>
      <c r="B120" s="44" t="s">
        <v>560</v>
      </c>
      <c r="C120" s="44" t="str">
        <f>Source!G42</f>
        <v>Автомат одно-, двух-, трехполюсный, устанавливаемый на конструкции на стене или колонне, на ток до 25 А</v>
      </c>
      <c r="D120" s="32" t="str">
        <f>Source!H42</f>
        <v>1  ШТ.</v>
      </c>
      <c r="E120" s="10">
        <f>Source!I42</f>
        <v>1</v>
      </c>
      <c r="F120" s="24">
        <f>Source!AL42+Source!AM42+Source!AO42</f>
        <v>36.489999999999995</v>
      </c>
      <c r="G120" s="19"/>
      <c r="H120" s="24"/>
      <c r="I120" s="19" t="str">
        <f>Source!BO42</f>
        <v>м08-03-526-1</v>
      </c>
      <c r="J120" s="19"/>
      <c r="K120" s="24"/>
      <c r="L120" s="33"/>
      <c r="S120">
        <f>ROUND((Source!FX42/100)*((ROUND(Source!AF42*Source!I42, 2)+ROUND(Source!AE42*Source!I42, 2))), 2)</f>
        <v>14.1</v>
      </c>
      <c r="T120">
        <f>Source!X42</f>
        <v>430.27</v>
      </c>
      <c r="U120">
        <f>ROUND((Source!FY42/100)*((ROUND(Source!AF42*Source!I42, 2)+ROUND(Source!AE42*Source!I42, 2))), 2)</f>
        <v>9.65</v>
      </c>
      <c r="V120">
        <f>Source!Y42</f>
        <v>294.39999999999998</v>
      </c>
    </row>
    <row r="121" spans="1:26" ht="14.25" x14ac:dyDescent="0.2">
      <c r="A121" s="43"/>
      <c r="B121" s="44"/>
      <c r="C121" s="44" t="s">
        <v>536</v>
      </c>
      <c r="D121" s="32"/>
      <c r="E121" s="10"/>
      <c r="F121" s="24">
        <f>Source!AO42</f>
        <v>14.84</v>
      </c>
      <c r="G121" s="19" t="str">
        <f>Source!DG42</f>
        <v/>
      </c>
      <c r="H121" s="24">
        <f>ROUND(Source!AF42*Source!I42, 2)</f>
        <v>14.84</v>
      </c>
      <c r="I121" s="19"/>
      <c r="J121" s="19">
        <f>IF(Source!BA42&lt;&gt; 0, Source!BA42, 1)</f>
        <v>30.52</v>
      </c>
      <c r="K121" s="24">
        <f>Source!S42</f>
        <v>452.92</v>
      </c>
      <c r="L121" s="33"/>
      <c r="R121">
        <f>H121</f>
        <v>14.84</v>
      </c>
    </row>
    <row r="122" spans="1:26" ht="14.25" x14ac:dyDescent="0.2">
      <c r="A122" s="43"/>
      <c r="B122" s="44"/>
      <c r="C122" s="44" t="s">
        <v>200</v>
      </c>
      <c r="D122" s="32"/>
      <c r="E122" s="10"/>
      <c r="F122" s="24">
        <f>Source!AM42</f>
        <v>1.1299999999999999</v>
      </c>
      <c r="G122" s="19" t="str">
        <f>Source!DE42</f>
        <v/>
      </c>
      <c r="H122" s="24">
        <f>ROUND(Source!AD42*Source!I42, 2)</f>
        <v>1.1299999999999999</v>
      </c>
      <c r="I122" s="19"/>
      <c r="J122" s="19">
        <f>IF(Source!BB42&lt;&gt; 0, Source!BB42, 1)</f>
        <v>6.99</v>
      </c>
      <c r="K122" s="24">
        <f>Source!Q42</f>
        <v>7.9</v>
      </c>
      <c r="L122" s="33"/>
    </row>
    <row r="123" spans="1:26" ht="14.25" x14ac:dyDescent="0.2">
      <c r="A123" s="43"/>
      <c r="B123" s="44"/>
      <c r="C123" s="44" t="s">
        <v>537</v>
      </c>
      <c r="D123" s="32"/>
      <c r="E123" s="10"/>
      <c r="F123" s="24">
        <f>Source!AL42</f>
        <v>20.52</v>
      </c>
      <c r="G123" s="19" t="str">
        <f>Source!DD42</f>
        <v/>
      </c>
      <c r="H123" s="24">
        <f>ROUND(Source!AC42*Source!I42, 2)</f>
        <v>20.52</v>
      </c>
      <c r="I123" s="19"/>
      <c r="J123" s="19">
        <f>IF(Source!BC42&lt;&gt; 0, Source!BC42, 1)</f>
        <v>8.56</v>
      </c>
      <c r="K123" s="24">
        <f>Source!P42</f>
        <v>175.65</v>
      </c>
      <c r="L123" s="33"/>
    </row>
    <row r="124" spans="1:26" ht="14.25" x14ac:dyDescent="0.2">
      <c r="A124" s="43"/>
      <c r="B124" s="44"/>
      <c r="C124" s="44" t="s">
        <v>538</v>
      </c>
      <c r="D124" s="32" t="s">
        <v>539</v>
      </c>
      <c r="E124" s="10">
        <f>Source!BZ42</f>
        <v>95</v>
      </c>
      <c r="F124" s="47"/>
      <c r="G124" s="19"/>
      <c r="H124" s="24">
        <f>SUM(S120:S126)</f>
        <v>14.1</v>
      </c>
      <c r="I124" s="34"/>
      <c r="J124" s="20">
        <f>Source!AT42</f>
        <v>95</v>
      </c>
      <c r="K124" s="24">
        <f>SUM(T120:T126)</f>
        <v>430.27</v>
      </c>
      <c r="L124" s="33"/>
    </row>
    <row r="125" spans="1:26" ht="14.25" x14ac:dyDescent="0.2">
      <c r="A125" s="43"/>
      <c r="B125" s="44"/>
      <c r="C125" s="44" t="s">
        <v>540</v>
      </c>
      <c r="D125" s="32" t="s">
        <v>539</v>
      </c>
      <c r="E125" s="10">
        <f>Source!CA42</f>
        <v>65</v>
      </c>
      <c r="F125" s="47"/>
      <c r="G125" s="19"/>
      <c r="H125" s="24">
        <f>SUM(U120:U126)</f>
        <v>9.65</v>
      </c>
      <c r="I125" s="34"/>
      <c r="J125" s="20">
        <f>Source!AU42</f>
        <v>65</v>
      </c>
      <c r="K125" s="24">
        <f>SUM(V120:V126)</f>
        <v>294.39999999999998</v>
      </c>
      <c r="L125" s="33"/>
    </row>
    <row r="126" spans="1:26" ht="14.25" x14ac:dyDescent="0.2">
      <c r="A126" s="45"/>
      <c r="B126" s="46"/>
      <c r="C126" s="46" t="s">
        <v>541</v>
      </c>
      <c r="D126" s="35" t="s">
        <v>542</v>
      </c>
      <c r="E126" s="36">
        <f>Source!AQ42</f>
        <v>1.56</v>
      </c>
      <c r="F126" s="37"/>
      <c r="G126" s="38" t="str">
        <f>Source!DI42</f>
        <v/>
      </c>
      <c r="H126" s="37"/>
      <c r="I126" s="38"/>
      <c r="J126" s="38"/>
      <c r="K126" s="37"/>
      <c r="L126" s="39">
        <f>Source!U42</f>
        <v>1.56</v>
      </c>
    </row>
    <row r="127" spans="1:26" ht="15" x14ac:dyDescent="0.25">
      <c r="G127" s="63">
        <f>H121+H122+H123+H124+H125</f>
        <v>60.239999999999995</v>
      </c>
      <c r="H127" s="63"/>
      <c r="J127" s="63">
        <f>K121+K122+K123+K124+K125</f>
        <v>1361.1399999999999</v>
      </c>
      <c r="K127" s="63"/>
      <c r="L127" s="40">
        <f>Source!U42</f>
        <v>1.56</v>
      </c>
      <c r="O127" s="28">
        <f>G127</f>
        <v>60.239999999999995</v>
      </c>
      <c r="P127" s="28">
        <f>J127</f>
        <v>1361.1399999999999</v>
      </c>
      <c r="Q127" s="28">
        <f>L127</f>
        <v>1.56</v>
      </c>
      <c r="W127">
        <f>IF(Source!BI42&lt;=1,H121+H122+H123+H124+H125, 0)</f>
        <v>0</v>
      </c>
      <c r="X127">
        <f>IF(Source!BI42=2,H121+H122+H123+H124+H125, 0)</f>
        <v>60.239999999999995</v>
      </c>
      <c r="Y127">
        <f>IF(Source!BI42=3,H121+H122+H123+H124+H125, 0)</f>
        <v>0</v>
      </c>
      <c r="Z127">
        <f>IF(Source!BI42=4,H121+H122+H123+H124+H125, 0)</f>
        <v>0</v>
      </c>
    </row>
    <row r="128" spans="1:26" ht="28.5" x14ac:dyDescent="0.2">
      <c r="A128" s="45" t="str">
        <f>Source!E43</f>
        <v>19</v>
      </c>
      <c r="B128" s="46" t="s">
        <v>561</v>
      </c>
      <c r="C128" s="46" t="str">
        <f>Source!G43</f>
        <v>Выключатели автоматические «IEK» ВА47-29 1Р 6А, характеристика С</v>
      </c>
      <c r="D128" s="35" t="str">
        <f>Source!H43</f>
        <v>шт.</v>
      </c>
      <c r="E128" s="36">
        <f>Source!I43</f>
        <v>1</v>
      </c>
      <c r="F128" s="37">
        <f>Source!AL43</f>
        <v>13.38</v>
      </c>
      <c r="G128" s="38" t="str">
        <f>Source!DD43</f>
        <v/>
      </c>
      <c r="H128" s="37">
        <f>ROUND(Source!AC43*Source!I43, 2)</f>
        <v>13.38</v>
      </c>
      <c r="I128" s="38" t="str">
        <f>Source!BO43</f>
        <v/>
      </c>
      <c r="J128" s="38">
        <f>IF(Source!BC43&lt;&gt; 0, Source!BC43, 1)</f>
        <v>6.29</v>
      </c>
      <c r="K128" s="37">
        <f>Source!P43</f>
        <v>84.16</v>
      </c>
      <c r="L128" s="41"/>
      <c r="S128">
        <f>ROUND((Source!FX43/100)*((ROUND(Source!AF43*Source!I43, 2)+ROUND(Source!AE43*Source!I43, 2))), 2)</f>
        <v>0</v>
      </c>
      <c r="T128">
        <f>Source!X43</f>
        <v>0</v>
      </c>
      <c r="U128">
        <f>ROUND((Source!FY43/100)*((ROUND(Source!AF43*Source!I43, 2)+ROUND(Source!AE43*Source!I43, 2))), 2)</f>
        <v>0</v>
      </c>
      <c r="V128">
        <f>Source!Y43</f>
        <v>0</v>
      </c>
    </row>
    <row r="129" spans="1:26" ht="15" x14ac:dyDescent="0.25">
      <c r="G129" s="63">
        <f>H128</f>
        <v>13.38</v>
      </c>
      <c r="H129" s="63"/>
      <c r="J129" s="63">
        <f>K128</f>
        <v>84.16</v>
      </c>
      <c r="K129" s="63"/>
      <c r="L129" s="40">
        <f>Source!U43</f>
        <v>0</v>
      </c>
      <c r="O129" s="28">
        <f>G129</f>
        <v>13.38</v>
      </c>
      <c r="P129" s="28">
        <f>J129</f>
        <v>84.16</v>
      </c>
      <c r="Q129" s="28">
        <f>L129</f>
        <v>0</v>
      </c>
      <c r="W129">
        <f>IF(Source!BI43&lt;=1,H128, 0)</f>
        <v>0</v>
      </c>
      <c r="X129">
        <f>IF(Source!BI43=2,H128, 0)</f>
        <v>0</v>
      </c>
      <c r="Y129">
        <f>IF(Source!BI43=3,H128, 0)</f>
        <v>13.38</v>
      </c>
      <c r="Z129">
        <f>IF(Source!BI43=4,H128, 0)</f>
        <v>0</v>
      </c>
    </row>
    <row r="130" spans="1:26" ht="28.5" x14ac:dyDescent="0.2">
      <c r="A130" s="45" t="str">
        <f>Source!E44</f>
        <v>20</v>
      </c>
      <c r="B130" s="46" t="s">
        <v>562</v>
      </c>
      <c r="C130" s="46" t="str">
        <f>Source!G44</f>
        <v>Боксы модульные для автоматических выключателей наружной установки</v>
      </c>
      <c r="D130" s="35" t="str">
        <f>Source!H44</f>
        <v>10 шт.</v>
      </c>
      <c r="E130" s="36">
        <f>Source!I44</f>
        <v>0.1</v>
      </c>
      <c r="F130" s="37">
        <f>Source!AL44</f>
        <v>67.3</v>
      </c>
      <c r="G130" s="38" t="str">
        <f>Source!DD44</f>
        <v/>
      </c>
      <c r="H130" s="37">
        <f>ROUND(Source!AC44*Source!I44, 2)</f>
        <v>6.73</v>
      </c>
      <c r="I130" s="38" t="str">
        <f>Source!BO44</f>
        <v>509-6576</v>
      </c>
      <c r="J130" s="38">
        <f>IF(Source!BC44&lt;&gt; 0, Source!BC44, 1)</f>
        <v>2.95</v>
      </c>
      <c r="K130" s="37">
        <f>Source!P44</f>
        <v>19.850000000000001</v>
      </c>
      <c r="L130" s="41"/>
      <c r="S130">
        <f>ROUND((Source!FX44/100)*((ROUND(Source!AF44*Source!I44, 2)+ROUND(Source!AE44*Source!I44, 2))), 2)</f>
        <v>0</v>
      </c>
      <c r="T130">
        <f>Source!X44</f>
        <v>0</v>
      </c>
      <c r="U130">
        <f>ROUND((Source!FY44/100)*((ROUND(Source!AF44*Source!I44, 2)+ROUND(Source!AE44*Source!I44, 2))), 2)</f>
        <v>0</v>
      </c>
      <c r="V130">
        <f>Source!Y44</f>
        <v>0</v>
      </c>
    </row>
    <row r="131" spans="1:26" ht="15" x14ac:dyDescent="0.25">
      <c r="G131" s="63">
        <f>H130</f>
        <v>6.73</v>
      </c>
      <c r="H131" s="63"/>
      <c r="J131" s="63">
        <f>K130</f>
        <v>19.850000000000001</v>
      </c>
      <c r="K131" s="63"/>
      <c r="L131" s="40">
        <f>Source!U44</f>
        <v>0</v>
      </c>
      <c r="O131" s="28">
        <f>G131</f>
        <v>6.73</v>
      </c>
      <c r="P131" s="28">
        <f>J131</f>
        <v>19.850000000000001</v>
      </c>
      <c r="Q131" s="28">
        <f>L131</f>
        <v>0</v>
      </c>
      <c r="W131">
        <f>IF(Source!BI44&lt;=1,H130, 0)</f>
        <v>0</v>
      </c>
      <c r="X131">
        <f>IF(Source!BI44=2,H130, 0)</f>
        <v>6.73</v>
      </c>
      <c r="Y131">
        <f>IF(Source!BI44=3,H130, 0)</f>
        <v>0</v>
      </c>
      <c r="Z131">
        <f>IF(Source!BI44=4,H130, 0)</f>
        <v>0</v>
      </c>
    </row>
    <row r="132" spans="1:26" ht="57" x14ac:dyDescent="0.2">
      <c r="A132" s="43" t="str">
        <f>Source!E45</f>
        <v>21</v>
      </c>
      <c r="B132" s="44" t="s">
        <v>563</v>
      </c>
      <c r="C132" s="44" t="str">
        <f>Source!G45</f>
        <v>Труба винипластовая по установленным конструкциям, по стенам и колоннам с креплением скобами, диаметр до 25 мм</v>
      </c>
      <c r="D132" s="32" t="str">
        <f>Source!H45</f>
        <v>100 м</v>
      </c>
      <c r="E132" s="10">
        <f>Source!I45</f>
        <v>0.14000000000000001</v>
      </c>
      <c r="F132" s="24">
        <f>Source!AL45+Source!AM45+Source!AO45</f>
        <v>248.60999999999999</v>
      </c>
      <c r="G132" s="19"/>
      <c r="H132" s="24"/>
      <c r="I132" s="19" t="str">
        <f>Source!BO45</f>
        <v>м08-02-409-1</v>
      </c>
      <c r="J132" s="19"/>
      <c r="K132" s="24"/>
      <c r="L132" s="33"/>
      <c r="S132">
        <f>ROUND((Source!FX45/100)*((ROUND(Source!AF45*Source!I45, 2)+ROUND(Source!AE45*Source!I45, 2))), 2)</f>
        <v>23.97</v>
      </c>
      <c r="T132">
        <f>Source!X45</f>
        <v>731.46</v>
      </c>
      <c r="U132">
        <f>ROUND((Source!FY45/100)*((ROUND(Source!AF45*Source!I45, 2)+ROUND(Source!AE45*Source!I45, 2))), 2)</f>
        <v>16.399999999999999</v>
      </c>
      <c r="V132">
        <f>Source!Y45</f>
        <v>500.47</v>
      </c>
    </row>
    <row r="133" spans="1:26" ht="14.25" x14ac:dyDescent="0.2">
      <c r="A133" s="43"/>
      <c r="B133" s="44"/>
      <c r="C133" s="44" t="s">
        <v>536</v>
      </c>
      <c r="D133" s="32"/>
      <c r="E133" s="10"/>
      <c r="F133" s="24">
        <f>Source!AO45</f>
        <v>178.98</v>
      </c>
      <c r="G133" s="19" t="str">
        <f>Source!DG45</f>
        <v/>
      </c>
      <c r="H133" s="24">
        <f>ROUND(Source!AF45*Source!I45, 2)</f>
        <v>25.06</v>
      </c>
      <c r="I133" s="19"/>
      <c r="J133" s="19">
        <f>IF(Source!BA45&lt;&gt; 0, Source!BA45, 1)</f>
        <v>30.52</v>
      </c>
      <c r="K133" s="24">
        <f>Source!S45</f>
        <v>764.75</v>
      </c>
      <c r="L133" s="33"/>
      <c r="R133">
        <f>H133</f>
        <v>25.06</v>
      </c>
    </row>
    <row r="134" spans="1:26" ht="14.25" x14ac:dyDescent="0.2">
      <c r="A134" s="43"/>
      <c r="B134" s="44"/>
      <c r="C134" s="44" t="s">
        <v>200</v>
      </c>
      <c r="D134" s="32"/>
      <c r="E134" s="10"/>
      <c r="F134" s="24">
        <f>Source!AM45</f>
        <v>45.51</v>
      </c>
      <c r="G134" s="19" t="str">
        <f>Source!DE45</f>
        <v/>
      </c>
      <c r="H134" s="24">
        <f>ROUND(Source!AD45*Source!I45, 2)</f>
        <v>6.37</v>
      </c>
      <c r="I134" s="19"/>
      <c r="J134" s="19">
        <f>IF(Source!BB45&lt;&gt; 0, Source!BB45, 1)</f>
        <v>9.36</v>
      </c>
      <c r="K134" s="24">
        <f>Source!Q45</f>
        <v>59.64</v>
      </c>
      <c r="L134" s="33"/>
    </row>
    <row r="135" spans="1:26" ht="14.25" x14ac:dyDescent="0.2">
      <c r="A135" s="43"/>
      <c r="B135" s="44"/>
      <c r="C135" s="44" t="s">
        <v>547</v>
      </c>
      <c r="D135" s="32"/>
      <c r="E135" s="10"/>
      <c r="F135" s="24">
        <f>Source!AN45</f>
        <v>1.22</v>
      </c>
      <c r="G135" s="19" t="str">
        <f>Source!DF45</f>
        <v/>
      </c>
      <c r="H135" s="42">
        <f>ROUND(Source!AE45*Source!I45, 2)</f>
        <v>0.17</v>
      </c>
      <c r="I135" s="19"/>
      <c r="J135" s="19">
        <f>IF(Source!BS45&lt;&gt; 0, Source!BS45, 1)</f>
        <v>30.52</v>
      </c>
      <c r="K135" s="42">
        <f>Source!R45</f>
        <v>5.21</v>
      </c>
      <c r="L135" s="33"/>
      <c r="R135">
        <f>H135</f>
        <v>0.17</v>
      </c>
    </row>
    <row r="136" spans="1:26" ht="14.25" x14ac:dyDescent="0.2">
      <c r="A136" s="43"/>
      <c r="B136" s="44"/>
      <c r="C136" s="44" t="s">
        <v>537</v>
      </c>
      <c r="D136" s="32"/>
      <c r="E136" s="10"/>
      <c r="F136" s="24">
        <f>Source!AL45</f>
        <v>24.12</v>
      </c>
      <c r="G136" s="19" t="str">
        <f>Source!DD45</f>
        <v/>
      </c>
      <c r="H136" s="24">
        <f>ROUND(Source!AC45*Source!I45, 2)</f>
        <v>3.38</v>
      </c>
      <c r="I136" s="19"/>
      <c r="J136" s="19">
        <f>IF(Source!BC45&lt;&gt; 0, Source!BC45, 1)</f>
        <v>9.6300000000000008</v>
      </c>
      <c r="K136" s="24">
        <f>Source!P45</f>
        <v>32.520000000000003</v>
      </c>
      <c r="L136" s="33"/>
    </row>
    <row r="137" spans="1:26" ht="14.25" x14ac:dyDescent="0.2">
      <c r="A137" s="43"/>
      <c r="B137" s="44"/>
      <c r="C137" s="44" t="s">
        <v>538</v>
      </c>
      <c r="D137" s="32" t="s">
        <v>539</v>
      </c>
      <c r="E137" s="10">
        <f>Source!BZ45</f>
        <v>95</v>
      </c>
      <c r="F137" s="47"/>
      <c r="G137" s="19"/>
      <c r="H137" s="24">
        <f>SUM(S132:S139)</f>
        <v>23.97</v>
      </c>
      <c r="I137" s="34"/>
      <c r="J137" s="20">
        <f>Source!AT45</f>
        <v>95</v>
      </c>
      <c r="K137" s="24">
        <f>SUM(T132:T139)</f>
        <v>731.46</v>
      </c>
      <c r="L137" s="33"/>
    </row>
    <row r="138" spans="1:26" ht="14.25" x14ac:dyDescent="0.2">
      <c r="A138" s="43"/>
      <c r="B138" s="44"/>
      <c r="C138" s="44" t="s">
        <v>540</v>
      </c>
      <c r="D138" s="32" t="s">
        <v>539</v>
      </c>
      <c r="E138" s="10">
        <f>Source!CA45</f>
        <v>65</v>
      </c>
      <c r="F138" s="47"/>
      <c r="G138" s="19"/>
      <c r="H138" s="24">
        <f>SUM(U132:U139)</f>
        <v>16.399999999999999</v>
      </c>
      <c r="I138" s="34"/>
      <c r="J138" s="20">
        <f>Source!AU45</f>
        <v>65</v>
      </c>
      <c r="K138" s="24">
        <f>SUM(V132:V139)</f>
        <v>500.47</v>
      </c>
      <c r="L138" s="33"/>
    </row>
    <row r="139" spans="1:26" ht="14.25" x14ac:dyDescent="0.2">
      <c r="A139" s="45"/>
      <c r="B139" s="46"/>
      <c r="C139" s="46" t="s">
        <v>541</v>
      </c>
      <c r="D139" s="35" t="s">
        <v>542</v>
      </c>
      <c r="E139" s="36">
        <f>Source!AQ45</f>
        <v>19.04</v>
      </c>
      <c r="F139" s="37"/>
      <c r="G139" s="38" t="str">
        <f>Source!DI45</f>
        <v/>
      </c>
      <c r="H139" s="37"/>
      <c r="I139" s="38"/>
      <c r="J139" s="38"/>
      <c r="K139" s="37"/>
      <c r="L139" s="39">
        <f>Source!U45</f>
        <v>2.6656</v>
      </c>
    </row>
    <row r="140" spans="1:26" ht="15" x14ac:dyDescent="0.25">
      <c r="G140" s="63">
        <f>H133+H134+H136+H137+H138</f>
        <v>75.180000000000007</v>
      </c>
      <c r="H140" s="63"/>
      <c r="J140" s="63">
        <f>K133+K134+K136+K137+K138</f>
        <v>2088.84</v>
      </c>
      <c r="K140" s="63"/>
      <c r="L140" s="40">
        <f>Source!U45</f>
        <v>2.6656</v>
      </c>
      <c r="O140" s="28">
        <f>G140</f>
        <v>75.180000000000007</v>
      </c>
      <c r="P140" s="28">
        <f>J140</f>
        <v>2088.84</v>
      </c>
      <c r="Q140" s="28">
        <f>L140</f>
        <v>2.6656</v>
      </c>
      <c r="W140">
        <f>IF(Source!BI45&lt;=1,H133+H134+H136+H137+H138, 0)</f>
        <v>0</v>
      </c>
      <c r="X140">
        <f>IF(Source!BI45=2,H133+H134+H136+H137+H138, 0)</f>
        <v>75.180000000000007</v>
      </c>
      <c r="Y140">
        <f>IF(Source!BI45=3,H133+H134+H136+H137+H138, 0)</f>
        <v>0</v>
      </c>
      <c r="Z140">
        <f>IF(Source!BI45=4,H133+H134+H136+H137+H138, 0)</f>
        <v>0</v>
      </c>
    </row>
    <row r="141" spans="1:26" ht="28.5" x14ac:dyDescent="0.2">
      <c r="A141" s="45" t="str">
        <f>Source!E46</f>
        <v>22</v>
      </c>
      <c r="B141" s="46" t="s">
        <v>564</v>
      </c>
      <c r="C141" s="46" t="str">
        <f>Source!G46</f>
        <v>Трубы гибкие гофрированные легкие из ПНД, серии BL, диаметром 16 мм</v>
      </c>
      <c r="D141" s="35" t="str">
        <f>Source!H46</f>
        <v>10 м</v>
      </c>
      <c r="E141" s="36">
        <f>Source!I46</f>
        <v>1.4</v>
      </c>
      <c r="F141" s="37">
        <f>Source!AL46</f>
        <v>23.74</v>
      </c>
      <c r="G141" s="38" t="str">
        <f>Source!DD46</f>
        <v/>
      </c>
      <c r="H141" s="37">
        <f>ROUND(Source!AC46*Source!I46, 2)</f>
        <v>33.24</v>
      </c>
      <c r="I141" s="38" t="str">
        <f>Source!BO46</f>
        <v>103-2446</v>
      </c>
      <c r="J141" s="38">
        <f>IF(Source!BC46&lt;&gt; 0, Source!BC46, 1)</f>
        <v>4.5</v>
      </c>
      <c r="K141" s="37">
        <f>Source!P46</f>
        <v>149.56</v>
      </c>
      <c r="L141" s="41"/>
      <c r="S141">
        <f>ROUND((Source!FX46/100)*((ROUND(Source!AF46*Source!I46, 2)+ROUND(Source!AE46*Source!I46, 2))), 2)</f>
        <v>0</v>
      </c>
      <c r="T141">
        <f>Source!X46</f>
        <v>0</v>
      </c>
      <c r="U141">
        <f>ROUND((Source!FY46/100)*((ROUND(Source!AF46*Source!I46, 2)+ROUND(Source!AE46*Source!I46, 2))), 2)</f>
        <v>0</v>
      </c>
      <c r="V141">
        <f>Source!Y46</f>
        <v>0</v>
      </c>
    </row>
    <row r="142" spans="1:26" ht="15" x14ac:dyDescent="0.25">
      <c r="G142" s="63">
        <f>H141</f>
        <v>33.24</v>
      </c>
      <c r="H142" s="63"/>
      <c r="J142" s="63">
        <f>K141</f>
        <v>149.56</v>
      </c>
      <c r="K142" s="63"/>
      <c r="L142" s="40">
        <f>Source!U46</f>
        <v>0</v>
      </c>
      <c r="O142" s="28">
        <f>G142</f>
        <v>33.24</v>
      </c>
      <c r="P142" s="28">
        <f>J142</f>
        <v>149.56</v>
      </c>
      <c r="Q142" s="28">
        <f>L142</f>
        <v>0</v>
      </c>
      <c r="W142">
        <f>IF(Source!BI46&lt;=1,H141, 0)</f>
        <v>33.24</v>
      </c>
      <c r="X142">
        <f>IF(Source!BI46=2,H141, 0)</f>
        <v>0</v>
      </c>
      <c r="Y142">
        <f>IF(Source!BI46=3,H141, 0)</f>
        <v>0</v>
      </c>
      <c r="Z142">
        <f>IF(Source!BI46=4,H141, 0)</f>
        <v>0</v>
      </c>
    </row>
    <row r="143" spans="1:26" ht="28.5" x14ac:dyDescent="0.2">
      <c r="A143" s="45" t="str">
        <f>Source!E47</f>
        <v>23</v>
      </c>
      <c r="B143" s="46" t="s">
        <v>565</v>
      </c>
      <c r="C143" s="46" t="str">
        <f>Source!G47</f>
        <v>Клипса для крепежа гофротрубы, диаметром 16 мм</v>
      </c>
      <c r="D143" s="35" t="str">
        <f>Source!H47</f>
        <v>10 шт.</v>
      </c>
      <c r="E143" s="36">
        <f>Source!I47</f>
        <v>4.3</v>
      </c>
      <c r="F143" s="37">
        <f>Source!AL47</f>
        <v>1.9</v>
      </c>
      <c r="G143" s="38" t="str">
        <f>Source!DD47</f>
        <v/>
      </c>
      <c r="H143" s="37">
        <f>ROUND(Source!AC47*Source!I47, 2)</f>
        <v>8.17</v>
      </c>
      <c r="I143" s="38" t="str">
        <f>Source!BO47</f>
        <v>103-1177</v>
      </c>
      <c r="J143" s="38">
        <f>IF(Source!BC47&lt;&gt; 0, Source!BC47, 1)</f>
        <v>16.05</v>
      </c>
      <c r="K143" s="37">
        <f>Source!P47</f>
        <v>131.13</v>
      </c>
      <c r="L143" s="41"/>
      <c r="S143">
        <f>ROUND((Source!FX47/100)*((ROUND(Source!AF47*Source!I47, 2)+ROUND(Source!AE47*Source!I47, 2))), 2)</f>
        <v>0</v>
      </c>
      <c r="T143">
        <f>Source!X47</f>
        <v>0</v>
      </c>
      <c r="U143">
        <f>ROUND((Source!FY47/100)*((ROUND(Source!AF47*Source!I47, 2)+ROUND(Source!AE47*Source!I47, 2))), 2)</f>
        <v>0</v>
      </c>
      <c r="V143">
        <f>Source!Y47</f>
        <v>0</v>
      </c>
    </row>
    <row r="144" spans="1:26" ht="15" x14ac:dyDescent="0.25">
      <c r="G144" s="63">
        <f>H143</f>
        <v>8.17</v>
      </c>
      <c r="H144" s="63"/>
      <c r="J144" s="63">
        <f>K143</f>
        <v>131.13</v>
      </c>
      <c r="K144" s="63"/>
      <c r="L144" s="40">
        <f>Source!U47</f>
        <v>0</v>
      </c>
      <c r="O144" s="28">
        <f>G144</f>
        <v>8.17</v>
      </c>
      <c r="P144" s="28">
        <f>J144</f>
        <v>131.13</v>
      </c>
      <c r="Q144" s="28">
        <f>L144</f>
        <v>0</v>
      </c>
      <c r="W144">
        <f>IF(Source!BI47&lt;=1,H143, 0)</f>
        <v>8.17</v>
      </c>
      <c r="X144">
        <f>IF(Source!BI47=2,H143, 0)</f>
        <v>0</v>
      </c>
      <c r="Y144">
        <f>IF(Source!BI47=3,H143, 0)</f>
        <v>0</v>
      </c>
      <c r="Z144">
        <f>IF(Source!BI47=4,H143, 0)</f>
        <v>0</v>
      </c>
    </row>
    <row r="145" spans="1:26" ht="28.5" x14ac:dyDescent="0.2">
      <c r="A145" s="43" t="str">
        <f>Source!E48</f>
        <v>24</v>
      </c>
      <c r="B145" s="44" t="s">
        <v>566</v>
      </c>
      <c r="C145" s="44" t="str">
        <f>Source!G48</f>
        <v>Короба пластмассовые шириной до 40 мм</v>
      </c>
      <c r="D145" s="32" t="str">
        <f>Source!H48</f>
        <v>100 м</v>
      </c>
      <c r="E145" s="10">
        <f>Source!I48</f>
        <v>0.2</v>
      </c>
      <c r="F145" s="24">
        <f>Source!AL48+Source!AM48+Source!AO48</f>
        <v>237.45</v>
      </c>
      <c r="G145" s="19"/>
      <c r="H145" s="24"/>
      <c r="I145" s="19" t="str">
        <f>Source!BO48</f>
        <v>м08-02-390-1</v>
      </c>
      <c r="J145" s="19"/>
      <c r="K145" s="24"/>
      <c r="L145" s="33"/>
      <c r="S145">
        <f>ROUND((Source!FX48/100)*((ROUND(Source!AF48*Source!I48, 2)+ROUND(Source!AE48*Source!I48, 2))), 2)</f>
        <v>29.46</v>
      </c>
      <c r="T145">
        <f>Source!X48</f>
        <v>899.16</v>
      </c>
      <c r="U145">
        <f>ROUND((Source!FY48/100)*((ROUND(Source!AF48*Source!I48, 2)+ROUND(Source!AE48*Source!I48, 2))), 2)</f>
        <v>20.16</v>
      </c>
      <c r="V145">
        <f>Source!Y48</f>
        <v>615.21</v>
      </c>
    </row>
    <row r="146" spans="1:26" ht="14.25" x14ac:dyDescent="0.2">
      <c r="A146" s="43"/>
      <c r="B146" s="44"/>
      <c r="C146" s="44" t="s">
        <v>536</v>
      </c>
      <c r="D146" s="32"/>
      <c r="E146" s="10"/>
      <c r="F146" s="24">
        <f>Source!AO48</f>
        <v>154.91999999999999</v>
      </c>
      <c r="G146" s="19" t="str">
        <f>Source!DG48</f>
        <v/>
      </c>
      <c r="H146" s="24">
        <f>ROUND(Source!AF48*Source!I48, 2)</f>
        <v>30.98</v>
      </c>
      <c r="I146" s="19"/>
      <c r="J146" s="19">
        <f>IF(Source!BA48&lt;&gt; 0, Source!BA48, 1)</f>
        <v>30.52</v>
      </c>
      <c r="K146" s="24">
        <f>Source!S48</f>
        <v>945.63</v>
      </c>
      <c r="L146" s="33"/>
      <c r="R146">
        <f>H146</f>
        <v>30.98</v>
      </c>
    </row>
    <row r="147" spans="1:26" ht="14.25" x14ac:dyDescent="0.2">
      <c r="A147" s="43"/>
      <c r="B147" s="44"/>
      <c r="C147" s="44" t="s">
        <v>200</v>
      </c>
      <c r="D147" s="32"/>
      <c r="E147" s="10"/>
      <c r="F147" s="24">
        <f>Source!AM48</f>
        <v>31.2</v>
      </c>
      <c r="G147" s="19" t="str">
        <f>Source!DE48</f>
        <v/>
      </c>
      <c r="H147" s="24">
        <f>ROUND(Source!AD48*Source!I48, 2)</f>
        <v>6.24</v>
      </c>
      <c r="I147" s="19"/>
      <c r="J147" s="19">
        <f>IF(Source!BB48&lt;&gt; 0, Source!BB48, 1)</f>
        <v>8.8000000000000007</v>
      </c>
      <c r="K147" s="24">
        <f>Source!Q48</f>
        <v>54.91</v>
      </c>
      <c r="L147" s="33"/>
    </row>
    <row r="148" spans="1:26" ht="14.25" x14ac:dyDescent="0.2">
      <c r="A148" s="43"/>
      <c r="B148" s="44"/>
      <c r="C148" s="44" t="s">
        <v>547</v>
      </c>
      <c r="D148" s="32"/>
      <c r="E148" s="10"/>
      <c r="F148" s="24">
        <f>Source!AN48</f>
        <v>0.14000000000000001</v>
      </c>
      <c r="G148" s="19" t="str">
        <f>Source!DF48</f>
        <v/>
      </c>
      <c r="H148" s="42">
        <f>ROUND(Source!AE48*Source!I48, 2)</f>
        <v>0.03</v>
      </c>
      <c r="I148" s="19"/>
      <c r="J148" s="19">
        <f>IF(Source!BS48&lt;&gt; 0, Source!BS48, 1)</f>
        <v>30.52</v>
      </c>
      <c r="K148" s="42">
        <f>Source!R48</f>
        <v>0.85</v>
      </c>
      <c r="L148" s="33"/>
      <c r="R148">
        <f>H148</f>
        <v>0.03</v>
      </c>
    </row>
    <row r="149" spans="1:26" ht="14.25" x14ac:dyDescent="0.2">
      <c r="A149" s="43"/>
      <c r="B149" s="44"/>
      <c r="C149" s="44" t="s">
        <v>537</v>
      </c>
      <c r="D149" s="32"/>
      <c r="E149" s="10"/>
      <c r="F149" s="24">
        <f>Source!AL48</f>
        <v>51.33</v>
      </c>
      <c r="G149" s="19" t="str">
        <f>Source!DD48</f>
        <v/>
      </c>
      <c r="H149" s="24">
        <f>ROUND(Source!AC48*Source!I48, 2)</f>
        <v>10.27</v>
      </c>
      <c r="I149" s="19"/>
      <c r="J149" s="19">
        <f>IF(Source!BC48&lt;&gt; 0, Source!BC48, 1)</f>
        <v>4.4400000000000004</v>
      </c>
      <c r="K149" s="24">
        <f>Source!P48</f>
        <v>45.58</v>
      </c>
      <c r="L149" s="33"/>
    </row>
    <row r="150" spans="1:26" ht="14.25" x14ac:dyDescent="0.2">
      <c r="A150" s="43"/>
      <c r="B150" s="44"/>
      <c r="C150" s="44" t="s">
        <v>538</v>
      </c>
      <c r="D150" s="32" t="s">
        <v>539</v>
      </c>
      <c r="E150" s="10">
        <f>Source!BZ48</f>
        <v>95</v>
      </c>
      <c r="F150" s="47"/>
      <c r="G150" s="19"/>
      <c r="H150" s="24">
        <f>SUM(S145:S152)</f>
        <v>29.46</v>
      </c>
      <c r="I150" s="34"/>
      <c r="J150" s="20">
        <f>Source!AT48</f>
        <v>95</v>
      </c>
      <c r="K150" s="24">
        <f>SUM(T145:T152)</f>
        <v>899.16</v>
      </c>
      <c r="L150" s="33"/>
    </row>
    <row r="151" spans="1:26" ht="14.25" x14ac:dyDescent="0.2">
      <c r="A151" s="43"/>
      <c r="B151" s="44"/>
      <c r="C151" s="44" t="s">
        <v>540</v>
      </c>
      <c r="D151" s="32" t="s">
        <v>539</v>
      </c>
      <c r="E151" s="10">
        <f>Source!CA48</f>
        <v>65</v>
      </c>
      <c r="F151" s="47"/>
      <c r="G151" s="19"/>
      <c r="H151" s="24">
        <f>SUM(U145:U152)</f>
        <v>20.16</v>
      </c>
      <c r="I151" s="34"/>
      <c r="J151" s="20">
        <f>Source!AU48</f>
        <v>65</v>
      </c>
      <c r="K151" s="24">
        <f>SUM(V145:V152)</f>
        <v>615.21</v>
      </c>
      <c r="L151" s="33"/>
    </row>
    <row r="152" spans="1:26" ht="14.25" x14ac:dyDescent="0.2">
      <c r="A152" s="45"/>
      <c r="B152" s="46"/>
      <c r="C152" s="46" t="s">
        <v>541</v>
      </c>
      <c r="D152" s="35" t="s">
        <v>542</v>
      </c>
      <c r="E152" s="36">
        <f>Source!AQ48</f>
        <v>16.29</v>
      </c>
      <c r="F152" s="37"/>
      <c r="G152" s="38" t="str">
        <f>Source!DI48</f>
        <v/>
      </c>
      <c r="H152" s="37"/>
      <c r="I152" s="38"/>
      <c r="J152" s="38"/>
      <c r="K152" s="37"/>
      <c r="L152" s="39">
        <f>Source!U48</f>
        <v>3.258</v>
      </c>
    </row>
    <row r="153" spans="1:26" ht="15" x14ac:dyDescent="0.25">
      <c r="G153" s="63">
        <f>H146+H147+H149+H150+H151</f>
        <v>97.109999999999985</v>
      </c>
      <c r="H153" s="63"/>
      <c r="J153" s="63">
        <f>K146+K147+K149+K150+K151</f>
        <v>2560.4899999999998</v>
      </c>
      <c r="K153" s="63"/>
      <c r="L153" s="40">
        <f>Source!U48</f>
        <v>3.258</v>
      </c>
      <c r="O153" s="28">
        <f>G153</f>
        <v>97.109999999999985</v>
      </c>
      <c r="P153" s="28">
        <f>J153</f>
        <v>2560.4899999999998</v>
      </c>
      <c r="Q153" s="28">
        <f>L153</f>
        <v>3.258</v>
      </c>
      <c r="W153">
        <f>IF(Source!BI48&lt;=1,H146+H147+H149+H150+H151, 0)</f>
        <v>0</v>
      </c>
      <c r="X153">
        <f>IF(Source!BI48=2,H146+H147+H149+H150+H151, 0)</f>
        <v>97.109999999999985</v>
      </c>
      <c r="Y153">
        <f>IF(Source!BI48=3,H146+H147+H149+H150+H151, 0)</f>
        <v>0</v>
      </c>
      <c r="Z153">
        <f>IF(Source!BI48=4,H146+H147+H149+H150+H151, 0)</f>
        <v>0</v>
      </c>
    </row>
    <row r="154" spans="1:26" ht="28.5" x14ac:dyDescent="0.2">
      <c r="A154" s="45" t="str">
        <f>Source!E49</f>
        <v>25</v>
      </c>
      <c r="B154" s="46" t="s">
        <v>567</v>
      </c>
      <c r="C154" s="46" t="str">
        <f>Source!G49</f>
        <v>Кабель-канал (короб) "Электропласт" 25x16 мм</v>
      </c>
      <c r="D154" s="35" t="str">
        <f>Source!H49</f>
        <v>100 м</v>
      </c>
      <c r="E154" s="36">
        <f>Source!I49</f>
        <v>0.1</v>
      </c>
      <c r="F154" s="37">
        <f>Source!AL49</f>
        <v>173</v>
      </c>
      <c r="G154" s="38" t="str">
        <f>Source!DD49</f>
        <v/>
      </c>
      <c r="H154" s="37">
        <f>ROUND(Source!AC49*Source!I49, 2)</f>
        <v>17.3</v>
      </c>
      <c r="I154" s="38" t="str">
        <f>Source!BO49</f>
        <v>509-1831</v>
      </c>
      <c r="J154" s="38">
        <f>IF(Source!BC49&lt;&gt; 0, Source!BC49, 1)</f>
        <v>4.9400000000000004</v>
      </c>
      <c r="K154" s="37">
        <f>Source!P49</f>
        <v>85.46</v>
      </c>
      <c r="L154" s="41"/>
      <c r="S154">
        <f>ROUND((Source!FX49/100)*((ROUND(Source!AF49*Source!I49, 2)+ROUND(Source!AE49*Source!I49, 2))), 2)</f>
        <v>0</v>
      </c>
      <c r="T154">
        <f>Source!X49</f>
        <v>0</v>
      </c>
      <c r="U154">
        <f>ROUND((Source!FY49/100)*((ROUND(Source!AF49*Source!I49, 2)+ROUND(Source!AE49*Source!I49, 2))), 2)</f>
        <v>0</v>
      </c>
      <c r="V154">
        <f>Source!Y49</f>
        <v>0</v>
      </c>
    </row>
    <row r="155" spans="1:26" ht="15" x14ac:dyDescent="0.25">
      <c r="G155" s="63">
        <f>H154</f>
        <v>17.3</v>
      </c>
      <c r="H155" s="63"/>
      <c r="J155" s="63">
        <f>K154</f>
        <v>85.46</v>
      </c>
      <c r="K155" s="63"/>
      <c r="L155" s="40">
        <f>Source!U49</f>
        <v>0</v>
      </c>
      <c r="O155" s="28">
        <f>G155</f>
        <v>17.3</v>
      </c>
      <c r="P155" s="28">
        <f>J155</f>
        <v>85.46</v>
      </c>
      <c r="Q155" s="28">
        <f>L155</f>
        <v>0</v>
      </c>
      <c r="W155">
        <f>IF(Source!BI49&lt;=1,H154, 0)</f>
        <v>0</v>
      </c>
      <c r="X155">
        <f>IF(Source!BI49=2,H154, 0)</f>
        <v>17.3</v>
      </c>
      <c r="Y155">
        <f>IF(Source!BI49=3,H154, 0)</f>
        <v>0</v>
      </c>
      <c r="Z155">
        <f>IF(Source!BI49=4,H154, 0)</f>
        <v>0</v>
      </c>
    </row>
    <row r="156" spans="1:26" ht="28.5" x14ac:dyDescent="0.2">
      <c r="A156" s="45" t="str">
        <f>Source!E50</f>
        <v>26</v>
      </c>
      <c r="B156" s="46" t="s">
        <v>568</v>
      </c>
      <c r="C156" s="46" t="str">
        <f>Source!G50</f>
        <v>Кабель-канал (короб) "Электропласт" 20x10 мм</v>
      </c>
      <c r="D156" s="35" t="str">
        <f>Source!H50</f>
        <v>100 м</v>
      </c>
      <c r="E156" s="36">
        <f>Source!I50</f>
        <v>0.1</v>
      </c>
      <c r="F156" s="37">
        <f>Source!AL50</f>
        <v>121</v>
      </c>
      <c r="G156" s="38" t="str">
        <f>Source!DD50</f>
        <v/>
      </c>
      <c r="H156" s="37">
        <f>ROUND(Source!AC50*Source!I50, 2)</f>
        <v>12.1</v>
      </c>
      <c r="I156" s="38" t="str">
        <f>Source!BO50</f>
        <v>509-1830</v>
      </c>
      <c r="J156" s="38">
        <f>IF(Source!BC50&lt;&gt; 0, Source!BC50, 1)</f>
        <v>5.05</v>
      </c>
      <c r="K156" s="37">
        <f>Source!P50</f>
        <v>61.11</v>
      </c>
      <c r="L156" s="41"/>
      <c r="S156">
        <f>ROUND((Source!FX50/100)*((ROUND(Source!AF50*Source!I50, 2)+ROUND(Source!AE50*Source!I50, 2))), 2)</f>
        <v>0</v>
      </c>
      <c r="T156">
        <f>Source!X50</f>
        <v>0</v>
      </c>
      <c r="U156">
        <f>ROUND((Source!FY50/100)*((ROUND(Source!AF50*Source!I50, 2)+ROUND(Source!AE50*Source!I50, 2))), 2)</f>
        <v>0</v>
      </c>
      <c r="V156">
        <f>Source!Y50</f>
        <v>0</v>
      </c>
    </row>
    <row r="157" spans="1:26" ht="15" x14ac:dyDescent="0.25">
      <c r="G157" s="63">
        <f>H156</f>
        <v>12.1</v>
      </c>
      <c r="H157" s="63"/>
      <c r="J157" s="63">
        <f>K156</f>
        <v>61.11</v>
      </c>
      <c r="K157" s="63"/>
      <c r="L157" s="40">
        <f>Source!U50</f>
        <v>0</v>
      </c>
      <c r="O157" s="28">
        <f>G157</f>
        <v>12.1</v>
      </c>
      <c r="P157" s="28">
        <f>J157</f>
        <v>61.11</v>
      </c>
      <c r="Q157" s="28">
        <f>L157</f>
        <v>0</v>
      </c>
      <c r="W157">
        <f>IF(Source!BI50&lt;=1,H156, 0)</f>
        <v>0</v>
      </c>
      <c r="X157">
        <f>IF(Source!BI50=2,H156, 0)</f>
        <v>12.1</v>
      </c>
      <c r="Y157">
        <f>IF(Source!BI50=3,H156, 0)</f>
        <v>0</v>
      </c>
      <c r="Z157">
        <f>IF(Source!BI50=4,H156, 0)</f>
        <v>0</v>
      </c>
    </row>
    <row r="158" spans="1:26" ht="71.25" x14ac:dyDescent="0.2">
      <c r="A158" s="43" t="str">
        <f>Source!E51</f>
        <v>27</v>
      </c>
      <c r="B158" s="44" t="s">
        <v>569</v>
      </c>
      <c r="C158" s="44" t="str">
        <f>Source!G51</f>
        <v>Затягивание провода в проложенные трубы и металлические рукава первого одножильного или многожильного в общей оплетке, суммарное сечение до 6 мм2</v>
      </c>
      <c r="D158" s="32" t="str">
        <f>Source!H51</f>
        <v>100 м</v>
      </c>
      <c r="E158" s="10">
        <f>Source!I51</f>
        <v>0.15</v>
      </c>
      <c r="F158" s="24">
        <f>Source!AL51+Source!AM51+Source!AO51</f>
        <v>69.23</v>
      </c>
      <c r="G158" s="19"/>
      <c r="H158" s="24"/>
      <c r="I158" s="19" t="str">
        <f>Source!BO51</f>
        <v>м08-02-412-2</v>
      </c>
      <c r="J158" s="19"/>
      <c r="K158" s="24"/>
      <c r="L158" s="33"/>
      <c r="S158">
        <f>ROUND((Source!FX51/100)*((ROUND(Source!AF51*Source!I51, 2)+ROUND(Source!AE51*Source!I51, 2))), 2)</f>
        <v>7.26</v>
      </c>
      <c r="T158">
        <f>Source!X51</f>
        <v>221.55</v>
      </c>
      <c r="U158">
        <f>ROUND((Source!FY51/100)*((ROUND(Source!AF51*Source!I51, 2)+ROUND(Source!AE51*Source!I51, 2))), 2)</f>
        <v>4.97</v>
      </c>
      <c r="V158">
        <f>Source!Y51</f>
        <v>151.59</v>
      </c>
    </row>
    <row r="159" spans="1:26" ht="14.25" x14ac:dyDescent="0.2">
      <c r="A159" s="43"/>
      <c r="B159" s="44"/>
      <c r="C159" s="44" t="s">
        <v>536</v>
      </c>
      <c r="D159" s="32"/>
      <c r="E159" s="10"/>
      <c r="F159" s="24">
        <f>Source!AO51</f>
        <v>50.67</v>
      </c>
      <c r="G159" s="19" t="str">
        <f>Source!DG51</f>
        <v/>
      </c>
      <c r="H159" s="24">
        <f>ROUND(Source!AF51*Source!I51, 2)</f>
        <v>7.6</v>
      </c>
      <c r="I159" s="19"/>
      <c r="J159" s="19">
        <f>IF(Source!BA51&lt;&gt; 0, Source!BA51, 1)</f>
        <v>30.52</v>
      </c>
      <c r="K159" s="24">
        <f>Source!S51</f>
        <v>231.97</v>
      </c>
      <c r="L159" s="33"/>
      <c r="R159">
        <f>H159</f>
        <v>7.6</v>
      </c>
    </row>
    <row r="160" spans="1:26" ht="14.25" x14ac:dyDescent="0.2">
      <c r="A160" s="43"/>
      <c r="B160" s="44"/>
      <c r="C160" s="44" t="s">
        <v>200</v>
      </c>
      <c r="D160" s="32"/>
      <c r="E160" s="10"/>
      <c r="F160" s="24">
        <f>Source!AM51</f>
        <v>4.4400000000000004</v>
      </c>
      <c r="G160" s="19" t="str">
        <f>Source!DE51</f>
        <v/>
      </c>
      <c r="H160" s="24">
        <f>ROUND(Source!AD51*Source!I51, 2)</f>
        <v>0.67</v>
      </c>
      <c r="I160" s="19"/>
      <c r="J160" s="19">
        <f>IF(Source!BB51&lt;&gt; 0, Source!BB51, 1)</f>
        <v>8.84</v>
      </c>
      <c r="K160" s="24">
        <f>Source!Q51</f>
        <v>5.89</v>
      </c>
      <c r="L160" s="33"/>
    </row>
    <row r="161" spans="1:26" ht="14.25" x14ac:dyDescent="0.2">
      <c r="A161" s="43"/>
      <c r="B161" s="44"/>
      <c r="C161" s="44" t="s">
        <v>547</v>
      </c>
      <c r="D161" s="32"/>
      <c r="E161" s="10"/>
      <c r="F161" s="24">
        <f>Source!AN51</f>
        <v>0.27</v>
      </c>
      <c r="G161" s="19" t="str">
        <f>Source!DF51</f>
        <v/>
      </c>
      <c r="H161" s="42">
        <f>ROUND(Source!AE51*Source!I51, 2)</f>
        <v>0.04</v>
      </c>
      <c r="I161" s="19"/>
      <c r="J161" s="19">
        <f>IF(Source!BS51&lt;&gt; 0, Source!BS51, 1)</f>
        <v>30.52</v>
      </c>
      <c r="K161" s="42">
        <f>Source!R51</f>
        <v>1.24</v>
      </c>
      <c r="L161" s="33"/>
      <c r="R161">
        <f>H161</f>
        <v>0.04</v>
      </c>
    </row>
    <row r="162" spans="1:26" ht="14.25" x14ac:dyDescent="0.2">
      <c r="A162" s="43"/>
      <c r="B162" s="44"/>
      <c r="C162" s="44" t="s">
        <v>537</v>
      </c>
      <c r="D162" s="32"/>
      <c r="E162" s="10"/>
      <c r="F162" s="24">
        <f>Source!AL51</f>
        <v>14.12</v>
      </c>
      <c r="G162" s="19" t="str">
        <f>Source!DD51</f>
        <v/>
      </c>
      <c r="H162" s="24">
        <f>ROUND(Source!AC51*Source!I51, 2)</f>
        <v>2.12</v>
      </c>
      <c r="I162" s="19"/>
      <c r="J162" s="19">
        <f>IF(Source!BC51&lt;&gt; 0, Source!BC51, 1)</f>
        <v>6.44</v>
      </c>
      <c r="K162" s="24">
        <f>Source!P51</f>
        <v>13.64</v>
      </c>
      <c r="L162" s="33"/>
    </row>
    <row r="163" spans="1:26" ht="14.25" x14ac:dyDescent="0.2">
      <c r="A163" s="43"/>
      <c r="B163" s="44"/>
      <c r="C163" s="44" t="s">
        <v>538</v>
      </c>
      <c r="D163" s="32" t="s">
        <v>539</v>
      </c>
      <c r="E163" s="10">
        <f>Source!BZ51</f>
        <v>95</v>
      </c>
      <c r="F163" s="47"/>
      <c r="G163" s="19"/>
      <c r="H163" s="24">
        <f>SUM(S158:S165)</f>
        <v>7.26</v>
      </c>
      <c r="I163" s="34"/>
      <c r="J163" s="20">
        <f>Source!AT51</f>
        <v>95</v>
      </c>
      <c r="K163" s="24">
        <f>SUM(T158:T165)</f>
        <v>221.55</v>
      </c>
      <c r="L163" s="33"/>
    </row>
    <row r="164" spans="1:26" ht="14.25" x14ac:dyDescent="0.2">
      <c r="A164" s="43"/>
      <c r="B164" s="44"/>
      <c r="C164" s="44" t="s">
        <v>540</v>
      </c>
      <c r="D164" s="32" t="s">
        <v>539</v>
      </c>
      <c r="E164" s="10">
        <f>Source!CA51</f>
        <v>65</v>
      </c>
      <c r="F164" s="47"/>
      <c r="G164" s="19"/>
      <c r="H164" s="24">
        <f>SUM(U158:U165)</f>
        <v>4.97</v>
      </c>
      <c r="I164" s="34"/>
      <c r="J164" s="20">
        <f>Source!AU51</f>
        <v>65</v>
      </c>
      <c r="K164" s="24">
        <f>SUM(V158:V165)</f>
        <v>151.59</v>
      </c>
      <c r="L164" s="33"/>
    </row>
    <row r="165" spans="1:26" ht="14.25" x14ac:dyDescent="0.2">
      <c r="A165" s="45"/>
      <c r="B165" s="46"/>
      <c r="C165" s="46" t="s">
        <v>541</v>
      </c>
      <c r="D165" s="35" t="s">
        <v>542</v>
      </c>
      <c r="E165" s="36">
        <f>Source!AQ51</f>
        <v>5.39</v>
      </c>
      <c r="F165" s="37"/>
      <c r="G165" s="38" t="str">
        <f>Source!DI51</f>
        <v/>
      </c>
      <c r="H165" s="37"/>
      <c r="I165" s="38"/>
      <c r="J165" s="38"/>
      <c r="K165" s="37"/>
      <c r="L165" s="39">
        <f>Source!U51</f>
        <v>0.80849999999999989</v>
      </c>
    </row>
    <row r="166" spans="1:26" ht="15" x14ac:dyDescent="0.25">
      <c r="G166" s="63">
        <f>H159+H160+H162+H163+H164</f>
        <v>22.619999999999997</v>
      </c>
      <c r="H166" s="63"/>
      <c r="J166" s="63">
        <f>K159+K160+K162+K163+K164</f>
        <v>624.64</v>
      </c>
      <c r="K166" s="63"/>
      <c r="L166" s="40">
        <f>Source!U51</f>
        <v>0.80849999999999989</v>
      </c>
      <c r="O166" s="28">
        <f>G166</f>
        <v>22.619999999999997</v>
      </c>
      <c r="P166" s="28">
        <f>J166</f>
        <v>624.64</v>
      </c>
      <c r="Q166" s="28">
        <f>L166</f>
        <v>0.80849999999999989</v>
      </c>
      <c r="W166">
        <f>IF(Source!BI51&lt;=1,H159+H160+H162+H163+H164, 0)</f>
        <v>0</v>
      </c>
      <c r="X166">
        <f>IF(Source!BI51=2,H159+H160+H162+H163+H164, 0)</f>
        <v>22.619999999999997</v>
      </c>
      <c r="Y166">
        <f>IF(Source!BI51=3,H159+H160+H162+H163+H164, 0)</f>
        <v>0</v>
      </c>
      <c r="Z166">
        <f>IF(Source!BI51=4,H159+H160+H162+H163+H164, 0)</f>
        <v>0</v>
      </c>
    </row>
    <row r="167" spans="1:26" ht="28.5" x14ac:dyDescent="0.2">
      <c r="A167" s="43" t="str">
        <f>Source!E52</f>
        <v>28</v>
      </c>
      <c r="B167" s="44" t="s">
        <v>570</v>
      </c>
      <c r="C167" s="44" t="str">
        <f>Source!G52</f>
        <v>Провод в коробах, сечением до 6 мм2</v>
      </c>
      <c r="D167" s="32" t="str">
        <f>Source!H52</f>
        <v>100 м</v>
      </c>
      <c r="E167" s="10">
        <f>Source!I52</f>
        <v>0.04</v>
      </c>
      <c r="F167" s="24">
        <f>Source!AL52+Source!AM52+Source!AO52</f>
        <v>41.59</v>
      </c>
      <c r="G167" s="19"/>
      <c r="H167" s="24"/>
      <c r="I167" s="19" t="str">
        <f>Source!BO52</f>
        <v>м08-02-399-1</v>
      </c>
      <c r="J167" s="19"/>
      <c r="K167" s="24"/>
      <c r="L167" s="33"/>
      <c r="S167">
        <f>ROUND((Source!FX52/100)*((ROUND(Source!AF52*Source!I52, 2)+ROUND(Source!AE52*Source!I52, 2))), 2)</f>
        <v>1.02</v>
      </c>
      <c r="T167">
        <f>Source!X52</f>
        <v>30.9</v>
      </c>
      <c r="U167">
        <f>ROUND((Source!FY52/100)*((ROUND(Source!AF52*Source!I52, 2)+ROUND(Source!AE52*Source!I52, 2))), 2)</f>
        <v>0.7</v>
      </c>
      <c r="V167">
        <f>Source!Y52</f>
        <v>21.14</v>
      </c>
    </row>
    <row r="168" spans="1:26" ht="14.25" x14ac:dyDescent="0.2">
      <c r="A168" s="43"/>
      <c r="B168" s="44"/>
      <c r="C168" s="44" t="s">
        <v>536</v>
      </c>
      <c r="D168" s="32"/>
      <c r="E168" s="10"/>
      <c r="F168" s="24">
        <f>Source!AO52</f>
        <v>26.51</v>
      </c>
      <c r="G168" s="19" t="str">
        <f>Source!DG52</f>
        <v/>
      </c>
      <c r="H168" s="24">
        <f>ROUND(Source!AF52*Source!I52, 2)</f>
        <v>1.06</v>
      </c>
      <c r="I168" s="19"/>
      <c r="J168" s="19">
        <f>IF(Source!BA52&lt;&gt; 0, Source!BA52, 1)</f>
        <v>30.52</v>
      </c>
      <c r="K168" s="24">
        <f>Source!S52</f>
        <v>32.36</v>
      </c>
      <c r="L168" s="33"/>
      <c r="R168">
        <f>H168</f>
        <v>1.06</v>
      </c>
    </row>
    <row r="169" spans="1:26" ht="14.25" x14ac:dyDescent="0.2">
      <c r="A169" s="43"/>
      <c r="B169" s="44"/>
      <c r="C169" s="44" t="s">
        <v>200</v>
      </c>
      <c r="D169" s="32"/>
      <c r="E169" s="10"/>
      <c r="F169" s="24">
        <f>Source!AM52</f>
        <v>2.2200000000000002</v>
      </c>
      <c r="G169" s="19" t="str">
        <f>Source!DE52</f>
        <v/>
      </c>
      <c r="H169" s="24">
        <f>ROUND(Source!AD52*Source!I52, 2)</f>
        <v>0.09</v>
      </c>
      <c r="I169" s="19"/>
      <c r="J169" s="19">
        <f>IF(Source!BB52&lt;&gt; 0, Source!BB52, 1)</f>
        <v>8.83</v>
      </c>
      <c r="K169" s="24">
        <f>Source!Q52</f>
        <v>0.78</v>
      </c>
      <c r="L169" s="33"/>
    </row>
    <row r="170" spans="1:26" ht="14.25" x14ac:dyDescent="0.2">
      <c r="A170" s="43"/>
      <c r="B170" s="44"/>
      <c r="C170" s="44" t="s">
        <v>547</v>
      </c>
      <c r="D170" s="32"/>
      <c r="E170" s="10"/>
      <c r="F170" s="24">
        <f>Source!AN52</f>
        <v>0.14000000000000001</v>
      </c>
      <c r="G170" s="19" t="str">
        <f>Source!DF52</f>
        <v/>
      </c>
      <c r="H170" s="42">
        <f>ROUND(Source!AE52*Source!I52, 2)</f>
        <v>0.01</v>
      </c>
      <c r="I170" s="19"/>
      <c r="J170" s="19">
        <f>IF(Source!BS52&lt;&gt; 0, Source!BS52, 1)</f>
        <v>30.52</v>
      </c>
      <c r="K170" s="42">
        <f>Source!R52</f>
        <v>0.17</v>
      </c>
      <c r="L170" s="33"/>
      <c r="R170">
        <f>H170</f>
        <v>0.01</v>
      </c>
    </row>
    <row r="171" spans="1:26" ht="14.25" x14ac:dyDescent="0.2">
      <c r="A171" s="43"/>
      <c r="B171" s="44"/>
      <c r="C171" s="44" t="s">
        <v>537</v>
      </c>
      <c r="D171" s="32"/>
      <c r="E171" s="10"/>
      <c r="F171" s="24">
        <f>Source!AL52</f>
        <v>12.86</v>
      </c>
      <c r="G171" s="19" t="str">
        <f>Source!DD52</f>
        <v/>
      </c>
      <c r="H171" s="24">
        <f>ROUND(Source!AC52*Source!I52, 2)</f>
        <v>0.51</v>
      </c>
      <c r="I171" s="19"/>
      <c r="J171" s="19">
        <f>IF(Source!BC52&lt;&gt; 0, Source!BC52, 1)</f>
        <v>4.95</v>
      </c>
      <c r="K171" s="24">
        <f>Source!P52</f>
        <v>2.5499999999999998</v>
      </c>
      <c r="L171" s="33"/>
    </row>
    <row r="172" spans="1:26" ht="14.25" x14ac:dyDescent="0.2">
      <c r="A172" s="43"/>
      <c r="B172" s="44"/>
      <c r="C172" s="44" t="s">
        <v>538</v>
      </c>
      <c r="D172" s="32" t="s">
        <v>539</v>
      </c>
      <c r="E172" s="10">
        <f>Source!BZ52</f>
        <v>95</v>
      </c>
      <c r="F172" s="47"/>
      <c r="G172" s="19"/>
      <c r="H172" s="24">
        <f>SUM(S167:S174)</f>
        <v>1.02</v>
      </c>
      <c r="I172" s="34"/>
      <c r="J172" s="20">
        <f>Source!AT52</f>
        <v>95</v>
      </c>
      <c r="K172" s="24">
        <f>SUM(T167:T174)</f>
        <v>30.9</v>
      </c>
      <c r="L172" s="33"/>
    </row>
    <row r="173" spans="1:26" ht="14.25" x14ac:dyDescent="0.2">
      <c r="A173" s="43"/>
      <c r="B173" s="44"/>
      <c r="C173" s="44" t="s">
        <v>540</v>
      </c>
      <c r="D173" s="32" t="s">
        <v>539</v>
      </c>
      <c r="E173" s="10">
        <f>Source!CA52</f>
        <v>65</v>
      </c>
      <c r="F173" s="47"/>
      <c r="G173" s="19"/>
      <c r="H173" s="24">
        <f>SUM(U167:U174)</f>
        <v>0.7</v>
      </c>
      <c r="I173" s="34"/>
      <c r="J173" s="20">
        <f>Source!AU52</f>
        <v>65</v>
      </c>
      <c r="K173" s="24">
        <f>SUM(V167:V174)</f>
        <v>21.14</v>
      </c>
      <c r="L173" s="33"/>
    </row>
    <row r="174" spans="1:26" ht="14.25" x14ac:dyDescent="0.2">
      <c r="A174" s="45"/>
      <c r="B174" s="46"/>
      <c r="C174" s="46" t="s">
        <v>541</v>
      </c>
      <c r="D174" s="35" t="s">
        <v>542</v>
      </c>
      <c r="E174" s="36">
        <f>Source!AQ52</f>
        <v>2.82</v>
      </c>
      <c r="F174" s="37"/>
      <c r="G174" s="38" t="str">
        <f>Source!DI52</f>
        <v/>
      </c>
      <c r="H174" s="37"/>
      <c r="I174" s="38"/>
      <c r="J174" s="38"/>
      <c r="K174" s="37"/>
      <c r="L174" s="39">
        <f>Source!U52</f>
        <v>0.1128</v>
      </c>
    </row>
    <row r="175" spans="1:26" ht="15" x14ac:dyDescent="0.25">
      <c r="G175" s="63">
        <f>H168+H169+H171+H172+H173</f>
        <v>3.38</v>
      </c>
      <c r="H175" s="63"/>
      <c r="J175" s="63">
        <f>K168+K169+K171+K172+K173</f>
        <v>87.73</v>
      </c>
      <c r="K175" s="63"/>
      <c r="L175" s="40">
        <f>Source!U52</f>
        <v>0.1128</v>
      </c>
      <c r="O175" s="28">
        <f>G175</f>
        <v>3.38</v>
      </c>
      <c r="P175" s="28">
        <f>J175</f>
        <v>87.73</v>
      </c>
      <c r="Q175" s="28">
        <f>L175</f>
        <v>0.1128</v>
      </c>
      <c r="W175">
        <f>IF(Source!BI52&lt;=1,H168+H169+H171+H172+H173, 0)</f>
        <v>0</v>
      </c>
      <c r="X175">
        <f>IF(Source!BI52=2,H168+H169+H171+H172+H173, 0)</f>
        <v>3.38</v>
      </c>
      <c r="Y175">
        <f>IF(Source!BI52=3,H168+H169+H171+H172+H173, 0)</f>
        <v>0</v>
      </c>
      <c r="Z175">
        <f>IF(Source!BI52=4,H168+H169+H171+H172+H173, 0)</f>
        <v>0</v>
      </c>
    </row>
    <row r="176" spans="1:26" ht="128.25" x14ac:dyDescent="0.2">
      <c r="A176" s="45" t="str">
        <f>Source!E53</f>
        <v>29</v>
      </c>
      <c r="B176" s="46" t="s">
        <v>571</v>
      </c>
      <c r="C176" s="46" t="str">
        <f>Source!G53</f>
        <v>Кабели парной скрутки огнестойкие для систем пожарной сигнализации с однопроволочными медными жилами, изоляцией из кремнийорганической резины, оболочкой из ПВХ, не распространяющий горение, с низким дымо- и газовыделением, с экраном из алюмолавсановой ленты, марки КПСЭнг-FRLS 2х2х0,2</v>
      </c>
      <c r="D176" s="35" t="str">
        <f>Source!H53</f>
        <v>1000 м</v>
      </c>
      <c r="E176" s="36">
        <f>Source!I53</f>
        <v>0.02</v>
      </c>
      <c r="F176" s="37">
        <f>Source!AL53</f>
        <v>15944.29</v>
      </c>
      <c r="G176" s="38" t="str">
        <f>Source!DD53</f>
        <v/>
      </c>
      <c r="H176" s="37">
        <f>ROUND(Source!AC53*Source!I53, 2)</f>
        <v>318.89</v>
      </c>
      <c r="I176" s="38" t="str">
        <f>Source!BO53</f>
        <v>501-1887</v>
      </c>
      <c r="J176" s="38">
        <f>IF(Source!BC53&lt;&gt; 0, Source!BC53, 1)</f>
        <v>2.0499999999999998</v>
      </c>
      <c r="K176" s="37">
        <f>Source!P53</f>
        <v>653.72</v>
      </c>
      <c r="L176" s="41"/>
      <c r="S176">
        <f>ROUND((Source!FX53/100)*((ROUND(Source!AF53*Source!I53, 2)+ROUND(Source!AE53*Source!I53, 2))), 2)</f>
        <v>0</v>
      </c>
      <c r="T176">
        <f>Source!X53</f>
        <v>0</v>
      </c>
      <c r="U176">
        <f>ROUND((Source!FY53/100)*((ROUND(Source!AF53*Source!I53, 2)+ROUND(Source!AE53*Source!I53, 2))), 2)</f>
        <v>0</v>
      </c>
      <c r="V176">
        <f>Source!Y53</f>
        <v>0</v>
      </c>
    </row>
    <row r="177" spans="1:26" ht="15" x14ac:dyDescent="0.25">
      <c r="G177" s="63">
        <f>H176</f>
        <v>318.89</v>
      </c>
      <c r="H177" s="63"/>
      <c r="J177" s="63">
        <f>K176</f>
        <v>653.72</v>
      </c>
      <c r="K177" s="63"/>
      <c r="L177" s="40">
        <f>Source!U53</f>
        <v>0</v>
      </c>
      <c r="O177" s="28">
        <f>G177</f>
        <v>318.89</v>
      </c>
      <c r="P177" s="28">
        <f>J177</f>
        <v>653.72</v>
      </c>
      <c r="Q177" s="28">
        <f>L177</f>
        <v>0</v>
      </c>
      <c r="W177">
        <f>IF(Source!BI53&lt;=1,H176, 0)</f>
        <v>0</v>
      </c>
      <c r="X177">
        <f>IF(Source!BI53=2,H176, 0)</f>
        <v>318.89</v>
      </c>
      <c r="Y177">
        <f>IF(Source!BI53=3,H176, 0)</f>
        <v>0</v>
      </c>
      <c r="Z177">
        <f>IF(Source!BI53=4,H176, 0)</f>
        <v>0</v>
      </c>
    </row>
    <row r="178" spans="1:26" ht="85.5" x14ac:dyDescent="0.2">
      <c r="A178" s="45" t="str">
        <f>Source!E54</f>
        <v>30</v>
      </c>
      <c r="B178" s="46" t="s">
        <v>572</v>
      </c>
      <c r="C178" s="46" t="str">
        <f>Source!G54</f>
        <v>Кабель силовой с медными жилами с поливинилхлоридной изоляцией и оболочкой, не распространяющий горение марки ВВГнг, напряжением 0,66 кВ, с числом жил - 3 и сечением 1,5 мм2</v>
      </c>
      <c r="D178" s="35" t="str">
        <f>Source!H54</f>
        <v>1000 м</v>
      </c>
      <c r="E178" s="36">
        <f>Source!I54</f>
        <v>0.01</v>
      </c>
      <c r="F178" s="37">
        <f>Source!AL54</f>
        <v>3090.95</v>
      </c>
      <c r="G178" s="38" t="str">
        <f>Source!DD54</f>
        <v/>
      </c>
      <c r="H178" s="37">
        <f>ROUND(Source!AC54*Source!I54, 2)</f>
        <v>30.91</v>
      </c>
      <c r="I178" s="38" t="str">
        <f>Source!BO54</f>
        <v>501-8442</v>
      </c>
      <c r="J178" s="38">
        <f>IF(Source!BC54&lt;&gt; 0, Source!BC54, 1)</f>
        <v>8.56</v>
      </c>
      <c r="K178" s="37">
        <f>Source!P54</f>
        <v>264.58999999999997</v>
      </c>
      <c r="L178" s="41"/>
      <c r="S178">
        <f>ROUND((Source!FX54/100)*((ROUND(Source!AF54*Source!I54, 2)+ROUND(Source!AE54*Source!I54, 2))), 2)</f>
        <v>0</v>
      </c>
      <c r="T178">
        <f>Source!X54</f>
        <v>0</v>
      </c>
      <c r="U178">
        <f>ROUND((Source!FY54/100)*((ROUND(Source!AF54*Source!I54, 2)+ROUND(Source!AE54*Source!I54, 2))), 2)</f>
        <v>0</v>
      </c>
      <c r="V178">
        <f>Source!Y54</f>
        <v>0</v>
      </c>
    </row>
    <row r="179" spans="1:26" ht="15" x14ac:dyDescent="0.25">
      <c r="G179" s="63">
        <f>H178</f>
        <v>30.91</v>
      </c>
      <c r="H179" s="63"/>
      <c r="J179" s="63">
        <f>K178</f>
        <v>264.58999999999997</v>
      </c>
      <c r="K179" s="63"/>
      <c r="L179" s="40">
        <f>Source!U54</f>
        <v>0</v>
      </c>
      <c r="O179" s="28">
        <f>G179</f>
        <v>30.91</v>
      </c>
      <c r="P179" s="28">
        <f>J179</f>
        <v>264.58999999999997</v>
      </c>
      <c r="Q179" s="28">
        <f>L179</f>
        <v>0</v>
      </c>
      <c r="W179">
        <f>IF(Source!BI54&lt;=1,H178, 0)</f>
        <v>0</v>
      </c>
      <c r="X179">
        <f>IF(Source!BI54=2,H178, 0)</f>
        <v>30.91</v>
      </c>
      <c r="Y179">
        <f>IF(Source!BI54=3,H178, 0)</f>
        <v>0</v>
      </c>
      <c r="Z179">
        <f>IF(Source!BI54=4,H178, 0)</f>
        <v>0</v>
      </c>
    </row>
    <row r="180" spans="1:26" ht="42.75" x14ac:dyDescent="0.2">
      <c r="A180" s="45" t="str">
        <f>Source!E55</f>
        <v>31</v>
      </c>
      <c r="B180" s="46" t="s">
        <v>29</v>
      </c>
      <c r="C180" s="46" t="s">
        <v>573</v>
      </c>
      <c r="D180" s="35" t="str">
        <f>Source!H55</f>
        <v>100 м</v>
      </c>
      <c r="E180" s="36">
        <f>Source!I55</f>
        <v>0.25</v>
      </c>
      <c r="F180" s="37">
        <f>Source!AL55</f>
        <v>15.06</v>
      </c>
      <c r="G180" s="38" t="str">
        <f>Source!DD55</f>
        <v/>
      </c>
      <c r="H180" s="37">
        <f>ROUND(Source!AC55*Source!I55, 2)</f>
        <v>3.77</v>
      </c>
      <c r="I180" s="38" t="str">
        <f>Source!BO55</f>
        <v/>
      </c>
      <c r="J180" s="38">
        <f>IF(Source!BC55&lt;&gt; 0, Source!BC55, 1)</f>
        <v>1</v>
      </c>
      <c r="K180" s="37">
        <f>Source!P55</f>
        <v>3.77</v>
      </c>
      <c r="L180" s="41"/>
      <c r="S180">
        <f>ROUND((Source!FX55/100)*((ROUND(Source!AF55*Source!I55, 2)+ROUND(Source!AE55*Source!I55, 2))), 2)</f>
        <v>0</v>
      </c>
      <c r="T180">
        <f>Source!X55</f>
        <v>0</v>
      </c>
      <c r="U180">
        <f>ROUND((Source!FY55/100)*((ROUND(Source!AF55*Source!I55, 2)+ROUND(Source!AE55*Source!I55, 2))), 2)</f>
        <v>0</v>
      </c>
      <c r="V180">
        <f>Source!Y55</f>
        <v>0</v>
      </c>
    </row>
    <row r="181" spans="1:26" ht="15" x14ac:dyDescent="0.25">
      <c r="G181" s="63">
        <f>H180</f>
        <v>3.77</v>
      </c>
      <c r="H181" s="63"/>
      <c r="J181" s="63">
        <f>K180</f>
        <v>3.77</v>
      </c>
      <c r="K181" s="63"/>
      <c r="L181" s="40">
        <f>Source!U55</f>
        <v>0</v>
      </c>
      <c r="O181" s="28">
        <f>G181</f>
        <v>3.77</v>
      </c>
      <c r="P181" s="28">
        <f>J181</f>
        <v>3.77</v>
      </c>
      <c r="Q181" s="28">
        <f>L181</f>
        <v>0</v>
      </c>
      <c r="W181">
        <f>IF(Source!BI55&lt;=1,H180, 0)</f>
        <v>3.77</v>
      </c>
      <c r="X181">
        <f>IF(Source!BI55=2,H180, 0)</f>
        <v>0</v>
      </c>
      <c r="Y181">
        <f>IF(Source!BI55=3,H180, 0)</f>
        <v>0</v>
      </c>
      <c r="Z181">
        <f>IF(Source!BI55=4,H180, 0)</f>
        <v>0</v>
      </c>
    </row>
    <row r="182" spans="1:26" ht="57" x14ac:dyDescent="0.2">
      <c r="A182" s="43" t="str">
        <f>Source!E57</f>
        <v>32</v>
      </c>
      <c r="B182" s="44" t="s">
        <v>574</v>
      </c>
      <c r="C182" s="44" t="str">
        <f>Source!G57</f>
        <v>Автоматизированная система управления II категории технической сложности с количеством каналов (Кобщ) 2</v>
      </c>
      <c r="D182" s="32" t="str">
        <f>Source!H57</f>
        <v>1 система</v>
      </c>
      <c r="E182" s="10">
        <f>Source!I57</f>
        <v>1</v>
      </c>
      <c r="F182" s="24">
        <f>Source!AL57+Source!AM57+Source!AO57</f>
        <v>260.44</v>
      </c>
      <c r="G182" s="19"/>
      <c r="H182" s="24"/>
      <c r="I182" s="19" t="str">
        <f>Source!BO57</f>
        <v/>
      </c>
      <c r="J182" s="19"/>
      <c r="K182" s="24"/>
      <c r="L182" s="33"/>
      <c r="S182">
        <f>ROUND((Source!FX57/100)*((ROUND(Source!AF57*Source!I57, 2)+ROUND(Source!AE57*Source!I57, 2))), 2)</f>
        <v>169.29</v>
      </c>
      <c r="T182">
        <f>Source!X57</f>
        <v>5166.6099999999997</v>
      </c>
      <c r="U182">
        <f>ROUND((Source!FY57/100)*((ROUND(Source!AF57*Source!I57, 2)+ROUND(Source!AE57*Source!I57, 2))), 2)</f>
        <v>104.18</v>
      </c>
      <c r="V182">
        <f>Source!Y57</f>
        <v>3179.45</v>
      </c>
    </row>
    <row r="183" spans="1:26" ht="14.25" x14ac:dyDescent="0.2">
      <c r="A183" s="43"/>
      <c r="B183" s="44"/>
      <c r="C183" s="44" t="s">
        <v>536</v>
      </c>
      <c r="D183" s="32"/>
      <c r="E183" s="10"/>
      <c r="F183" s="24">
        <f>Source!AO57</f>
        <v>260.44</v>
      </c>
      <c r="G183" s="19" t="str">
        <f>Source!DG57</f>
        <v/>
      </c>
      <c r="H183" s="24">
        <f>ROUND(Source!AF57*Source!I57, 2)</f>
        <v>260.44</v>
      </c>
      <c r="I183" s="19"/>
      <c r="J183" s="19">
        <f>IF(Source!BA57&lt;&gt; 0, Source!BA57, 1)</f>
        <v>30.52</v>
      </c>
      <c r="K183" s="24">
        <f>Source!S57</f>
        <v>7948.63</v>
      </c>
      <c r="L183" s="33"/>
      <c r="R183">
        <f>H183</f>
        <v>260.44</v>
      </c>
    </row>
    <row r="184" spans="1:26" ht="14.25" x14ac:dyDescent="0.2">
      <c r="A184" s="43"/>
      <c r="B184" s="44"/>
      <c r="C184" s="44" t="s">
        <v>538</v>
      </c>
      <c r="D184" s="32" t="s">
        <v>539</v>
      </c>
      <c r="E184" s="10">
        <f>Source!BZ57</f>
        <v>65</v>
      </c>
      <c r="F184" s="47"/>
      <c r="G184" s="19"/>
      <c r="H184" s="24">
        <f>SUM(S182:S186)</f>
        <v>169.29</v>
      </c>
      <c r="I184" s="34"/>
      <c r="J184" s="20">
        <f>Source!AT57</f>
        <v>65</v>
      </c>
      <c r="K184" s="24">
        <f>SUM(T182:T186)</f>
        <v>5166.6099999999997</v>
      </c>
      <c r="L184" s="33"/>
    </row>
    <row r="185" spans="1:26" ht="14.25" x14ac:dyDescent="0.2">
      <c r="A185" s="43"/>
      <c r="B185" s="44"/>
      <c r="C185" s="44" t="s">
        <v>540</v>
      </c>
      <c r="D185" s="32" t="s">
        <v>539</v>
      </c>
      <c r="E185" s="10">
        <f>Source!CA57</f>
        <v>40</v>
      </c>
      <c r="F185" s="47"/>
      <c r="G185" s="19"/>
      <c r="H185" s="24">
        <f>SUM(U182:U186)</f>
        <v>104.18</v>
      </c>
      <c r="I185" s="34"/>
      <c r="J185" s="20">
        <f>Source!AU57</f>
        <v>40</v>
      </c>
      <c r="K185" s="24">
        <f>SUM(V182:V186)</f>
        <v>3179.45</v>
      </c>
      <c r="L185" s="33"/>
    </row>
    <row r="186" spans="1:26" ht="14.25" x14ac:dyDescent="0.2">
      <c r="A186" s="45"/>
      <c r="B186" s="46"/>
      <c r="C186" s="46" t="s">
        <v>541</v>
      </c>
      <c r="D186" s="35" t="s">
        <v>542</v>
      </c>
      <c r="E186" s="36">
        <f>Source!AQ57</f>
        <v>17.600000000000001</v>
      </c>
      <c r="F186" s="37"/>
      <c r="G186" s="38" t="str">
        <f>Source!DI57</f>
        <v/>
      </c>
      <c r="H186" s="37"/>
      <c r="I186" s="38"/>
      <c r="J186" s="38"/>
      <c r="K186" s="37"/>
      <c r="L186" s="39">
        <f>Source!U57</f>
        <v>17.600000000000001</v>
      </c>
    </row>
    <row r="187" spans="1:26" ht="15" x14ac:dyDescent="0.25">
      <c r="G187" s="63">
        <f>H183+H184+H185</f>
        <v>533.91000000000008</v>
      </c>
      <c r="H187" s="63"/>
      <c r="J187" s="63">
        <f>K183+K184+K185</f>
        <v>16294.689999999999</v>
      </c>
      <c r="K187" s="63"/>
      <c r="L187" s="40">
        <f>Source!U57</f>
        <v>17.600000000000001</v>
      </c>
      <c r="O187" s="28">
        <f>G187</f>
        <v>533.91000000000008</v>
      </c>
      <c r="P187" s="28">
        <f>J187</f>
        <v>16294.689999999999</v>
      </c>
      <c r="Q187" s="28">
        <f>L187</f>
        <v>17.600000000000001</v>
      </c>
      <c r="W187">
        <f>IF(Source!BI57&lt;=1,H183+H184+H185, 0)</f>
        <v>0</v>
      </c>
      <c r="X187">
        <f>IF(Source!BI57=2,H183+H184+H185, 0)</f>
        <v>0</v>
      </c>
      <c r="Y187">
        <f>IF(Source!BI57=3,H183+H184+H185, 0)</f>
        <v>0</v>
      </c>
      <c r="Z187">
        <f>IF(Source!BI57=4,H183+H184+H185, 0)</f>
        <v>533.91000000000008</v>
      </c>
    </row>
    <row r="189" spans="1:26" ht="15" x14ac:dyDescent="0.25">
      <c r="A189" s="67" t="str">
        <f>CONCATENATE("Итого по локальной смете: ",IF(Source!G59&lt;&gt;"Новая локальная смета", Source!G59, ""))</f>
        <v xml:space="preserve">Итого по локальной смете: </v>
      </c>
      <c r="B189" s="67"/>
      <c r="C189" s="67"/>
      <c r="D189" s="67"/>
      <c r="E189" s="67"/>
      <c r="F189" s="67"/>
      <c r="G189" s="66">
        <f>SUM(O37:O188)</f>
        <v>27390.86</v>
      </c>
      <c r="H189" s="66"/>
      <c r="I189" s="31"/>
      <c r="J189" s="66">
        <f>ROUND(SUM(P37:P188),0)</f>
        <v>87594</v>
      </c>
      <c r="K189" s="66"/>
      <c r="L189" s="40">
        <f>SUM(Q37:Q188)</f>
        <v>66.72890000000001</v>
      </c>
    </row>
    <row r="192" spans="1:26" ht="14.25" hidden="1" x14ac:dyDescent="0.2">
      <c r="C192" s="53" t="str">
        <f>Source!H87</f>
        <v>Итого по смете:</v>
      </c>
      <c r="D192" s="53"/>
      <c r="E192" s="53"/>
      <c r="F192" s="53"/>
      <c r="G192" s="53"/>
      <c r="H192" s="53"/>
      <c r="I192" s="53"/>
      <c r="J192" s="59">
        <f>ROUND(IF(Source!F87=0, "", Source!F87),0)</f>
        <v>87594</v>
      </c>
      <c r="K192" s="59"/>
    </row>
    <row r="193" spans="1:12" ht="14.25" x14ac:dyDescent="0.2">
      <c r="C193" s="53" t="str">
        <f>Source!H88</f>
        <v>НДС 20%</v>
      </c>
      <c r="D193" s="53"/>
      <c r="E193" s="53"/>
      <c r="F193" s="53"/>
      <c r="G193" s="53"/>
      <c r="H193" s="53"/>
      <c r="I193" s="53"/>
      <c r="J193" s="59">
        <f>ROUND(IF(Source!F88=0, "", Source!F88),0)</f>
        <v>17519</v>
      </c>
      <c r="K193" s="59"/>
    </row>
    <row r="194" spans="1:12" ht="14.25" x14ac:dyDescent="0.2">
      <c r="C194" s="53" t="str">
        <f>Source!H89</f>
        <v>ИТОГО с НДС</v>
      </c>
      <c r="D194" s="53"/>
      <c r="E194" s="53"/>
      <c r="F194" s="53"/>
      <c r="G194" s="53"/>
      <c r="H194" s="53"/>
      <c r="I194" s="53"/>
      <c r="J194" s="59">
        <f>ROUND(IF(Source!F89=0, "", Source!F89),0)</f>
        <v>105113</v>
      </c>
      <c r="K194" s="59"/>
    </row>
    <row r="197" spans="1:12" ht="14.25" x14ac:dyDescent="0.2">
      <c r="A197" s="30" t="s">
        <v>575</v>
      </c>
      <c r="B197" s="30"/>
      <c r="C197" s="10" t="s">
        <v>576</v>
      </c>
      <c r="D197" s="29" t="str">
        <f>IF(Source!AC12&lt;&gt;"", Source!AC12," ")</f>
        <v xml:space="preserve"> </v>
      </c>
      <c r="E197" s="29"/>
      <c r="F197" s="29"/>
      <c r="G197" s="29"/>
      <c r="H197" s="29"/>
      <c r="I197" s="11" t="str">
        <f>IF(Source!AB12&lt;&gt;"", Source!AB12," ")</f>
        <v xml:space="preserve"> </v>
      </c>
      <c r="J197" s="11"/>
      <c r="K197" s="11"/>
      <c r="L197" s="11"/>
    </row>
    <row r="198" spans="1:12" ht="14.25" x14ac:dyDescent="0.2">
      <c r="A198" s="11"/>
      <c r="B198" s="11"/>
      <c r="C198" s="10"/>
      <c r="D198" s="64" t="s">
        <v>577</v>
      </c>
      <c r="E198" s="64"/>
      <c r="F198" s="64"/>
      <c r="G198" s="64"/>
      <c r="H198" s="64"/>
      <c r="I198" s="11"/>
      <c r="J198" s="11"/>
      <c r="K198" s="11"/>
      <c r="L198" s="11"/>
    </row>
    <row r="199" spans="1:12" ht="14.25" x14ac:dyDescent="0.2">
      <c r="A199" s="11"/>
      <c r="B199" s="11"/>
      <c r="C199" s="10"/>
      <c r="D199" s="11"/>
      <c r="E199" s="11"/>
      <c r="F199" s="11"/>
      <c r="G199" s="11"/>
      <c r="H199" s="11"/>
      <c r="I199" s="11"/>
      <c r="J199" s="11"/>
      <c r="K199" s="11"/>
      <c r="L199" s="11"/>
    </row>
    <row r="200" spans="1:12" ht="14.25" x14ac:dyDescent="0.2">
      <c r="A200" s="30" t="s">
        <v>575</v>
      </c>
      <c r="B200" s="30"/>
      <c r="C200" s="10" t="s">
        <v>578</v>
      </c>
      <c r="D200" s="29" t="str">
        <f>IF(Source!AE12&lt;&gt;"", Source!AE12," ")</f>
        <v xml:space="preserve"> </v>
      </c>
      <c r="E200" s="29"/>
      <c r="F200" s="29"/>
      <c r="G200" s="29"/>
      <c r="H200" s="29"/>
      <c r="I200" s="11" t="str">
        <f>IF(Source!AD12&lt;&gt;"", Source!AD12," ")</f>
        <v xml:space="preserve"> </v>
      </c>
      <c r="J200" s="11"/>
      <c r="K200" s="11"/>
      <c r="L200" s="11"/>
    </row>
    <row r="201" spans="1:12" ht="14.25" x14ac:dyDescent="0.2">
      <c r="A201" s="11"/>
      <c r="B201" s="11"/>
      <c r="C201" s="11"/>
      <c r="D201" s="64" t="s">
        <v>577</v>
      </c>
      <c r="E201" s="64"/>
      <c r="F201" s="64"/>
      <c r="G201" s="64"/>
      <c r="H201" s="64"/>
      <c r="I201" s="11"/>
      <c r="J201" s="11"/>
      <c r="K201" s="11"/>
      <c r="L201" s="11"/>
    </row>
  </sheetData>
  <mergeCells count="122">
    <mergeCell ref="G157:H157"/>
    <mergeCell ref="J142:K142"/>
    <mergeCell ref="G142:H142"/>
    <mergeCell ref="G189:H189"/>
    <mergeCell ref="J189:K189"/>
    <mergeCell ref="A189:F189"/>
    <mergeCell ref="J187:K187"/>
    <mergeCell ref="G187:H187"/>
    <mergeCell ref="J181:K181"/>
    <mergeCell ref="J155:K155"/>
    <mergeCell ref="G155:H155"/>
    <mergeCell ref="J44:K44"/>
    <mergeCell ref="G44:H44"/>
    <mergeCell ref="A37:L37"/>
    <mergeCell ref="J140:K140"/>
    <mergeCell ref="G140:H140"/>
    <mergeCell ref="J131:K131"/>
    <mergeCell ref="G131:H131"/>
    <mergeCell ref="J129:K129"/>
    <mergeCell ref="G129:H129"/>
    <mergeCell ref="J127:K127"/>
    <mergeCell ref="G127:H127"/>
    <mergeCell ref="J119:K119"/>
    <mergeCell ref="G119:H119"/>
    <mergeCell ref="J117:K117"/>
    <mergeCell ref="G117:H117"/>
    <mergeCell ref="J115:K115"/>
    <mergeCell ref="G115:H115"/>
    <mergeCell ref="J108:K108"/>
    <mergeCell ref="G108:H108"/>
    <mergeCell ref="J106:K106"/>
    <mergeCell ref="G106:H106"/>
    <mergeCell ref="J97:K97"/>
    <mergeCell ref="C193:I193"/>
    <mergeCell ref="J193:K193"/>
    <mergeCell ref="C194:I194"/>
    <mergeCell ref="J194:K194"/>
    <mergeCell ref="D198:H198"/>
    <mergeCell ref="D201:H201"/>
    <mergeCell ref="J87:K87"/>
    <mergeCell ref="G87:H87"/>
    <mergeCell ref="J85:K85"/>
    <mergeCell ref="G85:H85"/>
    <mergeCell ref="G181:H181"/>
    <mergeCell ref="J179:K179"/>
    <mergeCell ref="G179:H179"/>
    <mergeCell ref="J177:K177"/>
    <mergeCell ref="G177:H177"/>
    <mergeCell ref="J153:K153"/>
    <mergeCell ref="G153:H153"/>
    <mergeCell ref="J144:K144"/>
    <mergeCell ref="G144:H144"/>
    <mergeCell ref="J175:K175"/>
    <mergeCell ref="G175:H175"/>
    <mergeCell ref="J166:K166"/>
    <mergeCell ref="G166:H166"/>
    <mergeCell ref="J157:K157"/>
    <mergeCell ref="C31:F31"/>
    <mergeCell ref="G31:H31"/>
    <mergeCell ref="I31:J31"/>
    <mergeCell ref="K31:L31"/>
    <mergeCell ref="A33:L33"/>
    <mergeCell ref="C192:I192"/>
    <mergeCell ref="J192:K192"/>
    <mergeCell ref="G97:H97"/>
    <mergeCell ref="J95:K95"/>
    <mergeCell ref="G95:H95"/>
    <mergeCell ref="J78:K78"/>
    <mergeCell ref="G78:H78"/>
    <mergeCell ref="J76:K76"/>
    <mergeCell ref="G76:H76"/>
    <mergeCell ref="J67:K67"/>
    <mergeCell ref="G67:H67"/>
    <mergeCell ref="J65:K65"/>
    <mergeCell ref="G65:H65"/>
    <mergeCell ref="J56:K56"/>
    <mergeCell ref="G56:H56"/>
    <mergeCell ref="J54:K54"/>
    <mergeCell ref="G54:H54"/>
    <mergeCell ref="J46:K46"/>
    <mergeCell ref="G46:H46"/>
    <mergeCell ref="C28:F28"/>
    <mergeCell ref="G28:H28"/>
    <mergeCell ref="I28:J28"/>
    <mergeCell ref="K28:L28"/>
    <mergeCell ref="C29:F29"/>
    <mergeCell ref="G29:H29"/>
    <mergeCell ref="I29:J29"/>
    <mergeCell ref="K29:L29"/>
    <mergeCell ref="C30:F30"/>
    <mergeCell ref="G30:H30"/>
    <mergeCell ref="I30:J30"/>
    <mergeCell ref="K30:L30"/>
    <mergeCell ref="C25:F25"/>
    <mergeCell ref="G25:H25"/>
    <mergeCell ref="I25:J25"/>
    <mergeCell ref="K25:L25"/>
    <mergeCell ref="C26:F26"/>
    <mergeCell ref="G26:H26"/>
    <mergeCell ref="I26:J26"/>
    <mergeCell ref="K26:L26"/>
    <mergeCell ref="C27:F27"/>
    <mergeCell ref="G27:H27"/>
    <mergeCell ref="I27:J27"/>
    <mergeCell ref="K27:L27"/>
    <mergeCell ref="B11:K11"/>
    <mergeCell ref="B14:K14"/>
    <mergeCell ref="B16:K16"/>
    <mergeCell ref="B18:K18"/>
    <mergeCell ref="B19:K19"/>
    <mergeCell ref="A21:L21"/>
    <mergeCell ref="G24:H24"/>
    <mergeCell ref="I24:J24"/>
    <mergeCell ref="B3:E3"/>
    <mergeCell ref="H3:L3"/>
    <mergeCell ref="B4:E4"/>
    <mergeCell ref="H4:L4"/>
    <mergeCell ref="B6:E6"/>
    <mergeCell ref="H6:L6"/>
    <mergeCell ref="B7:E7"/>
    <mergeCell ref="H7:L7"/>
    <mergeCell ref="B10:K10"/>
  </mergeCells>
  <pageMargins left="0.4" right="0.2" top="0.2" bottom="0.4" header="0.2" footer="0.2"/>
  <pageSetup paperSize="9" scale="58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K154"/>
  <sheetViews>
    <sheetView workbookViewId="0">
      <selection activeCell="G18" sqref="G18"/>
    </sheetView>
  </sheetViews>
  <sheetFormatPr defaultRowHeight="12.75" x14ac:dyDescent="0.2"/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33899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149</v>
      </c>
      <c r="C12" s="1">
        <v>0</v>
      </c>
      <c r="D12" s="1">
        <f>ROW(A91)</f>
        <v>91</v>
      </c>
      <c r="E12" s="1">
        <v>0</v>
      </c>
      <c r="F12" s="1">
        <v>1</v>
      </c>
      <c r="G12" s="1" t="s">
        <v>581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/>
      <c r="U12" s="1" t="s">
        <v>3</v>
      </c>
      <c r="V12" s="1">
        <v>0</v>
      </c>
      <c r="W12" s="1" t="s">
        <v>6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7</v>
      </c>
      <c r="AI12" s="1" t="s">
        <v>8</v>
      </c>
      <c r="AJ12" s="1" t="s">
        <v>9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10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11</v>
      </c>
      <c r="BI12" s="1" t="s">
        <v>12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13</v>
      </c>
      <c r="BZ12" s="1" t="s">
        <v>14</v>
      </c>
      <c r="CA12" s="1" t="s">
        <v>15</v>
      </c>
      <c r="CB12" s="1" t="s">
        <v>15</v>
      </c>
      <c r="CC12" s="1" t="s">
        <v>15</v>
      </c>
      <c r="CD12" s="1" t="s">
        <v>15</v>
      </c>
      <c r="CE12" s="1" t="s">
        <v>16</v>
      </c>
      <c r="CF12" s="1">
        <v>0</v>
      </c>
      <c r="CG12" s="1">
        <v>0</v>
      </c>
      <c r="CH12" s="1">
        <v>270344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B91</f>
        <v>149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>
        <f t="shared" si="0"/>
        <v>1</v>
      </c>
      <c r="G18" s="2" t="str">
        <f t="shared" si="0"/>
        <v>монтажные, пусконаладочные работы объектового оборудования радиоканальной системы передачи извещений на прибор пультовой оконечный Программно-аппаратного комплекса системы мониторинга, обработки и передачи данных о параметрах возгорания, угрозах и рисках развития крупных пожаров «Стрелец-Мониторинг»</v>
      </c>
      <c r="H18" s="2"/>
      <c r="I18" s="2"/>
      <c r="J18" s="2"/>
      <c r="K18" s="2"/>
      <c r="L18" s="2"/>
      <c r="M18" s="2"/>
      <c r="N18" s="2"/>
      <c r="O18" s="2">
        <f t="shared" ref="O18:AT18" si="1">O91</f>
        <v>55783.12</v>
      </c>
      <c r="P18" s="2">
        <f t="shared" si="1"/>
        <v>31702.06</v>
      </c>
      <c r="Q18" s="2">
        <f t="shared" si="1"/>
        <v>946.59</v>
      </c>
      <c r="R18" s="2">
        <f t="shared" si="1"/>
        <v>291.3</v>
      </c>
      <c r="S18" s="2">
        <f t="shared" si="1"/>
        <v>23134.47</v>
      </c>
      <c r="T18" s="2">
        <f t="shared" si="1"/>
        <v>0</v>
      </c>
      <c r="U18" s="2">
        <f t="shared" si="1"/>
        <v>66.72890000000001</v>
      </c>
      <c r="V18" s="2">
        <f t="shared" si="1"/>
        <v>0.91800000000000004</v>
      </c>
      <c r="W18" s="2">
        <f t="shared" si="1"/>
        <v>0.43</v>
      </c>
      <c r="X18" s="2">
        <f t="shared" si="1"/>
        <v>18850.759999999998</v>
      </c>
      <c r="Y18" s="2">
        <f t="shared" si="1"/>
        <v>12960.23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23518.65</v>
      </c>
      <c r="AQ18" s="2">
        <f t="shared" si="1"/>
        <v>0</v>
      </c>
      <c r="AR18" s="2">
        <f t="shared" si="1"/>
        <v>87594.11</v>
      </c>
      <c r="AS18" s="2">
        <f t="shared" si="1"/>
        <v>284.45999999999998</v>
      </c>
      <c r="AT18" s="2">
        <f t="shared" si="1"/>
        <v>47496.31</v>
      </c>
      <c r="AU18" s="2">
        <f t="shared" ref="AU18:BZ18" si="2">AU91</f>
        <v>16294.69</v>
      </c>
      <c r="AV18" s="2">
        <f t="shared" si="2"/>
        <v>31702.06</v>
      </c>
      <c r="AW18" s="2">
        <f t="shared" si="2"/>
        <v>8183.41</v>
      </c>
      <c r="AX18" s="2">
        <f t="shared" si="2"/>
        <v>0</v>
      </c>
      <c r="AY18" s="2">
        <f t="shared" si="2"/>
        <v>8183.41</v>
      </c>
      <c r="AZ18" s="2">
        <f t="shared" si="2"/>
        <v>23518.65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CA91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DG91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EM91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FS91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ROW(A59)</f>
        <v>59</v>
      </c>
      <c r="E20" s="1"/>
      <c r="F20" s="1" t="s">
        <v>17</v>
      </c>
      <c r="G20" s="1" t="s">
        <v>17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/>
      <c r="N20" s="1"/>
      <c r="O20" s="1"/>
      <c r="P20" s="1"/>
      <c r="Q20" s="1"/>
      <c r="R20" s="1"/>
      <c r="S20" s="1"/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</row>
    <row r="22" spans="1:245" x14ac:dyDescent="0.2">
      <c r="A22" s="2">
        <v>52</v>
      </c>
      <c r="B22" s="2">
        <f t="shared" ref="B22:G22" si="7">B59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O59</f>
        <v>55783.12</v>
      </c>
      <c r="P22" s="2">
        <f t="shared" si="8"/>
        <v>31702.06</v>
      </c>
      <c r="Q22" s="2">
        <f t="shared" si="8"/>
        <v>946.59</v>
      </c>
      <c r="R22" s="2">
        <f t="shared" si="8"/>
        <v>291.3</v>
      </c>
      <c r="S22" s="2">
        <f t="shared" si="8"/>
        <v>23134.47</v>
      </c>
      <c r="T22" s="2">
        <f t="shared" si="8"/>
        <v>0</v>
      </c>
      <c r="U22" s="2">
        <f t="shared" si="8"/>
        <v>66.72890000000001</v>
      </c>
      <c r="V22" s="2">
        <f t="shared" si="8"/>
        <v>0.91800000000000004</v>
      </c>
      <c r="W22" s="2">
        <f t="shared" si="8"/>
        <v>0.43</v>
      </c>
      <c r="X22" s="2">
        <f t="shared" si="8"/>
        <v>18850.759999999998</v>
      </c>
      <c r="Y22" s="2">
        <f t="shared" si="8"/>
        <v>12960.23</v>
      </c>
      <c r="Z22" s="2">
        <f t="shared" si="8"/>
        <v>0</v>
      </c>
      <c r="AA22" s="2">
        <f t="shared" si="8"/>
        <v>0</v>
      </c>
      <c r="AB22" s="2">
        <f t="shared" si="8"/>
        <v>55783.12</v>
      </c>
      <c r="AC22" s="2">
        <f t="shared" si="8"/>
        <v>31702.06</v>
      </c>
      <c r="AD22" s="2">
        <f t="shared" si="8"/>
        <v>946.59</v>
      </c>
      <c r="AE22" s="2">
        <f t="shared" si="8"/>
        <v>291.3</v>
      </c>
      <c r="AF22" s="2">
        <f t="shared" si="8"/>
        <v>23134.47</v>
      </c>
      <c r="AG22" s="2">
        <f t="shared" si="8"/>
        <v>0</v>
      </c>
      <c r="AH22" s="2">
        <f t="shared" si="8"/>
        <v>66.72890000000001</v>
      </c>
      <c r="AI22" s="2">
        <f t="shared" si="8"/>
        <v>0.91800000000000004</v>
      </c>
      <c r="AJ22" s="2">
        <f t="shared" si="8"/>
        <v>0.43</v>
      </c>
      <c r="AK22" s="2">
        <f t="shared" si="8"/>
        <v>18850.759999999998</v>
      </c>
      <c r="AL22" s="2">
        <f t="shared" si="8"/>
        <v>12960.23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23518.65</v>
      </c>
      <c r="AQ22" s="2">
        <f t="shared" si="8"/>
        <v>0</v>
      </c>
      <c r="AR22" s="2">
        <f t="shared" si="8"/>
        <v>87594.11</v>
      </c>
      <c r="AS22" s="2">
        <f t="shared" si="8"/>
        <v>284.45999999999998</v>
      </c>
      <c r="AT22" s="2">
        <f t="shared" si="8"/>
        <v>47496.31</v>
      </c>
      <c r="AU22" s="2">
        <f t="shared" ref="AU22:BZ22" si="9">AU59</f>
        <v>16294.69</v>
      </c>
      <c r="AV22" s="2">
        <f t="shared" si="9"/>
        <v>31702.06</v>
      </c>
      <c r="AW22" s="2">
        <f t="shared" si="9"/>
        <v>8183.41</v>
      </c>
      <c r="AX22" s="2">
        <f t="shared" si="9"/>
        <v>0</v>
      </c>
      <c r="AY22" s="2">
        <f t="shared" si="9"/>
        <v>8183.41</v>
      </c>
      <c r="AZ22" s="2">
        <f t="shared" si="9"/>
        <v>23518.65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23518.65</v>
      </c>
      <c r="BZ22" s="2">
        <f t="shared" si="9"/>
        <v>0</v>
      </c>
      <c r="CA22" s="2">
        <f t="shared" ref="CA22:DF22" si="10">CA59</f>
        <v>87594.11</v>
      </c>
      <c r="CB22" s="2">
        <f t="shared" si="10"/>
        <v>284.45999999999998</v>
      </c>
      <c r="CC22" s="2">
        <f t="shared" si="10"/>
        <v>47496.31</v>
      </c>
      <c r="CD22" s="2">
        <f t="shared" si="10"/>
        <v>16294.69</v>
      </c>
      <c r="CE22" s="2">
        <f t="shared" si="10"/>
        <v>31702.06</v>
      </c>
      <c r="CF22" s="2">
        <f t="shared" si="10"/>
        <v>8183.41</v>
      </c>
      <c r="CG22" s="2">
        <f t="shared" si="10"/>
        <v>0</v>
      </c>
      <c r="CH22" s="2">
        <f t="shared" si="10"/>
        <v>8183.41</v>
      </c>
      <c r="CI22" s="2">
        <f t="shared" si="10"/>
        <v>23518.65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DG59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EM59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FS59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>
        <v>19</v>
      </c>
      <c r="B24">
        <v>1</v>
      </c>
      <c r="F24" t="s">
        <v>3</v>
      </c>
      <c r="G24" t="s">
        <v>18</v>
      </c>
      <c r="H24" t="s">
        <v>3</v>
      </c>
      <c r="AA24">
        <v>1</v>
      </c>
      <c r="IK24">
        <v>0</v>
      </c>
    </row>
    <row r="25" spans="1:245" x14ac:dyDescent="0.2">
      <c r="A25">
        <v>17</v>
      </c>
      <c r="B25">
        <v>1</v>
      </c>
      <c r="C25">
        <f>ROW(SmtRes!A11)</f>
        <v>11</v>
      </c>
      <c r="D25">
        <f>ROW(EtalonRes!A12)</f>
        <v>12</v>
      </c>
      <c r="E25" t="s">
        <v>19</v>
      </c>
      <c r="F25" t="s">
        <v>20</v>
      </c>
      <c r="G25" t="s">
        <v>21</v>
      </c>
      <c r="H25" t="s">
        <v>22</v>
      </c>
      <c r="I25">
        <f t="shared" ref="I25:I38" si="14">ROUND(1,2)</f>
        <v>1</v>
      </c>
      <c r="J25">
        <v>0</v>
      </c>
      <c r="O25">
        <f t="shared" ref="O25:O55" si="15">ROUND(CP25,2)</f>
        <v>3250.32</v>
      </c>
      <c r="P25">
        <f t="shared" ref="P25:P55" si="16">ROUND(CQ25*I25,2)</f>
        <v>314.3</v>
      </c>
      <c r="Q25">
        <f t="shared" ref="Q25:Q55" si="17">ROUND(CR25*I25,2)</f>
        <v>0</v>
      </c>
      <c r="R25">
        <f t="shared" ref="R25:R55" si="18">ROUND(CS25*I25,2)</f>
        <v>0</v>
      </c>
      <c r="S25">
        <f t="shared" ref="S25:S55" si="19">ROUND(CT25*I25,2)</f>
        <v>2936.02</v>
      </c>
      <c r="T25">
        <f t="shared" ref="T25:T55" si="20">ROUND(CU25*I25,2)</f>
        <v>0</v>
      </c>
      <c r="U25">
        <f t="shared" ref="U25:U55" si="21">CV25*I25</f>
        <v>10</v>
      </c>
      <c r="V25">
        <f t="shared" ref="V25:V55" si="22">CW25*I25</f>
        <v>0</v>
      </c>
      <c r="W25">
        <f t="shared" ref="W25:W55" si="23">ROUND(CX25*I25,2)</f>
        <v>0</v>
      </c>
      <c r="X25">
        <f t="shared" ref="X25:X55" si="24">ROUND(CY25,2)</f>
        <v>2701.14</v>
      </c>
      <c r="Y25">
        <f t="shared" ref="Y25:Y55" si="25">ROUND(CZ25,2)</f>
        <v>1908.41</v>
      </c>
      <c r="AA25">
        <v>43156991</v>
      </c>
      <c r="AB25">
        <f t="shared" ref="AB25:AB55" si="26">ROUND((AC25+AD25+AF25),2)</f>
        <v>159.44</v>
      </c>
      <c r="AC25">
        <f t="shared" ref="AC25:AC55" si="27">ROUND((ES25),2)</f>
        <v>63.24</v>
      </c>
      <c r="AD25">
        <f t="shared" ref="AD25:AD55" si="28">ROUND((((ET25)-(EU25))+AE25),2)</f>
        <v>0</v>
      </c>
      <c r="AE25">
        <f t="shared" ref="AE25:AE55" si="29">ROUND((EU25),2)</f>
        <v>0</v>
      </c>
      <c r="AF25">
        <f t="shared" ref="AF25:AF55" si="30">ROUND((EV25),2)</f>
        <v>96.2</v>
      </c>
      <c r="AG25">
        <f t="shared" ref="AG25:AG55" si="31">ROUND((AP25),2)</f>
        <v>0</v>
      </c>
      <c r="AH25">
        <f t="shared" ref="AH25:AH55" si="32">(EW25)</f>
        <v>10</v>
      </c>
      <c r="AI25">
        <f t="shared" ref="AI25:AI55" si="33">(EX25)</f>
        <v>0</v>
      </c>
      <c r="AJ25">
        <f t="shared" ref="AJ25:AJ55" si="34">(AS25)</f>
        <v>0</v>
      </c>
      <c r="AK25">
        <v>159.44</v>
      </c>
      <c r="AL25">
        <v>63.24</v>
      </c>
      <c r="AM25">
        <v>0</v>
      </c>
      <c r="AN25">
        <v>0</v>
      </c>
      <c r="AO25">
        <v>96.2</v>
      </c>
      <c r="AP25">
        <v>0</v>
      </c>
      <c r="AQ25">
        <v>10</v>
      </c>
      <c r="AR25">
        <v>0</v>
      </c>
      <c r="AS25">
        <v>0</v>
      </c>
      <c r="AT25">
        <v>92</v>
      </c>
      <c r="AU25">
        <v>65</v>
      </c>
      <c r="AV25">
        <v>1</v>
      </c>
      <c r="AW25">
        <v>1</v>
      </c>
      <c r="AZ25">
        <v>1</v>
      </c>
      <c r="BA25">
        <v>30.52</v>
      </c>
      <c r="BB25">
        <v>1</v>
      </c>
      <c r="BC25">
        <v>4.97</v>
      </c>
      <c r="BD25" t="s">
        <v>3</v>
      </c>
      <c r="BE25" t="s">
        <v>3</v>
      </c>
      <c r="BF25" t="s">
        <v>3</v>
      </c>
      <c r="BG25" t="s">
        <v>3</v>
      </c>
      <c r="BH25">
        <v>0</v>
      </c>
      <c r="BI25">
        <v>2</v>
      </c>
      <c r="BJ25" t="s">
        <v>23</v>
      </c>
      <c r="BM25">
        <v>110004</v>
      </c>
      <c r="BN25">
        <v>0</v>
      </c>
      <c r="BO25" t="s">
        <v>24</v>
      </c>
      <c r="BP25">
        <v>1</v>
      </c>
      <c r="BQ25">
        <v>3</v>
      </c>
      <c r="BR25">
        <v>0</v>
      </c>
      <c r="BS25">
        <v>30.52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92</v>
      </c>
      <c r="CA25">
        <v>65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ref="CP25:CP55" si="35">(P25+Q25+S25)</f>
        <v>3250.32</v>
      </c>
      <c r="CQ25">
        <f t="shared" ref="CQ25:CQ55" si="36">AC25*BC25</f>
        <v>314.30279999999999</v>
      </c>
      <c r="CR25">
        <f t="shared" ref="CR25:CR55" si="37">AD25*BB25</f>
        <v>0</v>
      </c>
      <c r="CS25">
        <f t="shared" ref="CS25:CS55" si="38">AE25*BS25</f>
        <v>0</v>
      </c>
      <c r="CT25">
        <f t="shared" ref="CT25:CT55" si="39">AF25*BA25</f>
        <v>2936.0239999999999</v>
      </c>
      <c r="CU25">
        <f t="shared" ref="CU25:CU55" si="40">AG25</f>
        <v>0</v>
      </c>
      <c r="CV25">
        <f t="shared" ref="CV25:CV55" si="41">AH25</f>
        <v>10</v>
      </c>
      <c r="CW25">
        <f t="shared" ref="CW25:CW55" si="42">AI25</f>
        <v>0</v>
      </c>
      <c r="CX25">
        <f t="shared" ref="CX25:CX55" si="43">AJ25</f>
        <v>0</v>
      </c>
      <c r="CY25">
        <f>(((S25+R25)*AT25)/100)</f>
        <v>2701.1384000000003</v>
      </c>
      <c r="CZ25">
        <f>(((S25+R25)*AU25)/100)</f>
        <v>1908.4129999999998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1013</v>
      </c>
      <c r="DV25" t="s">
        <v>22</v>
      </c>
      <c r="DW25" t="s">
        <v>22</v>
      </c>
      <c r="DX25">
        <v>1</v>
      </c>
      <c r="EE25">
        <v>41318500</v>
      </c>
      <c r="EF25">
        <v>3</v>
      </c>
      <c r="EG25" t="s">
        <v>25</v>
      </c>
      <c r="EH25">
        <v>0</v>
      </c>
      <c r="EI25" t="s">
        <v>3</v>
      </c>
      <c r="EJ25">
        <v>2</v>
      </c>
      <c r="EK25">
        <v>110004</v>
      </c>
      <c r="EL25" t="s">
        <v>26</v>
      </c>
      <c r="EM25" t="s">
        <v>27</v>
      </c>
      <c r="EO25" t="s">
        <v>3</v>
      </c>
      <c r="EQ25">
        <v>131072</v>
      </c>
      <c r="ER25">
        <v>159.44</v>
      </c>
      <c r="ES25">
        <v>63.24</v>
      </c>
      <c r="ET25">
        <v>0</v>
      </c>
      <c r="EU25">
        <v>0</v>
      </c>
      <c r="EV25">
        <v>96.2</v>
      </c>
      <c r="EW25">
        <v>10</v>
      </c>
      <c r="EX25">
        <v>0</v>
      </c>
      <c r="EY25">
        <v>0</v>
      </c>
      <c r="FQ25">
        <v>0</v>
      </c>
      <c r="FR25">
        <f t="shared" ref="FR25:FR55" si="44">ROUND(IF(AND(BH25=3,BI25=3),P25,0),2)</f>
        <v>0</v>
      </c>
      <c r="FS25">
        <v>0</v>
      </c>
      <c r="FX25">
        <v>92</v>
      </c>
      <c r="FY25">
        <v>65</v>
      </c>
      <c r="GA25" t="s">
        <v>3</v>
      </c>
      <c r="GD25">
        <v>1</v>
      </c>
      <c r="GF25">
        <v>1563046011</v>
      </c>
      <c r="GG25">
        <v>2</v>
      </c>
      <c r="GH25">
        <v>1</v>
      </c>
      <c r="GI25">
        <v>2</v>
      </c>
      <c r="GJ25">
        <v>0</v>
      </c>
      <c r="GK25">
        <v>0</v>
      </c>
      <c r="GL25">
        <f t="shared" ref="GL25:GL55" si="45">ROUND(IF(AND(BH25=3,BI25=3,FS25&lt;&gt;0),P25,0),2)</f>
        <v>0</v>
      </c>
      <c r="GM25">
        <f t="shared" ref="GM25:GM55" si="46">ROUND(O25+X25+Y25,2)+GX25</f>
        <v>7859.87</v>
      </c>
      <c r="GN25">
        <f t="shared" ref="GN25:GN55" si="47">IF(OR(BI25=0,BI25=1),ROUND(O25+X25+Y25,2),0)</f>
        <v>0</v>
      </c>
      <c r="GO25">
        <f t="shared" ref="GO25:GO55" si="48">IF(BI25=2,ROUND(O25+X25+Y25,2),0)</f>
        <v>7859.87</v>
      </c>
      <c r="GP25">
        <f t="shared" ref="GP25:GP55" si="49">IF(BI25=4,ROUND(O25+X25+Y25,2)+GX25,0)</f>
        <v>0</v>
      </c>
      <c r="GR25">
        <v>0</v>
      </c>
      <c r="GS25">
        <v>3</v>
      </c>
      <c r="GT25">
        <v>0</v>
      </c>
      <c r="GU25" t="s">
        <v>3</v>
      </c>
      <c r="GV25">
        <f t="shared" ref="GV25:GV55" si="50">ROUND((GT25),2)</f>
        <v>0</v>
      </c>
      <c r="GW25">
        <v>1</v>
      </c>
      <c r="GX25">
        <f t="shared" ref="GX25:GX55" si="51">ROUND(HC25*I25,2)</f>
        <v>0</v>
      </c>
      <c r="HA25">
        <v>0</v>
      </c>
      <c r="HB25">
        <v>0</v>
      </c>
      <c r="HC25">
        <f t="shared" ref="HC25:HC55" si="52">GV25*GW25</f>
        <v>0</v>
      </c>
      <c r="IK25">
        <v>0</v>
      </c>
    </row>
    <row r="26" spans="1:245" x14ac:dyDescent="0.2">
      <c r="A26">
        <v>17</v>
      </c>
      <c r="B26">
        <v>1</v>
      </c>
      <c r="E26" t="s">
        <v>28</v>
      </c>
      <c r="F26" t="s">
        <v>29</v>
      </c>
      <c r="G26" t="s">
        <v>21</v>
      </c>
      <c r="H26" t="s">
        <v>30</v>
      </c>
      <c r="I26">
        <f t="shared" si="14"/>
        <v>1</v>
      </c>
      <c r="J26">
        <v>0</v>
      </c>
      <c r="O26">
        <f t="shared" si="15"/>
        <v>15822</v>
      </c>
      <c r="P26">
        <f t="shared" si="16"/>
        <v>15822</v>
      </c>
      <c r="Q26">
        <f t="shared" si="17"/>
        <v>0</v>
      </c>
      <c r="R26">
        <f t="shared" si="18"/>
        <v>0</v>
      </c>
      <c r="S26">
        <f t="shared" si="19"/>
        <v>0</v>
      </c>
      <c r="T26">
        <f t="shared" si="20"/>
        <v>0</v>
      </c>
      <c r="U26">
        <f t="shared" si="21"/>
        <v>0</v>
      </c>
      <c r="V26">
        <f t="shared" si="22"/>
        <v>0</v>
      </c>
      <c r="W26">
        <f t="shared" si="23"/>
        <v>0</v>
      </c>
      <c r="X26">
        <f t="shared" si="24"/>
        <v>0</v>
      </c>
      <c r="Y26">
        <f t="shared" si="25"/>
        <v>0</v>
      </c>
      <c r="AA26">
        <v>43156991</v>
      </c>
      <c r="AB26">
        <f t="shared" si="26"/>
        <v>15822</v>
      </c>
      <c r="AC26">
        <f t="shared" si="27"/>
        <v>15822</v>
      </c>
      <c r="AD26">
        <f t="shared" si="28"/>
        <v>0</v>
      </c>
      <c r="AE26">
        <f t="shared" si="29"/>
        <v>0</v>
      </c>
      <c r="AF26">
        <f t="shared" si="30"/>
        <v>0</v>
      </c>
      <c r="AG26">
        <f t="shared" si="31"/>
        <v>0</v>
      </c>
      <c r="AH26">
        <f t="shared" si="32"/>
        <v>0</v>
      </c>
      <c r="AI26">
        <f t="shared" si="33"/>
        <v>0</v>
      </c>
      <c r="AJ26">
        <f t="shared" si="34"/>
        <v>0</v>
      </c>
      <c r="AK26">
        <v>15822</v>
      </c>
      <c r="AL26">
        <v>15822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1</v>
      </c>
      <c r="AW26">
        <v>1</v>
      </c>
      <c r="AZ26">
        <v>1</v>
      </c>
      <c r="BA26">
        <v>1</v>
      </c>
      <c r="BB26">
        <v>1</v>
      </c>
      <c r="BC26">
        <v>1</v>
      </c>
      <c r="BD26" t="s">
        <v>3</v>
      </c>
      <c r="BE26" t="s">
        <v>3</v>
      </c>
      <c r="BF26" t="s">
        <v>3</v>
      </c>
      <c r="BG26" t="s">
        <v>3</v>
      </c>
      <c r="BH26">
        <v>3</v>
      </c>
      <c r="BI26">
        <v>3</v>
      </c>
      <c r="BJ26" t="s">
        <v>3</v>
      </c>
      <c r="BM26">
        <v>100</v>
      </c>
      <c r="BN26">
        <v>0</v>
      </c>
      <c r="BO26" t="s">
        <v>3</v>
      </c>
      <c r="BP26">
        <v>0</v>
      </c>
      <c r="BQ26">
        <v>5</v>
      </c>
      <c r="BR26">
        <v>0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0</v>
      </c>
      <c r="CA26">
        <v>0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5"/>
        <v>15822</v>
      </c>
      <c r="CQ26">
        <f t="shared" si="36"/>
        <v>15822</v>
      </c>
      <c r="CR26">
        <f t="shared" si="37"/>
        <v>0</v>
      </c>
      <c r="CS26">
        <f t="shared" si="38"/>
        <v>0</v>
      </c>
      <c r="CT26">
        <f t="shared" si="39"/>
        <v>0</v>
      </c>
      <c r="CU26">
        <f t="shared" si="40"/>
        <v>0</v>
      </c>
      <c r="CV26">
        <f t="shared" si="41"/>
        <v>0</v>
      </c>
      <c r="CW26">
        <f t="shared" si="42"/>
        <v>0</v>
      </c>
      <c r="CX26">
        <f t="shared" si="43"/>
        <v>0</v>
      </c>
      <c r="CY26">
        <f>0</f>
        <v>0</v>
      </c>
      <c r="CZ26">
        <f>0</f>
        <v>0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30</v>
      </c>
      <c r="DW26" t="s">
        <v>30</v>
      </c>
      <c r="DX26">
        <v>1</v>
      </c>
      <c r="EE26">
        <v>41318275</v>
      </c>
      <c r="EF26">
        <v>5</v>
      </c>
      <c r="EG26" t="s">
        <v>31</v>
      </c>
      <c r="EH26">
        <v>0</v>
      </c>
      <c r="EI26" t="s">
        <v>3</v>
      </c>
      <c r="EJ26">
        <v>3</v>
      </c>
      <c r="EK26">
        <v>100</v>
      </c>
      <c r="EL26" t="s">
        <v>32</v>
      </c>
      <c r="EM26" t="s">
        <v>33</v>
      </c>
      <c r="EO26" t="s">
        <v>3</v>
      </c>
      <c r="EQ26">
        <v>131072</v>
      </c>
      <c r="ER26">
        <v>15822</v>
      </c>
      <c r="ES26">
        <v>15822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5</v>
      </c>
      <c r="FC26">
        <v>1</v>
      </c>
      <c r="FD26">
        <v>18</v>
      </c>
      <c r="FF26">
        <v>18986.400000000001</v>
      </c>
      <c r="FQ26">
        <v>0</v>
      </c>
      <c r="FR26">
        <f t="shared" si="44"/>
        <v>15822</v>
      </c>
      <c r="FS26">
        <v>0</v>
      </c>
      <c r="FX26">
        <v>0</v>
      </c>
      <c r="FY26">
        <v>0</v>
      </c>
      <c r="GA26" t="s">
        <v>34</v>
      </c>
      <c r="GD26">
        <v>1</v>
      </c>
      <c r="GF26">
        <v>-1513210691</v>
      </c>
      <c r="GG26">
        <v>2</v>
      </c>
      <c r="GH26">
        <v>3</v>
      </c>
      <c r="GI26">
        <v>-2</v>
      </c>
      <c r="GJ26">
        <v>0</v>
      </c>
      <c r="GK26">
        <v>0</v>
      </c>
      <c r="GL26">
        <f t="shared" si="45"/>
        <v>0</v>
      </c>
      <c r="GM26">
        <f t="shared" si="46"/>
        <v>15822</v>
      </c>
      <c r="GN26">
        <f t="shared" si="47"/>
        <v>0</v>
      </c>
      <c r="GO26">
        <f t="shared" si="48"/>
        <v>0</v>
      </c>
      <c r="GP26">
        <f t="shared" si="49"/>
        <v>0</v>
      </c>
      <c r="GR26">
        <v>1</v>
      </c>
      <c r="GS26">
        <v>1</v>
      </c>
      <c r="GT26">
        <v>0</v>
      </c>
      <c r="GU26" t="s">
        <v>3</v>
      </c>
      <c r="GV26">
        <f t="shared" si="50"/>
        <v>0</v>
      </c>
      <c r="GW26">
        <v>1</v>
      </c>
      <c r="GX26">
        <f t="shared" si="51"/>
        <v>0</v>
      </c>
      <c r="HA26">
        <v>0</v>
      </c>
      <c r="HB26">
        <v>0</v>
      </c>
      <c r="HC26">
        <f t="shared" si="52"/>
        <v>0</v>
      </c>
      <c r="IK26">
        <v>0</v>
      </c>
    </row>
    <row r="27" spans="1:245" x14ac:dyDescent="0.2">
      <c r="A27">
        <v>17</v>
      </c>
      <c r="B27">
        <v>1</v>
      </c>
      <c r="C27">
        <f>ROW(SmtRes!A18)</f>
        <v>18</v>
      </c>
      <c r="D27">
        <f>ROW(EtalonRes!A19)</f>
        <v>19</v>
      </c>
      <c r="E27" t="s">
        <v>35</v>
      </c>
      <c r="F27" t="s">
        <v>36</v>
      </c>
      <c r="G27" t="s">
        <v>37</v>
      </c>
      <c r="H27" t="s">
        <v>38</v>
      </c>
      <c r="I27">
        <f t="shared" si="14"/>
        <v>1</v>
      </c>
      <c r="J27">
        <v>0</v>
      </c>
      <c r="O27">
        <f t="shared" si="15"/>
        <v>805.7</v>
      </c>
      <c r="P27">
        <f t="shared" si="16"/>
        <v>35.659999999999997</v>
      </c>
      <c r="Q27">
        <f t="shared" si="17"/>
        <v>0.94</v>
      </c>
      <c r="R27">
        <f t="shared" si="18"/>
        <v>0</v>
      </c>
      <c r="S27">
        <f t="shared" si="19"/>
        <v>769.1</v>
      </c>
      <c r="T27">
        <f t="shared" si="20"/>
        <v>0</v>
      </c>
      <c r="U27">
        <f t="shared" si="21"/>
        <v>2.4</v>
      </c>
      <c r="V27">
        <f t="shared" si="22"/>
        <v>0</v>
      </c>
      <c r="W27">
        <f t="shared" si="23"/>
        <v>0</v>
      </c>
      <c r="X27">
        <f t="shared" si="24"/>
        <v>615.28</v>
      </c>
      <c r="Y27">
        <f t="shared" si="25"/>
        <v>461.46</v>
      </c>
      <c r="AA27">
        <v>43156991</v>
      </c>
      <c r="AB27">
        <f t="shared" si="26"/>
        <v>29.66</v>
      </c>
      <c r="AC27">
        <f t="shared" si="27"/>
        <v>4.21</v>
      </c>
      <c r="AD27">
        <f t="shared" si="28"/>
        <v>0.25</v>
      </c>
      <c r="AE27">
        <f t="shared" si="29"/>
        <v>0</v>
      </c>
      <c r="AF27">
        <f t="shared" si="30"/>
        <v>25.2</v>
      </c>
      <c r="AG27">
        <f t="shared" si="31"/>
        <v>0</v>
      </c>
      <c r="AH27">
        <f t="shared" si="32"/>
        <v>2.4</v>
      </c>
      <c r="AI27">
        <f t="shared" si="33"/>
        <v>0</v>
      </c>
      <c r="AJ27">
        <f t="shared" si="34"/>
        <v>0</v>
      </c>
      <c r="AK27">
        <v>29.66</v>
      </c>
      <c r="AL27">
        <v>4.21</v>
      </c>
      <c r="AM27">
        <v>0.25</v>
      </c>
      <c r="AN27">
        <v>0</v>
      </c>
      <c r="AO27">
        <v>25.2</v>
      </c>
      <c r="AP27">
        <v>0</v>
      </c>
      <c r="AQ27">
        <v>2.4</v>
      </c>
      <c r="AR27">
        <v>0</v>
      </c>
      <c r="AS27">
        <v>0</v>
      </c>
      <c r="AT27">
        <v>80</v>
      </c>
      <c r="AU27">
        <v>60</v>
      </c>
      <c r="AV27">
        <v>1</v>
      </c>
      <c r="AW27">
        <v>1</v>
      </c>
      <c r="AZ27">
        <v>1</v>
      </c>
      <c r="BA27">
        <v>30.52</v>
      </c>
      <c r="BB27">
        <v>3.76</v>
      </c>
      <c r="BC27">
        <v>8.4700000000000006</v>
      </c>
      <c r="BD27" t="s">
        <v>3</v>
      </c>
      <c r="BE27" t="s">
        <v>3</v>
      </c>
      <c r="BF27" t="s">
        <v>3</v>
      </c>
      <c r="BG27" t="s">
        <v>3</v>
      </c>
      <c r="BH27">
        <v>0</v>
      </c>
      <c r="BI27">
        <v>2</v>
      </c>
      <c r="BJ27" t="s">
        <v>39</v>
      </c>
      <c r="BM27">
        <v>110011</v>
      </c>
      <c r="BN27">
        <v>0</v>
      </c>
      <c r="BO27" t="s">
        <v>36</v>
      </c>
      <c r="BP27">
        <v>1</v>
      </c>
      <c r="BQ27">
        <v>3</v>
      </c>
      <c r="BR27">
        <v>0</v>
      </c>
      <c r="BS27">
        <v>30.52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80</v>
      </c>
      <c r="CA27">
        <v>60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35"/>
        <v>805.7</v>
      </c>
      <c r="CQ27">
        <f t="shared" si="36"/>
        <v>35.658700000000003</v>
      </c>
      <c r="CR27">
        <f t="shared" si="37"/>
        <v>0.94</v>
      </c>
      <c r="CS27">
        <f t="shared" si="38"/>
        <v>0</v>
      </c>
      <c r="CT27">
        <f t="shared" si="39"/>
        <v>769.10399999999993</v>
      </c>
      <c r="CU27">
        <f t="shared" si="40"/>
        <v>0</v>
      </c>
      <c r="CV27">
        <f t="shared" si="41"/>
        <v>2.4</v>
      </c>
      <c r="CW27">
        <f t="shared" si="42"/>
        <v>0</v>
      </c>
      <c r="CX27">
        <f t="shared" si="43"/>
        <v>0</v>
      </c>
      <c r="CY27">
        <f t="shared" ref="CY27:CY35" si="53">(((S27+R27)*AT27)/100)</f>
        <v>615.28</v>
      </c>
      <c r="CZ27">
        <f t="shared" ref="CZ27:CZ35" si="54">(((S27+R27)*AU27)/100)</f>
        <v>461.46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1013</v>
      </c>
      <c r="DV27" t="s">
        <v>38</v>
      </c>
      <c r="DW27" t="s">
        <v>38</v>
      </c>
      <c r="DX27">
        <v>1</v>
      </c>
      <c r="EE27">
        <v>41318507</v>
      </c>
      <c r="EF27">
        <v>3</v>
      </c>
      <c r="EG27" t="s">
        <v>25</v>
      </c>
      <c r="EH27">
        <v>0</v>
      </c>
      <c r="EI27" t="s">
        <v>3</v>
      </c>
      <c r="EJ27">
        <v>2</v>
      </c>
      <c r="EK27">
        <v>110011</v>
      </c>
      <c r="EL27" t="s">
        <v>40</v>
      </c>
      <c r="EM27" t="s">
        <v>27</v>
      </c>
      <c r="EO27" t="s">
        <v>3</v>
      </c>
      <c r="EQ27">
        <v>131072</v>
      </c>
      <c r="ER27">
        <v>29.66</v>
      </c>
      <c r="ES27">
        <v>4.21</v>
      </c>
      <c r="ET27">
        <v>0.25</v>
      </c>
      <c r="EU27">
        <v>0</v>
      </c>
      <c r="EV27">
        <v>25.2</v>
      </c>
      <c r="EW27">
        <v>2.4</v>
      </c>
      <c r="EX27">
        <v>0</v>
      </c>
      <c r="EY27">
        <v>0</v>
      </c>
      <c r="FQ27">
        <v>0</v>
      </c>
      <c r="FR27">
        <f t="shared" si="44"/>
        <v>0</v>
      </c>
      <c r="FS27">
        <v>0</v>
      </c>
      <c r="FX27">
        <v>80</v>
      </c>
      <c r="FY27">
        <v>60</v>
      </c>
      <c r="GA27" t="s">
        <v>3</v>
      </c>
      <c r="GD27">
        <v>1</v>
      </c>
      <c r="GF27">
        <v>-1324227825</v>
      </c>
      <c r="GG27">
        <v>2</v>
      </c>
      <c r="GH27">
        <v>1</v>
      </c>
      <c r="GI27">
        <v>2</v>
      </c>
      <c r="GJ27">
        <v>0</v>
      </c>
      <c r="GK27">
        <v>0</v>
      </c>
      <c r="GL27">
        <f t="shared" si="45"/>
        <v>0</v>
      </c>
      <c r="GM27">
        <f t="shared" si="46"/>
        <v>1882.44</v>
      </c>
      <c r="GN27">
        <f t="shared" si="47"/>
        <v>0</v>
      </c>
      <c r="GO27">
        <f t="shared" si="48"/>
        <v>1882.44</v>
      </c>
      <c r="GP27">
        <f t="shared" si="49"/>
        <v>0</v>
      </c>
      <c r="GR27">
        <v>0</v>
      </c>
      <c r="GS27">
        <v>3</v>
      </c>
      <c r="GT27">
        <v>0</v>
      </c>
      <c r="GU27" t="s">
        <v>3</v>
      </c>
      <c r="GV27">
        <f t="shared" si="50"/>
        <v>0</v>
      </c>
      <c r="GW27">
        <v>1</v>
      </c>
      <c r="GX27">
        <f t="shared" si="51"/>
        <v>0</v>
      </c>
      <c r="HA27">
        <v>0</v>
      </c>
      <c r="HB27">
        <v>0</v>
      </c>
      <c r="HC27">
        <f t="shared" si="52"/>
        <v>0</v>
      </c>
      <c r="IK27">
        <v>0</v>
      </c>
    </row>
    <row r="28" spans="1:245" x14ac:dyDescent="0.2">
      <c r="A28">
        <v>17</v>
      </c>
      <c r="B28">
        <v>1</v>
      </c>
      <c r="E28" t="s">
        <v>41</v>
      </c>
      <c r="F28" t="s">
        <v>42</v>
      </c>
      <c r="G28" t="s">
        <v>43</v>
      </c>
      <c r="H28" t="s">
        <v>44</v>
      </c>
      <c r="I28">
        <f t="shared" si="14"/>
        <v>1</v>
      </c>
      <c r="J28">
        <v>0</v>
      </c>
      <c r="O28">
        <f t="shared" si="15"/>
        <v>1795.49</v>
      </c>
      <c r="P28">
        <f t="shared" si="16"/>
        <v>1795.49</v>
      </c>
      <c r="Q28">
        <f t="shared" si="17"/>
        <v>0</v>
      </c>
      <c r="R28">
        <f t="shared" si="18"/>
        <v>0</v>
      </c>
      <c r="S28">
        <f t="shared" si="19"/>
        <v>0</v>
      </c>
      <c r="T28">
        <f t="shared" si="20"/>
        <v>0</v>
      </c>
      <c r="U28">
        <f t="shared" si="21"/>
        <v>0</v>
      </c>
      <c r="V28">
        <f t="shared" si="22"/>
        <v>0</v>
      </c>
      <c r="W28">
        <f t="shared" si="23"/>
        <v>0.01</v>
      </c>
      <c r="X28">
        <f t="shared" si="24"/>
        <v>0</v>
      </c>
      <c r="Y28">
        <f t="shared" si="25"/>
        <v>0</v>
      </c>
      <c r="AA28">
        <v>43156991</v>
      </c>
      <c r="AB28">
        <f t="shared" si="26"/>
        <v>875.85</v>
      </c>
      <c r="AC28">
        <f t="shared" si="27"/>
        <v>875.85</v>
      </c>
      <c r="AD28">
        <f t="shared" si="28"/>
        <v>0</v>
      </c>
      <c r="AE28">
        <f t="shared" si="29"/>
        <v>0</v>
      </c>
      <c r="AF28">
        <f t="shared" si="30"/>
        <v>0</v>
      </c>
      <c r="AG28">
        <f t="shared" si="31"/>
        <v>0</v>
      </c>
      <c r="AH28">
        <f t="shared" si="32"/>
        <v>0</v>
      </c>
      <c r="AI28">
        <f t="shared" si="33"/>
        <v>0</v>
      </c>
      <c r="AJ28">
        <f t="shared" si="34"/>
        <v>0.01</v>
      </c>
      <c r="AK28">
        <v>875.85</v>
      </c>
      <c r="AL28">
        <v>875.85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0.01</v>
      </c>
      <c r="AT28">
        <v>0</v>
      </c>
      <c r="AU28">
        <v>0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2.0499999999999998</v>
      </c>
      <c r="BD28" t="s">
        <v>3</v>
      </c>
      <c r="BE28" t="s">
        <v>3</v>
      </c>
      <c r="BF28" t="s">
        <v>3</v>
      </c>
      <c r="BG28" t="s">
        <v>3</v>
      </c>
      <c r="BH28">
        <v>3</v>
      </c>
      <c r="BI28">
        <v>2</v>
      </c>
      <c r="BJ28" t="s">
        <v>45</v>
      </c>
      <c r="BM28">
        <v>500002</v>
      </c>
      <c r="BN28">
        <v>0</v>
      </c>
      <c r="BO28" t="s">
        <v>42</v>
      </c>
      <c r="BP28">
        <v>1</v>
      </c>
      <c r="BQ28">
        <v>12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0</v>
      </c>
      <c r="CA28">
        <v>0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35"/>
        <v>1795.49</v>
      </c>
      <c r="CQ28">
        <f t="shared" si="36"/>
        <v>1795.4924999999998</v>
      </c>
      <c r="CR28">
        <f t="shared" si="37"/>
        <v>0</v>
      </c>
      <c r="CS28">
        <f t="shared" si="38"/>
        <v>0</v>
      </c>
      <c r="CT28">
        <f t="shared" si="39"/>
        <v>0</v>
      </c>
      <c r="CU28">
        <f t="shared" si="40"/>
        <v>0</v>
      </c>
      <c r="CV28">
        <f t="shared" si="41"/>
        <v>0</v>
      </c>
      <c r="CW28">
        <f t="shared" si="42"/>
        <v>0</v>
      </c>
      <c r="CX28">
        <f t="shared" si="43"/>
        <v>0.01</v>
      </c>
      <c r="CY28">
        <f t="shared" si="53"/>
        <v>0</v>
      </c>
      <c r="CZ28">
        <f t="shared" si="54"/>
        <v>0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1010</v>
      </c>
      <c r="DV28" t="s">
        <v>44</v>
      </c>
      <c r="DW28" t="s">
        <v>44</v>
      </c>
      <c r="DX28">
        <v>1</v>
      </c>
      <c r="EE28">
        <v>41318551</v>
      </c>
      <c r="EF28">
        <v>12</v>
      </c>
      <c r="EG28" t="s">
        <v>46</v>
      </c>
      <c r="EH28">
        <v>0</v>
      </c>
      <c r="EI28" t="s">
        <v>3</v>
      </c>
      <c r="EJ28">
        <v>2</v>
      </c>
      <c r="EK28">
        <v>500002</v>
      </c>
      <c r="EL28" t="s">
        <v>47</v>
      </c>
      <c r="EM28" t="s">
        <v>48</v>
      </c>
      <c r="EO28" t="s">
        <v>3</v>
      </c>
      <c r="EQ28">
        <v>0</v>
      </c>
      <c r="ER28">
        <v>875.85</v>
      </c>
      <c r="ES28">
        <v>875.85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FQ28">
        <v>0</v>
      </c>
      <c r="FR28">
        <f t="shared" si="44"/>
        <v>0</v>
      </c>
      <c r="FS28">
        <v>0</v>
      </c>
      <c r="FX28">
        <v>0</v>
      </c>
      <c r="FY28">
        <v>0</v>
      </c>
      <c r="GA28" t="s">
        <v>3</v>
      </c>
      <c r="GD28">
        <v>1</v>
      </c>
      <c r="GF28">
        <v>-619343509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si="45"/>
        <v>0</v>
      </c>
      <c r="GM28">
        <f t="shared" si="46"/>
        <v>1795.49</v>
      </c>
      <c r="GN28">
        <f t="shared" si="47"/>
        <v>0</v>
      </c>
      <c r="GO28">
        <f t="shared" si="48"/>
        <v>1795.49</v>
      </c>
      <c r="GP28">
        <f t="shared" si="49"/>
        <v>0</v>
      </c>
      <c r="GR28">
        <v>0</v>
      </c>
      <c r="GS28">
        <v>3</v>
      </c>
      <c r="GT28">
        <v>0</v>
      </c>
      <c r="GU28" t="s">
        <v>3</v>
      </c>
      <c r="GV28">
        <f t="shared" si="50"/>
        <v>0</v>
      </c>
      <c r="GW28">
        <v>1</v>
      </c>
      <c r="GX28">
        <f t="shared" si="51"/>
        <v>0</v>
      </c>
      <c r="HA28">
        <v>0</v>
      </c>
      <c r="HB28">
        <v>0</v>
      </c>
      <c r="HC28">
        <f t="shared" si="52"/>
        <v>0</v>
      </c>
      <c r="IK28">
        <v>0</v>
      </c>
    </row>
    <row r="29" spans="1:245" x14ac:dyDescent="0.2">
      <c r="A29">
        <v>17</v>
      </c>
      <c r="B29">
        <v>1</v>
      </c>
      <c r="C29">
        <f>ROW(SmtRes!A29)</f>
        <v>29</v>
      </c>
      <c r="D29">
        <f>ROW(EtalonRes!A30)</f>
        <v>30</v>
      </c>
      <c r="E29" t="s">
        <v>49</v>
      </c>
      <c r="F29" t="s">
        <v>50</v>
      </c>
      <c r="G29" t="s">
        <v>51</v>
      </c>
      <c r="H29" t="s">
        <v>38</v>
      </c>
      <c r="I29">
        <f t="shared" si="14"/>
        <v>1</v>
      </c>
      <c r="J29">
        <v>0</v>
      </c>
      <c r="O29">
        <f t="shared" si="15"/>
        <v>1044.6199999999999</v>
      </c>
      <c r="P29">
        <f t="shared" si="16"/>
        <v>32.96</v>
      </c>
      <c r="Q29">
        <f t="shared" si="17"/>
        <v>294.13</v>
      </c>
      <c r="R29">
        <f t="shared" si="18"/>
        <v>96.44</v>
      </c>
      <c r="S29">
        <f t="shared" si="19"/>
        <v>717.53</v>
      </c>
      <c r="T29">
        <f t="shared" si="20"/>
        <v>0</v>
      </c>
      <c r="U29">
        <f t="shared" si="21"/>
        <v>2.37</v>
      </c>
      <c r="V29">
        <f t="shared" si="22"/>
        <v>0.28999999999999998</v>
      </c>
      <c r="W29">
        <f t="shared" si="23"/>
        <v>0</v>
      </c>
      <c r="X29">
        <f t="shared" si="24"/>
        <v>773.27</v>
      </c>
      <c r="Y29">
        <f t="shared" si="25"/>
        <v>529.08000000000004</v>
      </c>
      <c r="AA29">
        <v>43156991</v>
      </c>
      <c r="AB29">
        <f t="shared" si="26"/>
        <v>59.07</v>
      </c>
      <c r="AC29">
        <f t="shared" si="27"/>
        <v>3.38</v>
      </c>
      <c r="AD29">
        <f t="shared" si="28"/>
        <v>32.18</v>
      </c>
      <c r="AE29">
        <f t="shared" si="29"/>
        <v>3.16</v>
      </c>
      <c r="AF29">
        <f t="shared" si="30"/>
        <v>23.51</v>
      </c>
      <c r="AG29">
        <f t="shared" si="31"/>
        <v>0</v>
      </c>
      <c r="AH29">
        <f t="shared" si="32"/>
        <v>2.37</v>
      </c>
      <c r="AI29">
        <f t="shared" si="33"/>
        <v>0.28999999999999998</v>
      </c>
      <c r="AJ29">
        <f t="shared" si="34"/>
        <v>0</v>
      </c>
      <c r="AK29">
        <v>59.07</v>
      </c>
      <c r="AL29">
        <v>3.38</v>
      </c>
      <c r="AM29">
        <v>32.18</v>
      </c>
      <c r="AN29">
        <v>3.16</v>
      </c>
      <c r="AO29">
        <v>23.51</v>
      </c>
      <c r="AP29">
        <v>0</v>
      </c>
      <c r="AQ29">
        <v>2.37</v>
      </c>
      <c r="AR29">
        <v>0.28999999999999998</v>
      </c>
      <c r="AS29">
        <v>0</v>
      </c>
      <c r="AT29">
        <v>95</v>
      </c>
      <c r="AU29">
        <v>65</v>
      </c>
      <c r="AV29">
        <v>1</v>
      </c>
      <c r="AW29">
        <v>1</v>
      </c>
      <c r="AZ29">
        <v>1</v>
      </c>
      <c r="BA29">
        <v>30.52</v>
      </c>
      <c r="BB29">
        <v>9.14</v>
      </c>
      <c r="BC29">
        <v>9.75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2</v>
      </c>
      <c r="BJ29" t="s">
        <v>52</v>
      </c>
      <c r="BM29">
        <v>108001</v>
      </c>
      <c r="BN29">
        <v>0</v>
      </c>
      <c r="BO29" t="s">
        <v>50</v>
      </c>
      <c r="BP29">
        <v>1</v>
      </c>
      <c r="BQ29">
        <v>3</v>
      </c>
      <c r="BR29">
        <v>0</v>
      </c>
      <c r="BS29">
        <v>30.52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95</v>
      </c>
      <c r="CA29">
        <v>65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5"/>
        <v>1044.6199999999999</v>
      </c>
      <c r="CQ29">
        <f t="shared" si="36"/>
        <v>32.954999999999998</v>
      </c>
      <c r="CR29">
        <f t="shared" si="37"/>
        <v>294.12520000000001</v>
      </c>
      <c r="CS29">
        <f t="shared" si="38"/>
        <v>96.443200000000004</v>
      </c>
      <c r="CT29">
        <f t="shared" si="39"/>
        <v>717.52520000000004</v>
      </c>
      <c r="CU29">
        <f t="shared" si="40"/>
        <v>0</v>
      </c>
      <c r="CV29">
        <f t="shared" si="41"/>
        <v>2.37</v>
      </c>
      <c r="CW29">
        <f t="shared" si="42"/>
        <v>0.28999999999999998</v>
      </c>
      <c r="CX29">
        <f t="shared" si="43"/>
        <v>0</v>
      </c>
      <c r="CY29">
        <f t="shared" si="53"/>
        <v>773.27150000000006</v>
      </c>
      <c r="CZ29">
        <f t="shared" si="54"/>
        <v>529.08050000000003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38</v>
      </c>
      <c r="DW29" t="s">
        <v>38</v>
      </c>
      <c r="DX29">
        <v>1</v>
      </c>
      <c r="EE29">
        <v>41318495</v>
      </c>
      <c r="EF29">
        <v>3</v>
      </c>
      <c r="EG29" t="s">
        <v>25</v>
      </c>
      <c r="EH29">
        <v>0</v>
      </c>
      <c r="EI29" t="s">
        <v>3</v>
      </c>
      <c r="EJ29">
        <v>2</v>
      </c>
      <c r="EK29">
        <v>108001</v>
      </c>
      <c r="EL29" t="s">
        <v>53</v>
      </c>
      <c r="EM29" t="s">
        <v>54</v>
      </c>
      <c r="EO29" t="s">
        <v>3</v>
      </c>
      <c r="EQ29">
        <v>0</v>
      </c>
      <c r="ER29">
        <v>59.07</v>
      </c>
      <c r="ES29">
        <v>3.38</v>
      </c>
      <c r="ET29">
        <v>32.18</v>
      </c>
      <c r="EU29">
        <v>3.16</v>
      </c>
      <c r="EV29">
        <v>23.51</v>
      </c>
      <c r="EW29">
        <v>2.37</v>
      </c>
      <c r="EX29">
        <v>0.28999999999999998</v>
      </c>
      <c r="EY29">
        <v>0</v>
      </c>
      <c r="FQ29">
        <v>0</v>
      </c>
      <c r="FR29">
        <f t="shared" si="44"/>
        <v>0</v>
      </c>
      <c r="FS29">
        <v>0</v>
      </c>
      <c r="FX29">
        <v>95</v>
      </c>
      <c r="FY29">
        <v>65</v>
      </c>
      <c r="GA29" t="s">
        <v>3</v>
      </c>
      <c r="GD29">
        <v>1</v>
      </c>
      <c r="GF29">
        <v>-1126504097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5"/>
        <v>0</v>
      </c>
      <c r="GM29">
        <f t="shared" si="46"/>
        <v>2346.9699999999998</v>
      </c>
      <c r="GN29">
        <f t="shared" si="47"/>
        <v>0</v>
      </c>
      <c r="GO29">
        <f t="shared" si="48"/>
        <v>2346.9699999999998</v>
      </c>
      <c r="GP29">
        <f t="shared" si="49"/>
        <v>0</v>
      </c>
      <c r="GR29">
        <v>0</v>
      </c>
      <c r="GS29">
        <v>3</v>
      </c>
      <c r="GT29">
        <v>0</v>
      </c>
      <c r="GU29" t="s">
        <v>3</v>
      </c>
      <c r="GV29">
        <f t="shared" si="50"/>
        <v>0</v>
      </c>
      <c r="GW29">
        <v>1</v>
      </c>
      <c r="GX29">
        <f t="shared" si="51"/>
        <v>0</v>
      </c>
      <c r="HA29">
        <v>0</v>
      </c>
      <c r="HB29">
        <v>0</v>
      </c>
      <c r="HC29">
        <f t="shared" si="52"/>
        <v>0</v>
      </c>
      <c r="IK29">
        <v>0</v>
      </c>
    </row>
    <row r="30" spans="1:245" x14ac:dyDescent="0.2">
      <c r="A30">
        <v>17</v>
      </c>
      <c r="B30">
        <v>1</v>
      </c>
      <c r="E30" t="s">
        <v>55</v>
      </c>
      <c r="F30" t="s">
        <v>56</v>
      </c>
      <c r="G30" t="s">
        <v>57</v>
      </c>
      <c r="H30" t="s">
        <v>44</v>
      </c>
      <c r="I30">
        <f t="shared" si="14"/>
        <v>1</v>
      </c>
      <c r="J30">
        <v>0</v>
      </c>
      <c r="O30">
        <f t="shared" si="15"/>
        <v>2276.1999999999998</v>
      </c>
      <c r="P30">
        <f t="shared" si="16"/>
        <v>2276.1999999999998</v>
      </c>
      <c r="Q30">
        <f t="shared" si="17"/>
        <v>0</v>
      </c>
      <c r="R30">
        <f t="shared" si="18"/>
        <v>0</v>
      </c>
      <c r="S30">
        <f t="shared" si="19"/>
        <v>0</v>
      </c>
      <c r="T30">
        <f t="shared" si="20"/>
        <v>0</v>
      </c>
      <c r="U30">
        <f t="shared" si="21"/>
        <v>0</v>
      </c>
      <c r="V30">
        <f t="shared" si="22"/>
        <v>0</v>
      </c>
      <c r="W30">
        <f t="shared" si="23"/>
        <v>0.01</v>
      </c>
      <c r="X30">
        <f t="shared" si="24"/>
        <v>0</v>
      </c>
      <c r="Y30">
        <f t="shared" si="25"/>
        <v>0</v>
      </c>
      <c r="AA30">
        <v>43156991</v>
      </c>
      <c r="AB30">
        <f t="shared" si="26"/>
        <v>194.88</v>
      </c>
      <c r="AC30">
        <f t="shared" si="27"/>
        <v>194.88</v>
      </c>
      <c r="AD30">
        <f t="shared" si="28"/>
        <v>0</v>
      </c>
      <c r="AE30">
        <f t="shared" si="29"/>
        <v>0</v>
      </c>
      <c r="AF30">
        <f t="shared" si="30"/>
        <v>0</v>
      </c>
      <c r="AG30">
        <f t="shared" si="31"/>
        <v>0</v>
      </c>
      <c r="AH30">
        <f t="shared" si="32"/>
        <v>0</v>
      </c>
      <c r="AI30">
        <f t="shared" si="33"/>
        <v>0</v>
      </c>
      <c r="AJ30">
        <f t="shared" si="34"/>
        <v>0.01</v>
      </c>
      <c r="AK30">
        <v>194.88</v>
      </c>
      <c r="AL30">
        <v>194.88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0.01</v>
      </c>
      <c r="AT30">
        <v>0</v>
      </c>
      <c r="AU30">
        <v>0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11.68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2</v>
      </c>
      <c r="BJ30" t="s">
        <v>58</v>
      </c>
      <c r="BM30">
        <v>500002</v>
      </c>
      <c r="BN30">
        <v>0</v>
      </c>
      <c r="BO30" t="s">
        <v>56</v>
      </c>
      <c r="BP30">
        <v>1</v>
      </c>
      <c r="BQ30">
        <v>12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0</v>
      </c>
      <c r="CA30">
        <v>0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5"/>
        <v>2276.1999999999998</v>
      </c>
      <c r="CQ30">
        <f t="shared" si="36"/>
        <v>2276.1983999999998</v>
      </c>
      <c r="CR30">
        <f t="shared" si="37"/>
        <v>0</v>
      </c>
      <c r="CS30">
        <f t="shared" si="38"/>
        <v>0</v>
      </c>
      <c r="CT30">
        <f t="shared" si="39"/>
        <v>0</v>
      </c>
      <c r="CU30">
        <f t="shared" si="40"/>
        <v>0</v>
      </c>
      <c r="CV30">
        <f t="shared" si="41"/>
        <v>0</v>
      </c>
      <c r="CW30">
        <f t="shared" si="42"/>
        <v>0</v>
      </c>
      <c r="CX30">
        <f t="shared" si="43"/>
        <v>0.01</v>
      </c>
      <c r="CY30">
        <f t="shared" si="53"/>
        <v>0</v>
      </c>
      <c r="CZ30">
        <f t="shared" si="54"/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1010</v>
      </c>
      <c r="DV30" t="s">
        <v>44</v>
      </c>
      <c r="DW30" t="s">
        <v>44</v>
      </c>
      <c r="DX30">
        <v>1</v>
      </c>
      <c r="EE30">
        <v>41318551</v>
      </c>
      <c r="EF30">
        <v>12</v>
      </c>
      <c r="EG30" t="s">
        <v>46</v>
      </c>
      <c r="EH30">
        <v>0</v>
      </c>
      <c r="EI30" t="s">
        <v>3</v>
      </c>
      <c r="EJ30">
        <v>2</v>
      </c>
      <c r="EK30">
        <v>500002</v>
      </c>
      <c r="EL30" t="s">
        <v>47</v>
      </c>
      <c r="EM30" t="s">
        <v>48</v>
      </c>
      <c r="EO30" t="s">
        <v>3</v>
      </c>
      <c r="EQ30">
        <v>0</v>
      </c>
      <c r="ER30">
        <v>194.88</v>
      </c>
      <c r="ES30">
        <v>194.88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FQ30">
        <v>0</v>
      </c>
      <c r="FR30">
        <f t="shared" si="44"/>
        <v>0</v>
      </c>
      <c r="FS30">
        <v>0</v>
      </c>
      <c r="FX30">
        <v>0</v>
      </c>
      <c r="FY30">
        <v>0</v>
      </c>
      <c r="GA30" t="s">
        <v>3</v>
      </c>
      <c r="GD30">
        <v>1</v>
      </c>
      <c r="GF30">
        <v>655564153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5"/>
        <v>0</v>
      </c>
      <c r="GM30">
        <f t="shared" si="46"/>
        <v>2276.1999999999998</v>
      </c>
      <c r="GN30">
        <f t="shared" si="47"/>
        <v>0</v>
      </c>
      <c r="GO30">
        <f t="shared" si="48"/>
        <v>2276.1999999999998</v>
      </c>
      <c r="GP30">
        <f t="shared" si="49"/>
        <v>0</v>
      </c>
      <c r="GR30">
        <v>0</v>
      </c>
      <c r="GS30">
        <v>3</v>
      </c>
      <c r="GT30">
        <v>0</v>
      </c>
      <c r="GU30" t="s">
        <v>3</v>
      </c>
      <c r="GV30">
        <f t="shared" si="50"/>
        <v>0</v>
      </c>
      <c r="GW30">
        <v>1</v>
      </c>
      <c r="GX30">
        <f t="shared" si="51"/>
        <v>0</v>
      </c>
      <c r="HA30">
        <v>0</v>
      </c>
      <c r="HB30">
        <v>0</v>
      </c>
      <c r="HC30">
        <f t="shared" si="52"/>
        <v>0</v>
      </c>
      <c r="IK30">
        <v>0</v>
      </c>
    </row>
    <row r="31" spans="1:245" x14ac:dyDescent="0.2">
      <c r="A31">
        <v>17</v>
      </c>
      <c r="B31">
        <v>1</v>
      </c>
      <c r="C31">
        <f>ROW(SmtRes!A45)</f>
        <v>45</v>
      </c>
      <c r="D31">
        <f>ROW(EtalonRes!A47)</f>
        <v>47</v>
      </c>
      <c r="E31" t="s">
        <v>59</v>
      </c>
      <c r="F31" t="s">
        <v>60</v>
      </c>
      <c r="G31" t="s">
        <v>61</v>
      </c>
      <c r="H31" t="s">
        <v>38</v>
      </c>
      <c r="I31">
        <f t="shared" si="14"/>
        <v>1</v>
      </c>
      <c r="J31">
        <v>0</v>
      </c>
      <c r="O31">
        <f t="shared" si="15"/>
        <v>4086.39</v>
      </c>
      <c r="P31">
        <f t="shared" si="16"/>
        <v>293.83</v>
      </c>
      <c r="Q31">
        <f t="shared" si="17"/>
        <v>374.01</v>
      </c>
      <c r="R31">
        <f t="shared" si="18"/>
        <v>135.19999999999999</v>
      </c>
      <c r="S31">
        <f t="shared" si="19"/>
        <v>3418.55</v>
      </c>
      <c r="T31">
        <f t="shared" si="20"/>
        <v>0</v>
      </c>
      <c r="U31">
        <f t="shared" si="21"/>
        <v>10.1</v>
      </c>
      <c r="V31">
        <f t="shared" si="22"/>
        <v>0.44</v>
      </c>
      <c r="W31">
        <f t="shared" si="23"/>
        <v>0</v>
      </c>
      <c r="X31">
        <f t="shared" si="24"/>
        <v>2843</v>
      </c>
      <c r="Y31">
        <f t="shared" si="25"/>
        <v>2132.25</v>
      </c>
      <c r="AA31">
        <v>43156991</v>
      </c>
      <c r="AB31">
        <f t="shared" si="26"/>
        <v>189.85</v>
      </c>
      <c r="AC31">
        <f t="shared" si="27"/>
        <v>33.89</v>
      </c>
      <c r="AD31">
        <f t="shared" si="28"/>
        <v>43.95</v>
      </c>
      <c r="AE31">
        <f t="shared" si="29"/>
        <v>4.43</v>
      </c>
      <c r="AF31">
        <f t="shared" si="30"/>
        <v>112.01</v>
      </c>
      <c r="AG31">
        <f t="shared" si="31"/>
        <v>0</v>
      </c>
      <c r="AH31">
        <f t="shared" si="32"/>
        <v>10.1</v>
      </c>
      <c r="AI31">
        <f t="shared" si="33"/>
        <v>0.44</v>
      </c>
      <c r="AJ31">
        <f t="shared" si="34"/>
        <v>0</v>
      </c>
      <c r="AK31">
        <v>189.85</v>
      </c>
      <c r="AL31">
        <v>33.89</v>
      </c>
      <c r="AM31">
        <v>43.95</v>
      </c>
      <c r="AN31">
        <v>4.43</v>
      </c>
      <c r="AO31">
        <v>112.01</v>
      </c>
      <c r="AP31">
        <v>0</v>
      </c>
      <c r="AQ31">
        <v>10.1</v>
      </c>
      <c r="AR31">
        <v>0.44</v>
      </c>
      <c r="AS31">
        <v>0</v>
      </c>
      <c r="AT31">
        <v>80</v>
      </c>
      <c r="AU31">
        <v>60</v>
      </c>
      <c r="AV31">
        <v>1</v>
      </c>
      <c r="AW31">
        <v>1</v>
      </c>
      <c r="AZ31">
        <v>1</v>
      </c>
      <c r="BA31">
        <v>30.52</v>
      </c>
      <c r="BB31">
        <v>8.51</v>
      </c>
      <c r="BC31">
        <v>8.67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2</v>
      </c>
      <c r="BJ31" t="s">
        <v>62</v>
      </c>
      <c r="BM31">
        <v>110001</v>
      </c>
      <c r="BN31">
        <v>0</v>
      </c>
      <c r="BO31" t="s">
        <v>60</v>
      </c>
      <c r="BP31">
        <v>1</v>
      </c>
      <c r="BQ31">
        <v>3</v>
      </c>
      <c r="BR31">
        <v>0</v>
      </c>
      <c r="BS31">
        <v>30.52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80</v>
      </c>
      <c r="CA31">
        <v>60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5"/>
        <v>4086.3900000000003</v>
      </c>
      <c r="CQ31">
        <f t="shared" si="36"/>
        <v>293.8263</v>
      </c>
      <c r="CR31">
        <f t="shared" si="37"/>
        <v>374.0145</v>
      </c>
      <c r="CS31">
        <f t="shared" si="38"/>
        <v>135.20359999999999</v>
      </c>
      <c r="CT31">
        <f t="shared" si="39"/>
        <v>3418.5452</v>
      </c>
      <c r="CU31">
        <f t="shared" si="40"/>
        <v>0</v>
      </c>
      <c r="CV31">
        <f t="shared" si="41"/>
        <v>10.1</v>
      </c>
      <c r="CW31">
        <f t="shared" si="42"/>
        <v>0.44</v>
      </c>
      <c r="CX31">
        <f t="shared" si="43"/>
        <v>0</v>
      </c>
      <c r="CY31">
        <f t="shared" si="53"/>
        <v>2843</v>
      </c>
      <c r="CZ31">
        <f t="shared" si="54"/>
        <v>2132.25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38</v>
      </c>
      <c r="DW31" t="s">
        <v>38</v>
      </c>
      <c r="DX31">
        <v>1</v>
      </c>
      <c r="EE31">
        <v>41318499</v>
      </c>
      <c r="EF31">
        <v>3</v>
      </c>
      <c r="EG31" t="s">
        <v>25</v>
      </c>
      <c r="EH31">
        <v>0</v>
      </c>
      <c r="EI31" t="s">
        <v>3</v>
      </c>
      <c r="EJ31">
        <v>2</v>
      </c>
      <c r="EK31">
        <v>110001</v>
      </c>
      <c r="EL31" t="s">
        <v>63</v>
      </c>
      <c r="EM31" t="s">
        <v>27</v>
      </c>
      <c r="EO31" t="s">
        <v>3</v>
      </c>
      <c r="EQ31">
        <v>131072</v>
      </c>
      <c r="ER31">
        <v>189.85</v>
      </c>
      <c r="ES31">
        <v>33.89</v>
      </c>
      <c r="ET31">
        <v>43.95</v>
      </c>
      <c r="EU31">
        <v>4.43</v>
      </c>
      <c r="EV31">
        <v>112.01</v>
      </c>
      <c r="EW31">
        <v>10.1</v>
      </c>
      <c r="EX31">
        <v>0.44</v>
      </c>
      <c r="EY31">
        <v>0</v>
      </c>
      <c r="FQ31">
        <v>0</v>
      </c>
      <c r="FR31">
        <f t="shared" si="44"/>
        <v>0</v>
      </c>
      <c r="FS31">
        <v>0</v>
      </c>
      <c r="FX31">
        <v>80</v>
      </c>
      <c r="FY31">
        <v>60</v>
      </c>
      <c r="GA31" t="s">
        <v>3</v>
      </c>
      <c r="GD31">
        <v>1</v>
      </c>
      <c r="GF31">
        <v>1434967353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45"/>
        <v>0</v>
      </c>
      <c r="GM31">
        <f t="shared" si="46"/>
        <v>9061.64</v>
      </c>
      <c r="GN31">
        <f t="shared" si="47"/>
        <v>0</v>
      </c>
      <c r="GO31">
        <f t="shared" si="48"/>
        <v>9061.64</v>
      </c>
      <c r="GP31">
        <f t="shared" si="49"/>
        <v>0</v>
      </c>
      <c r="GR31">
        <v>0</v>
      </c>
      <c r="GS31">
        <v>3</v>
      </c>
      <c r="GT31">
        <v>0</v>
      </c>
      <c r="GU31" t="s">
        <v>3</v>
      </c>
      <c r="GV31">
        <f t="shared" si="50"/>
        <v>0</v>
      </c>
      <c r="GW31">
        <v>1</v>
      </c>
      <c r="GX31">
        <f t="shared" si="51"/>
        <v>0</v>
      </c>
      <c r="HA31">
        <v>0</v>
      </c>
      <c r="HB31">
        <v>0</v>
      </c>
      <c r="HC31">
        <f t="shared" si="52"/>
        <v>0</v>
      </c>
      <c r="IK31">
        <v>0</v>
      </c>
    </row>
    <row r="32" spans="1:245" x14ac:dyDescent="0.2">
      <c r="A32">
        <v>17</v>
      </c>
      <c r="B32">
        <v>1</v>
      </c>
      <c r="E32" t="s">
        <v>64</v>
      </c>
      <c r="F32" t="s">
        <v>65</v>
      </c>
      <c r="G32" t="s">
        <v>66</v>
      </c>
      <c r="H32" t="s">
        <v>44</v>
      </c>
      <c r="I32">
        <f t="shared" si="14"/>
        <v>1</v>
      </c>
      <c r="J32">
        <v>0</v>
      </c>
      <c r="O32">
        <f t="shared" si="15"/>
        <v>960.02</v>
      </c>
      <c r="P32">
        <f t="shared" si="16"/>
        <v>960.02</v>
      </c>
      <c r="Q32">
        <f t="shared" si="17"/>
        <v>0</v>
      </c>
      <c r="R32">
        <f t="shared" si="18"/>
        <v>0</v>
      </c>
      <c r="S32">
        <f t="shared" si="19"/>
        <v>0</v>
      </c>
      <c r="T32">
        <f t="shared" si="20"/>
        <v>0</v>
      </c>
      <c r="U32">
        <f t="shared" si="21"/>
        <v>0</v>
      </c>
      <c r="V32">
        <f t="shared" si="22"/>
        <v>0</v>
      </c>
      <c r="W32">
        <f t="shared" si="23"/>
        <v>0.03</v>
      </c>
      <c r="X32">
        <f t="shared" si="24"/>
        <v>0</v>
      </c>
      <c r="Y32">
        <f t="shared" si="25"/>
        <v>0</v>
      </c>
      <c r="AA32">
        <v>43156991</v>
      </c>
      <c r="AB32">
        <f t="shared" si="26"/>
        <v>262.3</v>
      </c>
      <c r="AC32">
        <f t="shared" si="27"/>
        <v>262.3</v>
      </c>
      <c r="AD32">
        <f t="shared" si="28"/>
        <v>0</v>
      </c>
      <c r="AE32">
        <f t="shared" si="29"/>
        <v>0</v>
      </c>
      <c r="AF32">
        <f t="shared" si="30"/>
        <v>0</v>
      </c>
      <c r="AG32">
        <f t="shared" si="31"/>
        <v>0</v>
      </c>
      <c r="AH32">
        <f t="shared" si="32"/>
        <v>0</v>
      </c>
      <c r="AI32">
        <f t="shared" si="33"/>
        <v>0</v>
      </c>
      <c r="AJ32">
        <f t="shared" si="34"/>
        <v>0.03</v>
      </c>
      <c r="AK32">
        <v>262.3</v>
      </c>
      <c r="AL32">
        <v>262.3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0.03</v>
      </c>
      <c r="AT32">
        <v>0</v>
      </c>
      <c r="AU32">
        <v>0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3.66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2</v>
      </c>
      <c r="BJ32" t="s">
        <v>67</v>
      </c>
      <c r="BM32">
        <v>500002</v>
      </c>
      <c r="BN32">
        <v>0</v>
      </c>
      <c r="BO32" t="s">
        <v>65</v>
      </c>
      <c r="BP32">
        <v>1</v>
      </c>
      <c r="BQ32">
        <v>12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0</v>
      </c>
      <c r="CA32">
        <v>0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5"/>
        <v>960.02</v>
      </c>
      <c r="CQ32">
        <f t="shared" si="36"/>
        <v>960.01800000000003</v>
      </c>
      <c r="CR32">
        <f t="shared" si="37"/>
        <v>0</v>
      </c>
      <c r="CS32">
        <f t="shared" si="38"/>
        <v>0</v>
      </c>
      <c r="CT32">
        <f t="shared" si="39"/>
        <v>0</v>
      </c>
      <c r="CU32">
        <f t="shared" si="40"/>
        <v>0</v>
      </c>
      <c r="CV32">
        <f t="shared" si="41"/>
        <v>0</v>
      </c>
      <c r="CW32">
        <f t="shared" si="42"/>
        <v>0</v>
      </c>
      <c r="CX32">
        <f t="shared" si="43"/>
        <v>0.03</v>
      </c>
      <c r="CY32">
        <f t="shared" si="53"/>
        <v>0</v>
      </c>
      <c r="CZ32">
        <f t="shared" si="54"/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1010</v>
      </c>
      <c r="DV32" t="s">
        <v>44</v>
      </c>
      <c r="DW32" t="s">
        <v>44</v>
      </c>
      <c r="DX32">
        <v>1</v>
      </c>
      <c r="EE32">
        <v>41318551</v>
      </c>
      <c r="EF32">
        <v>12</v>
      </c>
      <c r="EG32" t="s">
        <v>46</v>
      </c>
      <c r="EH32">
        <v>0</v>
      </c>
      <c r="EI32" t="s">
        <v>3</v>
      </c>
      <c r="EJ32">
        <v>2</v>
      </c>
      <c r="EK32">
        <v>500002</v>
      </c>
      <c r="EL32" t="s">
        <v>47</v>
      </c>
      <c r="EM32" t="s">
        <v>48</v>
      </c>
      <c r="EO32" t="s">
        <v>3</v>
      </c>
      <c r="EQ32">
        <v>131072</v>
      </c>
      <c r="ER32">
        <v>262.3</v>
      </c>
      <c r="ES32">
        <v>262.3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FQ32">
        <v>0</v>
      </c>
      <c r="FR32">
        <f t="shared" si="44"/>
        <v>0</v>
      </c>
      <c r="FS32">
        <v>0</v>
      </c>
      <c r="FX32">
        <v>0</v>
      </c>
      <c r="FY32">
        <v>0</v>
      </c>
      <c r="GA32" t="s">
        <v>3</v>
      </c>
      <c r="GD32">
        <v>1</v>
      </c>
      <c r="GF32">
        <v>456953619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5"/>
        <v>0</v>
      </c>
      <c r="GM32">
        <f t="shared" si="46"/>
        <v>960.02</v>
      </c>
      <c r="GN32">
        <f t="shared" si="47"/>
        <v>0</v>
      </c>
      <c r="GO32">
        <f t="shared" si="48"/>
        <v>960.02</v>
      </c>
      <c r="GP32">
        <f t="shared" si="49"/>
        <v>0</v>
      </c>
      <c r="GR32">
        <v>0</v>
      </c>
      <c r="GS32">
        <v>3</v>
      </c>
      <c r="GT32">
        <v>0</v>
      </c>
      <c r="GU32" t="s">
        <v>3</v>
      </c>
      <c r="GV32">
        <f t="shared" si="50"/>
        <v>0</v>
      </c>
      <c r="GW32">
        <v>1</v>
      </c>
      <c r="GX32">
        <f t="shared" si="51"/>
        <v>0</v>
      </c>
      <c r="HA32">
        <v>0</v>
      </c>
      <c r="HB32">
        <v>0</v>
      </c>
      <c r="HC32">
        <f t="shared" si="52"/>
        <v>0</v>
      </c>
      <c r="IK32">
        <v>0</v>
      </c>
    </row>
    <row r="33" spans="1:245" x14ac:dyDescent="0.2">
      <c r="A33">
        <v>17</v>
      </c>
      <c r="B33">
        <v>1</v>
      </c>
      <c r="C33">
        <f>ROW(SmtRes!A51)</f>
        <v>51</v>
      </c>
      <c r="D33">
        <f>ROW(EtalonRes!A53)</f>
        <v>53</v>
      </c>
      <c r="E33" t="s">
        <v>68</v>
      </c>
      <c r="F33" t="s">
        <v>69</v>
      </c>
      <c r="G33" t="s">
        <v>70</v>
      </c>
      <c r="H33" t="s">
        <v>38</v>
      </c>
      <c r="I33">
        <f t="shared" si="14"/>
        <v>1</v>
      </c>
      <c r="J33">
        <v>0</v>
      </c>
      <c r="O33">
        <f t="shared" si="15"/>
        <v>679.35</v>
      </c>
      <c r="P33">
        <f t="shared" si="16"/>
        <v>74.44</v>
      </c>
      <c r="Q33">
        <f t="shared" si="17"/>
        <v>0</v>
      </c>
      <c r="R33">
        <f t="shared" si="18"/>
        <v>0</v>
      </c>
      <c r="S33">
        <f t="shared" si="19"/>
        <v>604.91</v>
      </c>
      <c r="T33">
        <f t="shared" si="20"/>
        <v>0</v>
      </c>
      <c r="U33">
        <f t="shared" si="21"/>
        <v>2.06</v>
      </c>
      <c r="V33">
        <f t="shared" si="22"/>
        <v>0</v>
      </c>
      <c r="W33">
        <f t="shared" si="23"/>
        <v>0</v>
      </c>
      <c r="X33">
        <f t="shared" si="24"/>
        <v>574.66</v>
      </c>
      <c r="Y33">
        <f t="shared" si="25"/>
        <v>393.19</v>
      </c>
      <c r="AA33">
        <v>43156991</v>
      </c>
      <c r="AB33">
        <f t="shared" si="26"/>
        <v>36.700000000000003</v>
      </c>
      <c r="AC33">
        <f t="shared" si="27"/>
        <v>16.88</v>
      </c>
      <c r="AD33">
        <f t="shared" si="28"/>
        <v>0</v>
      </c>
      <c r="AE33">
        <f t="shared" si="29"/>
        <v>0</v>
      </c>
      <c r="AF33">
        <f t="shared" si="30"/>
        <v>19.82</v>
      </c>
      <c r="AG33">
        <f t="shared" si="31"/>
        <v>0</v>
      </c>
      <c r="AH33">
        <f t="shared" si="32"/>
        <v>2.06</v>
      </c>
      <c r="AI33">
        <f t="shared" si="33"/>
        <v>0</v>
      </c>
      <c r="AJ33">
        <f t="shared" si="34"/>
        <v>0</v>
      </c>
      <c r="AK33">
        <v>36.700000000000003</v>
      </c>
      <c r="AL33">
        <v>16.88</v>
      </c>
      <c r="AM33">
        <v>0</v>
      </c>
      <c r="AN33">
        <v>0</v>
      </c>
      <c r="AO33">
        <v>19.82</v>
      </c>
      <c r="AP33">
        <v>0</v>
      </c>
      <c r="AQ33">
        <v>2.06</v>
      </c>
      <c r="AR33">
        <v>0</v>
      </c>
      <c r="AS33">
        <v>0</v>
      </c>
      <c r="AT33">
        <v>95</v>
      </c>
      <c r="AU33">
        <v>65</v>
      </c>
      <c r="AV33">
        <v>1</v>
      </c>
      <c r="AW33">
        <v>1</v>
      </c>
      <c r="AZ33">
        <v>1</v>
      </c>
      <c r="BA33">
        <v>30.52</v>
      </c>
      <c r="BB33">
        <v>1</v>
      </c>
      <c r="BC33">
        <v>4.41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2</v>
      </c>
      <c r="BJ33" t="s">
        <v>71</v>
      </c>
      <c r="BM33">
        <v>108001</v>
      </c>
      <c r="BN33">
        <v>0</v>
      </c>
      <c r="BO33" t="s">
        <v>69</v>
      </c>
      <c r="BP33">
        <v>1</v>
      </c>
      <c r="BQ33">
        <v>3</v>
      </c>
      <c r="BR33">
        <v>0</v>
      </c>
      <c r="BS33">
        <v>30.52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95</v>
      </c>
      <c r="CA33">
        <v>65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5"/>
        <v>679.34999999999991</v>
      </c>
      <c r="CQ33">
        <f t="shared" si="36"/>
        <v>74.440799999999996</v>
      </c>
      <c r="CR33">
        <f t="shared" si="37"/>
        <v>0</v>
      </c>
      <c r="CS33">
        <f t="shared" si="38"/>
        <v>0</v>
      </c>
      <c r="CT33">
        <f t="shared" si="39"/>
        <v>604.90639999999996</v>
      </c>
      <c r="CU33">
        <f t="shared" si="40"/>
        <v>0</v>
      </c>
      <c r="CV33">
        <f t="shared" si="41"/>
        <v>2.06</v>
      </c>
      <c r="CW33">
        <f t="shared" si="42"/>
        <v>0</v>
      </c>
      <c r="CX33">
        <f t="shared" si="43"/>
        <v>0</v>
      </c>
      <c r="CY33">
        <f t="shared" si="53"/>
        <v>574.66449999999998</v>
      </c>
      <c r="CZ33">
        <f t="shared" si="54"/>
        <v>393.19150000000002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38</v>
      </c>
      <c r="DW33" t="s">
        <v>38</v>
      </c>
      <c r="DX33">
        <v>1</v>
      </c>
      <c r="EE33">
        <v>41318495</v>
      </c>
      <c r="EF33">
        <v>3</v>
      </c>
      <c r="EG33" t="s">
        <v>25</v>
      </c>
      <c r="EH33">
        <v>0</v>
      </c>
      <c r="EI33" t="s">
        <v>3</v>
      </c>
      <c r="EJ33">
        <v>2</v>
      </c>
      <c r="EK33">
        <v>108001</v>
      </c>
      <c r="EL33" t="s">
        <v>53</v>
      </c>
      <c r="EM33" t="s">
        <v>54</v>
      </c>
      <c r="EO33" t="s">
        <v>3</v>
      </c>
      <c r="EQ33">
        <v>131072</v>
      </c>
      <c r="ER33">
        <v>36.700000000000003</v>
      </c>
      <c r="ES33">
        <v>16.88</v>
      </c>
      <c r="ET33">
        <v>0</v>
      </c>
      <c r="EU33">
        <v>0</v>
      </c>
      <c r="EV33">
        <v>19.82</v>
      </c>
      <c r="EW33">
        <v>2.06</v>
      </c>
      <c r="EX33">
        <v>0</v>
      </c>
      <c r="EY33">
        <v>0</v>
      </c>
      <c r="FQ33">
        <v>0</v>
      </c>
      <c r="FR33">
        <f t="shared" si="44"/>
        <v>0</v>
      </c>
      <c r="FS33">
        <v>0</v>
      </c>
      <c r="FX33">
        <v>95</v>
      </c>
      <c r="FY33">
        <v>65</v>
      </c>
      <c r="GA33" t="s">
        <v>3</v>
      </c>
      <c r="GD33">
        <v>1</v>
      </c>
      <c r="GF33">
        <v>820395820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5"/>
        <v>0</v>
      </c>
      <c r="GM33">
        <f t="shared" si="46"/>
        <v>1647.2</v>
      </c>
      <c r="GN33">
        <f t="shared" si="47"/>
        <v>0</v>
      </c>
      <c r="GO33">
        <f t="shared" si="48"/>
        <v>1647.2</v>
      </c>
      <c r="GP33">
        <f t="shared" si="49"/>
        <v>0</v>
      </c>
      <c r="GR33">
        <v>0</v>
      </c>
      <c r="GS33">
        <v>3</v>
      </c>
      <c r="GT33">
        <v>0</v>
      </c>
      <c r="GU33" t="s">
        <v>3</v>
      </c>
      <c r="GV33">
        <f t="shared" si="50"/>
        <v>0</v>
      </c>
      <c r="GW33">
        <v>1</v>
      </c>
      <c r="GX33">
        <f t="shared" si="51"/>
        <v>0</v>
      </c>
      <c r="HA33">
        <v>0</v>
      </c>
      <c r="HB33">
        <v>0</v>
      </c>
      <c r="HC33">
        <f t="shared" si="52"/>
        <v>0</v>
      </c>
      <c r="IK33">
        <v>0</v>
      </c>
    </row>
    <row r="34" spans="1:245" x14ac:dyDescent="0.2">
      <c r="A34">
        <v>17</v>
      </c>
      <c r="B34">
        <v>1</v>
      </c>
      <c r="E34" t="s">
        <v>72</v>
      </c>
      <c r="F34" t="s">
        <v>73</v>
      </c>
      <c r="G34" t="s">
        <v>74</v>
      </c>
      <c r="H34" t="s">
        <v>44</v>
      </c>
      <c r="I34">
        <f t="shared" si="14"/>
        <v>1</v>
      </c>
      <c r="J34">
        <v>0</v>
      </c>
      <c r="O34">
        <f t="shared" si="15"/>
        <v>452.5</v>
      </c>
      <c r="P34">
        <f t="shared" si="16"/>
        <v>452.5</v>
      </c>
      <c r="Q34">
        <f t="shared" si="17"/>
        <v>0</v>
      </c>
      <c r="R34">
        <f t="shared" si="18"/>
        <v>0</v>
      </c>
      <c r="S34">
        <f t="shared" si="19"/>
        <v>0</v>
      </c>
      <c r="T34">
        <f t="shared" si="20"/>
        <v>0</v>
      </c>
      <c r="U34">
        <f t="shared" si="21"/>
        <v>0</v>
      </c>
      <c r="V34">
        <f t="shared" si="22"/>
        <v>0</v>
      </c>
      <c r="W34">
        <f t="shared" si="23"/>
        <v>0.11</v>
      </c>
      <c r="X34">
        <f t="shared" si="24"/>
        <v>0</v>
      </c>
      <c r="Y34">
        <f t="shared" si="25"/>
        <v>0</v>
      </c>
      <c r="AA34">
        <v>43156991</v>
      </c>
      <c r="AB34">
        <f t="shared" si="26"/>
        <v>78.97</v>
      </c>
      <c r="AC34">
        <f t="shared" si="27"/>
        <v>78.97</v>
      </c>
      <c r="AD34">
        <f t="shared" si="28"/>
        <v>0</v>
      </c>
      <c r="AE34">
        <f t="shared" si="29"/>
        <v>0</v>
      </c>
      <c r="AF34">
        <f t="shared" si="30"/>
        <v>0</v>
      </c>
      <c r="AG34">
        <f t="shared" si="31"/>
        <v>0</v>
      </c>
      <c r="AH34">
        <f t="shared" si="32"/>
        <v>0</v>
      </c>
      <c r="AI34">
        <f t="shared" si="33"/>
        <v>0</v>
      </c>
      <c r="AJ34">
        <f t="shared" si="34"/>
        <v>0.11</v>
      </c>
      <c r="AK34">
        <v>78.97</v>
      </c>
      <c r="AL34">
        <v>78.97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0.11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5.73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2</v>
      </c>
      <c r="BJ34" t="s">
        <v>75</v>
      </c>
      <c r="BM34">
        <v>500002</v>
      </c>
      <c r="BN34">
        <v>0</v>
      </c>
      <c r="BO34" t="s">
        <v>73</v>
      </c>
      <c r="BP34">
        <v>1</v>
      </c>
      <c r="BQ34">
        <v>12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5"/>
        <v>452.5</v>
      </c>
      <c r="CQ34">
        <f t="shared" si="36"/>
        <v>452.49810000000002</v>
      </c>
      <c r="CR34">
        <f t="shared" si="37"/>
        <v>0</v>
      </c>
      <c r="CS34">
        <f t="shared" si="38"/>
        <v>0</v>
      </c>
      <c r="CT34">
        <f t="shared" si="39"/>
        <v>0</v>
      </c>
      <c r="CU34">
        <f t="shared" si="40"/>
        <v>0</v>
      </c>
      <c r="CV34">
        <f t="shared" si="41"/>
        <v>0</v>
      </c>
      <c r="CW34">
        <f t="shared" si="42"/>
        <v>0</v>
      </c>
      <c r="CX34">
        <f t="shared" si="43"/>
        <v>0.11</v>
      </c>
      <c r="CY34">
        <f t="shared" si="53"/>
        <v>0</v>
      </c>
      <c r="CZ34">
        <f t="shared" si="54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1010</v>
      </c>
      <c r="DV34" t="s">
        <v>44</v>
      </c>
      <c r="DW34" t="s">
        <v>44</v>
      </c>
      <c r="DX34">
        <v>1</v>
      </c>
      <c r="EE34">
        <v>41318551</v>
      </c>
      <c r="EF34">
        <v>12</v>
      </c>
      <c r="EG34" t="s">
        <v>46</v>
      </c>
      <c r="EH34">
        <v>0</v>
      </c>
      <c r="EI34" t="s">
        <v>3</v>
      </c>
      <c r="EJ34">
        <v>2</v>
      </c>
      <c r="EK34">
        <v>500002</v>
      </c>
      <c r="EL34" t="s">
        <v>47</v>
      </c>
      <c r="EM34" t="s">
        <v>48</v>
      </c>
      <c r="EO34" t="s">
        <v>3</v>
      </c>
      <c r="EQ34">
        <v>131072</v>
      </c>
      <c r="ER34">
        <v>78.97</v>
      </c>
      <c r="ES34">
        <v>78.97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FQ34">
        <v>0</v>
      </c>
      <c r="FR34">
        <f t="shared" si="44"/>
        <v>0</v>
      </c>
      <c r="FS34">
        <v>0</v>
      </c>
      <c r="FX34">
        <v>0</v>
      </c>
      <c r="FY34">
        <v>0</v>
      </c>
      <c r="GA34" t="s">
        <v>3</v>
      </c>
      <c r="GD34">
        <v>1</v>
      </c>
      <c r="GF34">
        <v>-955679240</v>
      </c>
      <c r="GG34">
        <v>2</v>
      </c>
      <c r="GH34">
        <v>1</v>
      </c>
      <c r="GI34">
        <v>2</v>
      </c>
      <c r="GJ34">
        <v>0</v>
      </c>
      <c r="GK34">
        <v>0</v>
      </c>
      <c r="GL34">
        <f t="shared" si="45"/>
        <v>0</v>
      </c>
      <c r="GM34">
        <f t="shared" si="46"/>
        <v>452.5</v>
      </c>
      <c r="GN34">
        <f t="shared" si="47"/>
        <v>0</v>
      </c>
      <c r="GO34">
        <f t="shared" si="48"/>
        <v>452.5</v>
      </c>
      <c r="GP34">
        <f t="shared" si="49"/>
        <v>0</v>
      </c>
      <c r="GR34">
        <v>0</v>
      </c>
      <c r="GS34">
        <v>3</v>
      </c>
      <c r="GT34">
        <v>0</v>
      </c>
      <c r="GU34" t="s">
        <v>3</v>
      </c>
      <c r="GV34">
        <f t="shared" si="50"/>
        <v>0</v>
      </c>
      <c r="GW34">
        <v>1</v>
      </c>
      <c r="GX34">
        <f t="shared" si="51"/>
        <v>0</v>
      </c>
      <c r="HA34">
        <v>0</v>
      </c>
      <c r="HB34">
        <v>0</v>
      </c>
      <c r="HC34">
        <f t="shared" si="52"/>
        <v>0</v>
      </c>
      <c r="IK34">
        <v>0</v>
      </c>
    </row>
    <row r="35" spans="1:245" x14ac:dyDescent="0.2">
      <c r="A35">
        <v>17</v>
      </c>
      <c r="B35">
        <v>1</v>
      </c>
      <c r="C35">
        <f>ROW(SmtRes!A54)</f>
        <v>54</v>
      </c>
      <c r="D35">
        <f>ROW(EtalonRes!A56)</f>
        <v>56</v>
      </c>
      <c r="E35" t="s">
        <v>76</v>
      </c>
      <c r="F35" t="s">
        <v>77</v>
      </c>
      <c r="G35" t="s">
        <v>78</v>
      </c>
      <c r="H35" t="s">
        <v>79</v>
      </c>
      <c r="I35">
        <f t="shared" si="14"/>
        <v>1</v>
      </c>
      <c r="J35">
        <v>0</v>
      </c>
      <c r="O35">
        <f t="shared" si="15"/>
        <v>3166.13</v>
      </c>
      <c r="P35">
        <f t="shared" si="16"/>
        <v>62.02</v>
      </c>
      <c r="Q35">
        <f t="shared" si="17"/>
        <v>3.89</v>
      </c>
      <c r="R35">
        <f t="shared" si="18"/>
        <v>0</v>
      </c>
      <c r="S35">
        <f t="shared" si="19"/>
        <v>3100.22</v>
      </c>
      <c r="T35">
        <f t="shared" si="20"/>
        <v>0</v>
      </c>
      <c r="U35">
        <f t="shared" si="21"/>
        <v>9.16</v>
      </c>
      <c r="V35">
        <f t="shared" si="22"/>
        <v>0</v>
      </c>
      <c r="W35">
        <f t="shared" si="23"/>
        <v>0</v>
      </c>
      <c r="X35">
        <f t="shared" si="24"/>
        <v>2852.2</v>
      </c>
      <c r="Y35">
        <f t="shared" si="25"/>
        <v>2015.14</v>
      </c>
      <c r="AA35">
        <v>43156991</v>
      </c>
      <c r="AB35">
        <f t="shared" si="26"/>
        <v>104.04</v>
      </c>
      <c r="AC35">
        <f t="shared" si="27"/>
        <v>2.0299999999999998</v>
      </c>
      <c r="AD35">
        <f t="shared" si="28"/>
        <v>0.43</v>
      </c>
      <c r="AE35">
        <f t="shared" si="29"/>
        <v>0</v>
      </c>
      <c r="AF35">
        <f t="shared" si="30"/>
        <v>101.58</v>
      </c>
      <c r="AG35">
        <f t="shared" si="31"/>
        <v>0</v>
      </c>
      <c r="AH35">
        <f t="shared" si="32"/>
        <v>9.16</v>
      </c>
      <c r="AI35">
        <f t="shared" si="33"/>
        <v>0</v>
      </c>
      <c r="AJ35">
        <f t="shared" si="34"/>
        <v>0</v>
      </c>
      <c r="AK35">
        <v>104.04</v>
      </c>
      <c r="AL35">
        <v>2.0299999999999998</v>
      </c>
      <c r="AM35">
        <v>0.43</v>
      </c>
      <c r="AN35">
        <v>0</v>
      </c>
      <c r="AO35">
        <v>101.58</v>
      </c>
      <c r="AP35">
        <v>0</v>
      </c>
      <c r="AQ35">
        <v>9.16</v>
      </c>
      <c r="AR35">
        <v>0</v>
      </c>
      <c r="AS35">
        <v>0</v>
      </c>
      <c r="AT35">
        <v>92</v>
      </c>
      <c r="AU35">
        <v>65</v>
      </c>
      <c r="AV35">
        <v>1</v>
      </c>
      <c r="AW35">
        <v>1</v>
      </c>
      <c r="AZ35">
        <v>1</v>
      </c>
      <c r="BA35">
        <v>30.52</v>
      </c>
      <c r="BB35">
        <v>9.0500000000000007</v>
      </c>
      <c r="BC35">
        <v>30.55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2</v>
      </c>
      <c r="BJ35" t="s">
        <v>80</v>
      </c>
      <c r="BM35">
        <v>110004</v>
      </c>
      <c r="BN35">
        <v>0</v>
      </c>
      <c r="BO35" t="s">
        <v>81</v>
      </c>
      <c r="BP35">
        <v>1</v>
      </c>
      <c r="BQ35">
        <v>3</v>
      </c>
      <c r="BR35">
        <v>0</v>
      </c>
      <c r="BS35">
        <v>30.52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92</v>
      </c>
      <c r="CA35">
        <v>65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5"/>
        <v>3166.1299999999997</v>
      </c>
      <c r="CQ35">
        <f t="shared" si="36"/>
        <v>62.016499999999994</v>
      </c>
      <c r="CR35">
        <f t="shared" si="37"/>
        <v>3.8915000000000002</v>
      </c>
      <c r="CS35">
        <f t="shared" si="38"/>
        <v>0</v>
      </c>
      <c r="CT35">
        <f t="shared" si="39"/>
        <v>3100.2215999999999</v>
      </c>
      <c r="CU35">
        <f t="shared" si="40"/>
        <v>0</v>
      </c>
      <c r="CV35">
        <f t="shared" si="41"/>
        <v>9.16</v>
      </c>
      <c r="CW35">
        <f t="shared" si="42"/>
        <v>0</v>
      </c>
      <c r="CX35">
        <f t="shared" si="43"/>
        <v>0</v>
      </c>
      <c r="CY35">
        <f t="shared" si="53"/>
        <v>2852.2024000000001</v>
      </c>
      <c r="CZ35">
        <f t="shared" si="54"/>
        <v>2015.1429999999998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79</v>
      </c>
      <c r="DW35" t="s">
        <v>79</v>
      </c>
      <c r="DX35">
        <v>1</v>
      </c>
      <c r="EE35">
        <v>41318500</v>
      </c>
      <c r="EF35">
        <v>3</v>
      </c>
      <c r="EG35" t="s">
        <v>25</v>
      </c>
      <c r="EH35">
        <v>0</v>
      </c>
      <c r="EI35" t="s">
        <v>3</v>
      </c>
      <c r="EJ35">
        <v>2</v>
      </c>
      <c r="EK35">
        <v>110004</v>
      </c>
      <c r="EL35" t="s">
        <v>26</v>
      </c>
      <c r="EM35" t="s">
        <v>27</v>
      </c>
      <c r="EO35" t="s">
        <v>3</v>
      </c>
      <c r="EQ35">
        <v>131072</v>
      </c>
      <c r="ER35">
        <v>104.04</v>
      </c>
      <c r="ES35">
        <v>2.0299999999999998</v>
      </c>
      <c r="ET35">
        <v>0.43</v>
      </c>
      <c r="EU35">
        <v>0</v>
      </c>
      <c r="EV35">
        <v>101.58</v>
      </c>
      <c r="EW35">
        <v>9.16</v>
      </c>
      <c r="EX35">
        <v>0</v>
      </c>
      <c r="EY35">
        <v>0</v>
      </c>
      <c r="FQ35">
        <v>0</v>
      </c>
      <c r="FR35">
        <f t="shared" si="44"/>
        <v>0</v>
      </c>
      <c r="FS35">
        <v>0</v>
      </c>
      <c r="FX35">
        <v>92</v>
      </c>
      <c r="FY35">
        <v>65</v>
      </c>
      <c r="GA35" t="s">
        <v>3</v>
      </c>
      <c r="GD35">
        <v>1</v>
      </c>
      <c r="GF35">
        <v>-1965501238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45"/>
        <v>0</v>
      </c>
      <c r="GM35">
        <f t="shared" si="46"/>
        <v>8033.47</v>
      </c>
      <c r="GN35">
        <f t="shared" si="47"/>
        <v>0</v>
      </c>
      <c r="GO35">
        <f t="shared" si="48"/>
        <v>8033.47</v>
      </c>
      <c r="GP35">
        <f t="shared" si="49"/>
        <v>0</v>
      </c>
      <c r="GR35">
        <v>0</v>
      </c>
      <c r="GS35">
        <v>3</v>
      </c>
      <c r="GT35">
        <v>0</v>
      </c>
      <c r="GU35" t="s">
        <v>3</v>
      </c>
      <c r="GV35">
        <f t="shared" si="50"/>
        <v>0</v>
      </c>
      <c r="GW35">
        <v>1</v>
      </c>
      <c r="GX35">
        <f t="shared" si="51"/>
        <v>0</v>
      </c>
      <c r="HA35">
        <v>0</v>
      </c>
      <c r="HB35">
        <v>0</v>
      </c>
      <c r="HC35">
        <f t="shared" si="52"/>
        <v>0</v>
      </c>
      <c r="IK35">
        <v>0</v>
      </c>
    </row>
    <row r="36" spans="1:245" x14ac:dyDescent="0.2">
      <c r="A36">
        <v>17</v>
      </c>
      <c r="B36">
        <v>1</v>
      </c>
      <c r="E36" t="s">
        <v>82</v>
      </c>
      <c r="F36" t="s">
        <v>29</v>
      </c>
      <c r="G36" t="s">
        <v>83</v>
      </c>
      <c r="H36" t="s">
        <v>30</v>
      </c>
      <c r="I36">
        <f t="shared" si="14"/>
        <v>1</v>
      </c>
      <c r="J36">
        <v>0</v>
      </c>
      <c r="O36">
        <f t="shared" si="15"/>
        <v>7208.33</v>
      </c>
      <c r="P36">
        <f t="shared" si="16"/>
        <v>7208.33</v>
      </c>
      <c r="Q36">
        <f t="shared" si="17"/>
        <v>0</v>
      </c>
      <c r="R36">
        <f t="shared" si="18"/>
        <v>0</v>
      </c>
      <c r="S36">
        <f t="shared" si="19"/>
        <v>0</v>
      </c>
      <c r="T36">
        <f t="shared" si="20"/>
        <v>0</v>
      </c>
      <c r="U36">
        <f t="shared" si="21"/>
        <v>0</v>
      </c>
      <c r="V36">
        <f t="shared" si="22"/>
        <v>0</v>
      </c>
      <c r="W36">
        <f t="shared" si="23"/>
        <v>0</v>
      </c>
      <c r="X36">
        <f t="shared" si="24"/>
        <v>0</v>
      </c>
      <c r="Y36">
        <f t="shared" si="25"/>
        <v>0</v>
      </c>
      <c r="AA36">
        <v>43156991</v>
      </c>
      <c r="AB36">
        <f t="shared" si="26"/>
        <v>7208.33</v>
      </c>
      <c r="AC36">
        <f t="shared" si="27"/>
        <v>7208.33</v>
      </c>
      <c r="AD36">
        <f t="shared" si="28"/>
        <v>0</v>
      </c>
      <c r="AE36">
        <f t="shared" si="29"/>
        <v>0</v>
      </c>
      <c r="AF36">
        <f t="shared" si="30"/>
        <v>0</v>
      </c>
      <c r="AG36">
        <f t="shared" si="31"/>
        <v>0</v>
      </c>
      <c r="AH36">
        <f t="shared" si="32"/>
        <v>0</v>
      </c>
      <c r="AI36">
        <f t="shared" si="33"/>
        <v>0</v>
      </c>
      <c r="AJ36">
        <f t="shared" si="34"/>
        <v>0</v>
      </c>
      <c r="AK36">
        <v>7208.33</v>
      </c>
      <c r="AL36">
        <v>7208.33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3</v>
      </c>
      <c r="BJ36" t="s">
        <v>3</v>
      </c>
      <c r="BM36">
        <v>100</v>
      </c>
      <c r="BN36">
        <v>0</v>
      </c>
      <c r="BO36" t="s">
        <v>3</v>
      </c>
      <c r="BP36">
        <v>0</v>
      </c>
      <c r="BQ36">
        <v>5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0</v>
      </c>
      <c r="CA36">
        <v>0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5"/>
        <v>7208.33</v>
      </c>
      <c r="CQ36">
        <f t="shared" si="36"/>
        <v>7208.33</v>
      </c>
      <c r="CR36">
        <f t="shared" si="37"/>
        <v>0</v>
      </c>
      <c r="CS36">
        <f t="shared" si="38"/>
        <v>0</v>
      </c>
      <c r="CT36">
        <f t="shared" si="39"/>
        <v>0</v>
      </c>
      <c r="CU36">
        <f t="shared" si="40"/>
        <v>0</v>
      </c>
      <c r="CV36">
        <f t="shared" si="41"/>
        <v>0</v>
      </c>
      <c r="CW36">
        <f t="shared" si="42"/>
        <v>0</v>
      </c>
      <c r="CX36">
        <f t="shared" si="43"/>
        <v>0</v>
      </c>
      <c r="CY36">
        <f>0</f>
        <v>0</v>
      </c>
      <c r="CZ36">
        <f>0</f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30</v>
      </c>
      <c r="DW36" t="s">
        <v>30</v>
      </c>
      <c r="DX36">
        <v>1</v>
      </c>
      <c r="EE36">
        <v>41318275</v>
      </c>
      <c r="EF36">
        <v>5</v>
      </c>
      <c r="EG36" t="s">
        <v>31</v>
      </c>
      <c r="EH36">
        <v>0</v>
      </c>
      <c r="EI36" t="s">
        <v>3</v>
      </c>
      <c r="EJ36">
        <v>3</v>
      </c>
      <c r="EK36">
        <v>100</v>
      </c>
      <c r="EL36" t="s">
        <v>32</v>
      </c>
      <c r="EM36" t="s">
        <v>33</v>
      </c>
      <c r="EO36" t="s">
        <v>3</v>
      </c>
      <c r="EQ36">
        <v>131072</v>
      </c>
      <c r="ER36">
        <v>7208.33</v>
      </c>
      <c r="ES36">
        <v>7208.33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5</v>
      </c>
      <c r="FC36">
        <v>1</v>
      </c>
      <c r="FD36">
        <v>18</v>
      </c>
      <c r="FF36">
        <v>8650</v>
      </c>
      <c r="FQ36">
        <v>0</v>
      </c>
      <c r="FR36">
        <f t="shared" si="44"/>
        <v>7208.33</v>
      </c>
      <c r="FS36">
        <v>0</v>
      </c>
      <c r="FX36">
        <v>0</v>
      </c>
      <c r="FY36">
        <v>0</v>
      </c>
      <c r="GA36" t="s">
        <v>84</v>
      </c>
      <c r="GD36">
        <v>1</v>
      </c>
      <c r="GF36">
        <v>-634205967</v>
      </c>
      <c r="GG36">
        <v>2</v>
      </c>
      <c r="GH36">
        <v>3</v>
      </c>
      <c r="GI36">
        <v>-2</v>
      </c>
      <c r="GJ36">
        <v>0</v>
      </c>
      <c r="GK36">
        <v>0</v>
      </c>
      <c r="GL36">
        <f t="shared" si="45"/>
        <v>0</v>
      </c>
      <c r="GM36">
        <f t="shared" si="46"/>
        <v>7208.33</v>
      </c>
      <c r="GN36">
        <f t="shared" si="47"/>
        <v>0</v>
      </c>
      <c r="GO36">
        <f t="shared" si="48"/>
        <v>0</v>
      </c>
      <c r="GP36">
        <f t="shared" si="49"/>
        <v>0</v>
      </c>
      <c r="GR36">
        <v>1</v>
      </c>
      <c r="GS36">
        <v>1</v>
      </c>
      <c r="GT36">
        <v>0</v>
      </c>
      <c r="GU36" t="s">
        <v>3</v>
      </c>
      <c r="GV36">
        <f t="shared" si="50"/>
        <v>0</v>
      </c>
      <c r="GW36">
        <v>1</v>
      </c>
      <c r="GX36">
        <f t="shared" si="51"/>
        <v>0</v>
      </c>
      <c r="HA36">
        <v>0</v>
      </c>
      <c r="HB36">
        <v>0</v>
      </c>
      <c r="HC36">
        <f t="shared" si="52"/>
        <v>0</v>
      </c>
      <c r="IK36">
        <v>0</v>
      </c>
    </row>
    <row r="37" spans="1:245" x14ac:dyDescent="0.2">
      <c r="A37">
        <v>17</v>
      </c>
      <c r="B37">
        <v>1</v>
      </c>
      <c r="C37">
        <f>ROW(SmtRes!A62)</f>
        <v>62</v>
      </c>
      <c r="D37">
        <f>ROW(EtalonRes!A64)</f>
        <v>64</v>
      </c>
      <c r="E37" t="s">
        <v>85</v>
      </c>
      <c r="F37" t="s">
        <v>86</v>
      </c>
      <c r="G37" t="s">
        <v>87</v>
      </c>
      <c r="H37" t="s">
        <v>38</v>
      </c>
      <c r="I37">
        <f t="shared" si="14"/>
        <v>1</v>
      </c>
      <c r="J37">
        <v>0</v>
      </c>
      <c r="O37">
        <f t="shared" si="15"/>
        <v>1553.58</v>
      </c>
      <c r="P37">
        <f t="shared" si="16"/>
        <v>245.35</v>
      </c>
      <c r="Q37">
        <f t="shared" si="17"/>
        <v>144.5</v>
      </c>
      <c r="R37">
        <f t="shared" si="18"/>
        <v>52.19</v>
      </c>
      <c r="S37">
        <f t="shared" si="19"/>
        <v>1163.73</v>
      </c>
      <c r="T37">
        <f t="shared" si="20"/>
        <v>0</v>
      </c>
      <c r="U37">
        <f t="shared" si="21"/>
        <v>4.47</v>
      </c>
      <c r="V37">
        <f t="shared" si="22"/>
        <v>0.17</v>
      </c>
      <c r="W37">
        <f t="shared" si="23"/>
        <v>0</v>
      </c>
      <c r="X37">
        <f t="shared" si="24"/>
        <v>972.74</v>
      </c>
      <c r="Y37">
        <f t="shared" si="25"/>
        <v>729.55</v>
      </c>
      <c r="AA37">
        <v>43156991</v>
      </c>
      <c r="AB37">
        <f t="shared" si="26"/>
        <v>85.74</v>
      </c>
      <c r="AC37">
        <f t="shared" si="27"/>
        <v>30.63</v>
      </c>
      <c r="AD37">
        <f t="shared" si="28"/>
        <v>16.98</v>
      </c>
      <c r="AE37">
        <f t="shared" si="29"/>
        <v>1.71</v>
      </c>
      <c r="AF37">
        <f t="shared" si="30"/>
        <v>38.130000000000003</v>
      </c>
      <c r="AG37">
        <f t="shared" si="31"/>
        <v>0</v>
      </c>
      <c r="AH37">
        <f t="shared" si="32"/>
        <v>4.47</v>
      </c>
      <c r="AI37">
        <f t="shared" si="33"/>
        <v>0.17</v>
      </c>
      <c r="AJ37">
        <f t="shared" si="34"/>
        <v>0</v>
      </c>
      <c r="AK37">
        <v>85.74</v>
      </c>
      <c r="AL37">
        <v>30.63</v>
      </c>
      <c r="AM37">
        <v>16.98</v>
      </c>
      <c r="AN37">
        <v>1.71</v>
      </c>
      <c r="AO37">
        <v>38.130000000000003</v>
      </c>
      <c r="AP37">
        <v>0</v>
      </c>
      <c r="AQ37">
        <v>4.47</v>
      </c>
      <c r="AR37">
        <v>0.17</v>
      </c>
      <c r="AS37">
        <v>0</v>
      </c>
      <c r="AT37">
        <v>80</v>
      </c>
      <c r="AU37">
        <v>60</v>
      </c>
      <c r="AV37">
        <v>1</v>
      </c>
      <c r="AW37">
        <v>1</v>
      </c>
      <c r="AZ37">
        <v>1</v>
      </c>
      <c r="BA37">
        <v>30.52</v>
      </c>
      <c r="BB37">
        <v>8.51</v>
      </c>
      <c r="BC37">
        <v>8.01</v>
      </c>
      <c r="BD37" t="s">
        <v>3</v>
      </c>
      <c r="BE37" t="s">
        <v>3</v>
      </c>
      <c r="BF37" t="s">
        <v>3</v>
      </c>
      <c r="BG37" t="s">
        <v>3</v>
      </c>
      <c r="BH37">
        <v>0</v>
      </c>
      <c r="BI37">
        <v>2</v>
      </c>
      <c r="BJ37" t="s">
        <v>88</v>
      </c>
      <c r="BM37">
        <v>110001</v>
      </c>
      <c r="BN37">
        <v>0</v>
      </c>
      <c r="BO37" t="s">
        <v>89</v>
      </c>
      <c r="BP37">
        <v>1</v>
      </c>
      <c r="BQ37">
        <v>3</v>
      </c>
      <c r="BR37">
        <v>0</v>
      </c>
      <c r="BS37">
        <v>30.52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80</v>
      </c>
      <c r="CA37">
        <v>60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5"/>
        <v>1553.58</v>
      </c>
      <c r="CQ37">
        <f t="shared" si="36"/>
        <v>245.34629999999999</v>
      </c>
      <c r="CR37">
        <f t="shared" si="37"/>
        <v>144.49979999999999</v>
      </c>
      <c r="CS37">
        <f t="shared" si="38"/>
        <v>52.1892</v>
      </c>
      <c r="CT37">
        <f t="shared" si="39"/>
        <v>1163.7276000000002</v>
      </c>
      <c r="CU37">
        <f t="shared" si="40"/>
        <v>0</v>
      </c>
      <c r="CV37">
        <f t="shared" si="41"/>
        <v>4.47</v>
      </c>
      <c r="CW37">
        <f t="shared" si="42"/>
        <v>0.17</v>
      </c>
      <c r="CX37">
        <f t="shared" si="43"/>
        <v>0</v>
      </c>
      <c r="CY37">
        <f>(((S37+R37)*AT37)/100)</f>
        <v>972.7360000000001</v>
      </c>
      <c r="CZ37">
        <f>(((S37+R37)*AU37)/100)</f>
        <v>729.55200000000013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1013</v>
      </c>
      <c r="DV37" t="s">
        <v>38</v>
      </c>
      <c r="DW37" t="s">
        <v>38</v>
      </c>
      <c r="DX37">
        <v>1</v>
      </c>
      <c r="EE37">
        <v>41318499</v>
      </c>
      <c r="EF37">
        <v>3</v>
      </c>
      <c r="EG37" t="s">
        <v>25</v>
      </c>
      <c r="EH37">
        <v>0</v>
      </c>
      <c r="EI37" t="s">
        <v>3</v>
      </c>
      <c r="EJ37">
        <v>2</v>
      </c>
      <c r="EK37">
        <v>110001</v>
      </c>
      <c r="EL37" t="s">
        <v>63</v>
      </c>
      <c r="EM37" t="s">
        <v>27</v>
      </c>
      <c r="EO37" t="s">
        <v>3</v>
      </c>
      <c r="EQ37">
        <v>131072</v>
      </c>
      <c r="ER37">
        <v>85.74</v>
      </c>
      <c r="ES37">
        <v>30.63</v>
      </c>
      <c r="ET37">
        <v>16.98</v>
      </c>
      <c r="EU37">
        <v>1.71</v>
      </c>
      <c r="EV37">
        <v>38.130000000000003</v>
      </c>
      <c r="EW37">
        <v>4.47</v>
      </c>
      <c r="EX37">
        <v>0.17</v>
      </c>
      <c r="EY37">
        <v>0</v>
      </c>
      <c r="FQ37">
        <v>0</v>
      </c>
      <c r="FR37">
        <f t="shared" si="44"/>
        <v>0</v>
      </c>
      <c r="FS37">
        <v>0</v>
      </c>
      <c r="FX37">
        <v>80</v>
      </c>
      <c r="FY37">
        <v>60</v>
      </c>
      <c r="GA37" t="s">
        <v>3</v>
      </c>
      <c r="GD37">
        <v>1</v>
      </c>
      <c r="GF37">
        <v>519836632</v>
      </c>
      <c r="GG37">
        <v>2</v>
      </c>
      <c r="GH37">
        <v>1</v>
      </c>
      <c r="GI37">
        <v>2</v>
      </c>
      <c r="GJ37">
        <v>0</v>
      </c>
      <c r="GK37">
        <v>0</v>
      </c>
      <c r="GL37">
        <f t="shared" si="45"/>
        <v>0</v>
      </c>
      <c r="GM37">
        <f t="shared" si="46"/>
        <v>3255.87</v>
      </c>
      <c r="GN37">
        <f t="shared" si="47"/>
        <v>0</v>
      </c>
      <c r="GO37">
        <f t="shared" si="48"/>
        <v>3255.87</v>
      </c>
      <c r="GP37">
        <f t="shared" si="49"/>
        <v>0</v>
      </c>
      <c r="GR37">
        <v>0</v>
      </c>
      <c r="GS37">
        <v>3</v>
      </c>
      <c r="GT37">
        <v>0</v>
      </c>
      <c r="GU37" t="s">
        <v>3</v>
      </c>
      <c r="GV37">
        <f t="shared" si="50"/>
        <v>0</v>
      </c>
      <c r="GW37">
        <v>1</v>
      </c>
      <c r="GX37">
        <f t="shared" si="51"/>
        <v>0</v>
      </c>
      <c r="HA37">
        <v>0</v>
      </c>
      <c r="HB37">
        <v>0</v>
      </c>
      <c r="HC37">
        <f t="shared" si="52"/>
        <v>0</v>
      </c>
      <c r="IK37">
        <v>0</v>
      </c>
    </row>
    <row r="38" spans="1:245" x14ac:dyDescent="0.2">
      <c r="A38">
        <v>17</v>
      </c>
      <c r="B38">
        <v>1</v>
      </c>
      <c r="E38" t="s">
        <v>90</v>
      </c>
      <c r="F38" t="s">
        <v>29</v>
      </c>
      <c r="G38" t="s">
        <v>91</v>
      </c>
      <c r="H38" t="s">
        <v>44</v>
      </c>
      <c r="I38">
        <f t="shared" si="14"/>
        <v>1</v>
      </c>
      <c r="J38">
        <v>0</v>
      </c>
      <c r="O38">
        <f t="shared" si="15"/>
        <v>208.33</v>
      </c>
      <c r="P38">
        <f t="shared" si="16"/>
        <v>208.33</v>
      </c>
      <c r="Q38">
        <f t="shared" si="17"/>
        <v>0</v>
      </c>
      <c r="R38">
        <f t="shared" si="18"/>
        <v>0</v>
      </c>
      <c r="S38">
        <f t="shared" si="19"/>
        <v>0</v>
      </c>
      <c r="T38">
        <f t="shared" si="20"/>
        <v>0</v>
      </c>
      <c r="U38">
        <f t="shared" si="21"/>
        <v>0</v>
      </c>
      <c r="V38">
        <f t="shared" si="22"/>
        <v>0</v>
      </c>
      <c r="W38">
        <f t="shared" si="23"/>
        <v>0</v>
      </c>
      <c r="X38">
        <f t="shared" si="24"/>
        <v>0</v>
      </c>
      <c r="Y38">
        <f t="shared" si="25"/>
        <v>0</v>
      </c>
      <c r="AA38">
        <v>43156991</v>
      </c>
      <c r="AB38">
        <f t="shared" si="26"/>
        <v>208.33</v>
      </c>
      <c r="AC38">
        <f t="shared" si="27"/>
        <v>208.33</v>
      </c>
      <c r="AD38">
        <f t="shared" si="28"/>
        <v>0</v>
      </c>
      <c r="AE38">
        <f t="shared" si="29"/>
        <v>0</v>
      </c>
      <c r="AF38">
        <f t="shared" si="30"/>
        <v>0</v>
      </c>
      <c r="AG38">
        <f t="shared" si="31"/>
        <v>0</v>
      </c>
      <c r="AH38">
        <f t="shared" si="32"/>
        <v>0</v>
      </c>
      <c r="AI38">
        <f t="shared" si="33"/>
        <v>0</v>
      </c>
      <c r="AJ38">
        <f t="shared" si="34"/>
        <v>0</v>
      </c>
      <c r="AK38">
        <v>208.33</v>
      </c>
      <c r="AL38">
        <v>208.33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1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3</v>
      </c>
      <c r="BJ38" t="s">
        <v>3</v>
      </c>
      <c r="BM38">
        <v>100</v>
      </c>
      <c r="BN38">
        <v>0</v>
      </c>
      <c r="BO38" t="s">
        <v>3</v>
      </c>
      <c r="BP38">
        <v>0</v>
      </c>
      <c r="BQ38">
        <v>5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0</v>
      </c>
      <c r="CA38">
        <v>0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35"/>
        <v>208.33</v>
      </c>
      <c r="CQ38">
        <f t="shared" si="36"/>
        <v>208.33</v>
      </c>
      <c r="CR38">
        <f t="shared" si="37"/>
        <v>0</v>
      </c>
      <c r="CS38">
        <f t="shared" si="38"/>
        <v>0</v>
      </c>
      <c r="CT38">
        <f t="shared" si="39"/>
        <v>0</v>
      </c>
      <c r="CU38">
        <f t="shared" si="40"/>
        <v>0</v>
      </c>
      <c r="CV38">
        <f t="shared" si="41"/>
        <v>0</v>
      </c>
      <c r="CW38">
        <f t="shared" si="42"/>
        <v>0</v>
      </c>
      <c r="CX38">
        <f t="shared" si="43"/>
        <v>0</v>
      </c>
      <c r="CY38">
        <f>0</f>
        <v>0</v>
      </c>
      <c r="CZ38">
        <f>0</f>
        <v>0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1010</v>
      </c>
      <c r="DV38" t="s">
        <v>44</v>
      </c>
      <c r="DW38" t="s">
        <v>44</v>
      </c>
      <c r="DX38">
        <v>1</v>
      </c>
      <c r="EE38">
        <v>41318275</v>
      </c>
      <c r="EF38">
        <v>5</v>
      </c>
      <c r="EG38" t="s">
        <v>31</v>
      </c>
      <c r="EH38">
        <v>0</v>
      </c>
      <c r="EI38" t="s">
        <v>3</v>
      </c>
      <c r="EJ38">
        <v>3</v>
      </c>
      <c r="EK38">
        <v>100</v>
      </c>
      <c r="EL38" t="s">
        <v>32</v>
      </c>
      <c r="EM38" t="s">
        <v>33</v>
      </c>
      <c r="EO38" t="s">
        <v>3</v>
      </c>
      <c r="EQ38">
        <v>131072</v>
      </c>
      <c r="ER38">
        <v>208.33</v>
      </c>
      <c r="ES38">
        <v>208.33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5</v>
      </c>
      <c r="FC38">
        <v>1</v>
      </c>
      <c r="FD38">
        <v>18</v>
      </c>
      <c r="FF38">
        <v>250</v>
      </c>
      <c r="FQ38">
        <v>0</v>
      </c>
      <c r="FR38">
        <f t="shared" si="44"/>
        <v>208.33</v>
      </c>
      <c r="FS38">
        <v>0</v>
      </c>
      <c r="FX38">
        <v>0</v>
      </c>
      <c r="FY38">
        <v>0</v>
      </c>
      <c r="GA38" t="s">
        <v>92</v>
      </c>
      <c r="GD38">
        <v>1</v>
      </c>
      <c r="GF38">
        <v>-27855987</v>
      </c>
      <c r="GG38">
        <v>2</v>
      </c>
      <c r="GH38">
        <v>3</v>
      </c>
      <c r="GI38">
        <v>-2</v>
      </c>
      <c r="GJ38">
        <v>0</v>
      </c>
      <c r="GK38">
        <v>0</v>
      </c>
      <c r="GL38">
        <f t="shared" si="45"/>
        <v>0</v>
      </c>
      <c r="GM38">
        <f t="shared" si="46"/>
        <v>208.33</v>
      </c>
      <c r="GN38">
        <f t="shared" si="47"/>
        <v>0</v>
      </c>
      <c r="GO38">
        <f t="shared" si="48"/>
        <v>0</v>
      </c>
      <c r="GP38">
        <f t="shared" si="49"/>
        <v>0</v>
      </c>
      <c r="GR38">
        <v>1</v>
      </c>
      <c r="GS38">
        <v>1</v>
      </c>
      <c r="GT38">
        <v>0</v>
      </c>
      <c r="GU38" t="s">
        <v>3</v>
      </c>
      <c r="GV38">
        <f t="shared" si="50"/>
        <v>0</v>
      </c>
      <c r="GW38">
        <v>1</v>
      </c>
      <c r="GX38">
        <f t="shared" si="51"/>
        <v>0</v>
      </c>
      <c r="HA38">
        <v>0</v>
      </c>
      <c r="HB38">
        <v>0</v>
      </c>
      <c r="HC38">
        <f t="shared" si="52"/>
        <v>0</v>
      </c>
      <c r="IK38">
        <v>0</v>
      </c>
    </row>
    <row r="39" spans="1:245" x14ac:dyDescent="0.2">
      <c r="A39">
        <v>17</v>
      </c>
      <c r="B39">
        <v>1</v>
      </c>
      <c r="C39">
        <f>ROW(SmtRes!A67)</f>
        <v>67</v>
      </c>
      <c r="D39">
        <f>ROW(EtalonRes!A69)</f>
        <v>69</v>
      </c>
      <c r="E39" t="s">
        <v>93</v>
      </c>
      <c r="F39" t="s">
        <v>94</v>
      </c>
      <c r="G39" t="s">
        <v>95</v>
      </c>
      <c r="H39" t="s">
        <v>96</v>
      </c>
      <c r="I39">
        <f>ROUND(0.02,2)</f>
        <v>0.02</v>
      </c>
      <c r="J39">
        <v>0</v>
      </c>
      <c r="O39">
        <f t="shared" si="15"/>
        <v>49.66</v>
      </c>
      <c r="P39">
        <f t="shared" si="16"/>
        <v>1.51</v>
      </c>
      <c r="Q39">
        <f t="shared" si="17"/>
        <v>0</v>
      </c>
      <c r="R39">
        <f t="shared" si="18"/>
        <v>0</v>
      </c>
      <c r="S39">
        <f t="shared" si="19"/>
        <v>48.15</v>
      </c>
      <c r="T39">
        <f t="shared" si="20"/>
        <v>0</v>
      </c>
      <c r="U39">
        <f t="shared" si="21"/>
        <v>0.16399999999999998</v>
      </c>
      <c r="V39">
        <f t="shared" si="22"/>
        <v>0</v>
      </c>
      <c r="W39">
        <f t="shared" si="23"/>
        <v>0</v>
      </c>
      <c r="X39">
        <f t="shared" si="24"/>
        <v>38.520000000000003</v>
      </c>
      <c r="Y39">
        <f t="shared" si="25"/>
        <v>28.89</v>
      </c>
      <c r="AA39">
        <v>43156991</v>
      </c>
      <c r="AB39">
        <f t="shared" si="26"/>
        <v>88.58</v>
      </c>
      <c r="AC39">
        <f t="shared" si="27"/>
        <v>9.6999999999999993</v>
      </c>
      <c r="AD39">
        <f t="shared" si="28"/>
        <v>0</v>
      </c>
      <c r="AE39">
        <f t="shared" si="29"/>
        <v>0</v>
      </c>
      <c r="AF39">
        <f t="shared" si="30"/>
        <v>78.88</v>
      </c>
      <c r="AG39">
        <f t="shared" si="31"/>
        <v>0</v>
      </c>
      <c r="AH39">
        <f t="shared" si="32"/>
        <v>8.1999999999999993</v>
      </c>
      <c r="AI39">
        <f t="shared" si="33"/>
        <v>0</v>
      </c>
      <c r="AJ39">
        <f t="shared" si="34"/>
        <v>0</v>
      </c>
      <c r="AK39">
        <v>88.58</v>
      </c>
      <c r="AL39">
        <v>9.6999999999999993</v>
      </c>
      <c r="AM39">
        <v>0</v>
      </c>
      <c r="AN39">
        <v>0</v>
      </c>
      <c r="AO39">
        <v>78.88</v>
      </c>
      <c r="AP39">
        <v>0</v>
      </c>
      <c r="AQ39">
        <v>8.1999999999999993</v>
      </c>
      <c r="AR39">
        <v>0</v>
      </c>
      <c r="AS39">
        <v>0</v>
      </c>
      <c r="AT39">
        <v>80</v>
      </c>
      <c r="AU39">
        <v>60</v>
      </c>
      <c r="AV39">
        <v>1</v>
      </c>
      <c r="AW39">
        <v>1</v>
      </c>
      <c r="AZ39">
        <v>1</v>
      </c>
      <c r="BA39">
        <v>30.52</v>
      </c>
      <c r="BB39">
        <v>1</v>
      </c>
      <c r="BC39">
        <v>7.79</v>
      </c>
      <c r="BD39" t="s">
        <v>3</v>
      </c>
      <c r="BE39" t="s">
        <v>3</v>
      </c>
      <c r="BF39" t="s">
        <v>3</v>
      </c>
      <c r="BG39" t="s">
        <v>3</v>
      </c>
      <c r="BH39">
        <v>0</v>
      </c>
      <c r="BI39">
        <v>2</v>
      </c>
      <c r="BJ39" t="s">
        <v>97</v>
      </c>
      <c r="BM39">
        <v>110001</v>
      </c>
      <c r="BN39">
        <v>0</v>
      </c>
      <c r="BO39" t="s">
        <v>94</v>
      </c>
      <c r="BP39">
        <v>1</v>
      </c>
      <c r="BQ39">
        <v>3</v>
      </c>
      <c r="BR39">
        <v>0</v>
      </c>
      <c r="BS39">
        <v>30.52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80</v>
      </c>
      <c r="CA39">
        <v>60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35"/>
        <v>49.66</v>
      </c>
      <c r="CQ39">
        <f t="shared" si="36"/>
        <v>75.562999999999988</v>
      </c>
      <c r="CR39">
        <f t="shared" si="37"/>
        <v>0</v>
      </c>
      <c r="CS39">
        <f t="shared" si="38"/>
        <v>0</v>
      </c>
      <c r="CT39">
        <f t="shared" si="39"/>
        <v>2407.4175999999998</v>
      </c>
      <c r="CU39">
        <f t="shared" si="40"/>
        <v>0</v>
      </c>
      <c r="CV39">
        <f t="shared" si="41"/>
        <v>8.1999999999999993</v>
      </c>
      <c r="CW39">
        <f t="shared" si="42"/>
        <v>0</v>
      </c>
      <c r="CX39">
        <f t="shared" si="43"/>
        <v>0</v>
      </c>
      <c r="CY39">
        <f>(((S39+R39)*AT39)/100)</f>
        <v>38.520000000000003</v>
      </c>
      <c r="CZ39">
        <f>(((S39+R39)*AU39)/100)</f>
        <v>28.89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96</v>
      </c>
      <c r="DW39" t="s">
        <v>96</v>
      </c>
      <c r="DX39">
        <v>1</v>
      </c>
      <c r="EE39">
        <v>41318499</v>
      </c>
      <c r="EF39">
        <v>3</v>
      </c>
      <c r="EG39" t="s">
        <v>25</v>
      </c>
      <c r="EH39">
        <v>0</v>
      </c>
      <c r="EI39" t="s">
        <v>3</v>
      </c>
      <c r="EJ39">
        <v>2</v>
      </c>
      <c r="EK39">
        <v>110001</v>
      </c>
      <c r="EL39" t="s">
        <v>63</v>
      </c>
      <c r="EM39" t="s">
        <v>27</v>
      </c>
      <c r="EO39" t="s">
        <v>3</v>
      </c>
      <c r="EQ39">
        <v>131072</v>
      </c>
      <c r="ER39">
        <v>88.58</v>
      </c>
      <c r="ES39">
        <v>9.6999999999999993</v>
      </c>
      <c r="ET39">
        <v>0</v>
      </c>
      <c r="EU39">
        <v>0</v>
      </c>
      <c r="EV39">
        <v>78.88</v>
      </c>
      <c r="EW39">
        <v>8.1999999999999993</v>
      </c>
      <c r="EX39">
        <v>0</v>
      </c>
      <c r="EY39">
        <v>0</v>
      </c>
      <c r="FQ39">
        <v>0</v>
      </c>
      <c r="FR39">
        <f t="shared" si="44"/>
        <v>0</v>
      </c>
      <c r="FS39">
        <v>0</v>
      </c>
      <c r="FX39">
        <v>80</v>
      </c>
      <c r="FY39">
        <v>60</v>
      </c>
      <c r="GA39" t="s">
        <v>3</v>
      </c>
      <c r="GD39">
        <v>1</v>
      </c>
      <c r="GF39">
        <v>970049389</v>
      </c>
      <c r="GG39">
        <v>2</v>
      </c>
      <c r="GH39">
        <v>1</v>
      </c>
      <c r="GI39">
        <v>2</v>
      </c>
      <c r="GJ39">
        <v>0</v>
      </c>
      <c r="GK39">
        <v>0</v>
      </c>
      <c r="GL39">
        <f t="shared" si="45"/>
        <v>0</v>
      </c>
      <c r="GM39">
        <f t="shared" si="46"/>
        <v>117.07</v>
      </c>
      <c r="GN39">
        <f t="shared" si="47"/>
        <v>0</v>
      </c>
      <c r="GO39">
        <f t="shared" si="48"/>
        <v>117.07</v>
      </c>
      <c r="GP39">
        <f t="shared" si="49"/>
        <v>0</v>
      </c>
      <c r="GR39">
        <v>0</v>
      </c>
      <c r="GS39">
        <v>3</v>
      </c>
      <c r="GT39">
        <v>0</v>
      </c>
      <c r="GU39" t="s">
        <v>3</v>
      </c>
      <c r="GV39">
        <f t="shared" si="50"/>
        <v>0</v>
      </c>
      <c r="GW39">
        <v>1</v>
      </c>
      <c r="GX39">
        <f t="shared" si="51"/>
        <v>0</v>
      </c>
      <c r="HA39">
        <v>0</v>
      </c>
      <c r="HB39">
        <v>0</v>
      </c>
      <c r="HC39">
        <f t="shared" si="52"/>
        <v>0</v>
      </c>
      <c r="IK39">
        <v>0</v>
      </c>
    </row>
    <row r="40" spans="1:245" x14ac:dyDescent="0.2">
      <c r="A40">
        <v>17</v>
      </c>
      <c r="B40">
        <v>1</v>
      </c>
      <c r="E40" t="s">
        <v>98</v>
      </c>
      <c r="F40" t="s">
        <v>29</v>
      </c>
      <c r="G40" t="s">
        <v>99</v>
      </c>
      <c r="H40" t="s">
        <v>44</v>
      </c>
      <c r="I40">
        <f>ROUND(1,2)</f>
        <v>1</v>
      </c>
      <c r="J40">
        <v>0</v>
      </c>
      <c r="O40">
        <f t="shared" si="15"/>
        <v>70.83</v>
      </c>
      <c r="P40">
        <f t="shared" si="16"/>
        <v>70.83</v>
      </c>
      <c r="Q40">
        <f t="shared" si="17"/>
        <v>0</v>
      </c>
      <c r="R40">
        <f t="shared" si="18"/>
        <v>0</v>
      </c>
      <c r="S40">
        <f t="shared" si="19"/>
        <v>0</v>
      </c>
      <c r="T40">
        <f t="shared" si="20"/>
        <v>0</v>
      </c>
      <c r="U40">
        <f t="shared" si="21"/>
        <v>0</v>
      </c>
      <c r="V40">
        <f t="shared" si="22"/>
        <v>0</v>
      </c>
      <c r="W40">
        <f t="shared" si="23"/>
        <v>0</v>
      </c>
      <c r="X40">
        <f t="shared" si="24"/>
        <v>0</v>
      </c>
      <c r="Y40">
        <f t="shared" si="25"/>
        <v>0</v>
      </c>
      <c r="AA40">
        <v>43156991</v>
      </c>
      <c r="AB40">
        <f t="shared" si="26"/>
        <v>70.83</v>
      </c>
      <c r="AC40">
        <f t="shared" si="27"/>
        <v>70.83</v>
      </c>
      <c r="AD40">
        <f t="shared" si="28"/>
        <v>0</v>
      </c>
      <c r="AE40">
        <f t="shared" si="29"/>
        <v>0</v>
      </c>
      <c r="AF40">
        <f t="shared" si="30"/>
        <v>0</v>
      </c>
      <c r="AG40">
        <f t="shared" si="31"/>
        <v>0</v>
      </c>
      <c r="AH40">
        <f t="shared" si="32"/>
        <v>0</v>
      </c>
      <c r="AI40">
        <f t="shared" si="33"/>
        <v>0</v>
      </c>
      <c r="AJ40">
        <f t="shared" si="34"/>
        <v>0</v>
      </c>
      <c r="AK40">
        <v>70.83</v>
      </c>
      <c r="AL40">
        <v>70.83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1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3</v>
      </c>
      <c r="BJ40" t="s">
        <v>3</v>
      </c>
      <c r="BM40">
        <v>100</v>
      </c>
      <c r="BN40">
        <v>0</v>
      </c>
      <c r="BO40" t="s">
        <v>3</v>
      </c>
      <c r="BP40">
        <v>0</v>
      </c>
      <c r="BQ40">
        <v>5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0</v>
      </c>
      <c r="CA40">
        <v>0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35"/>
        <v>70.83</v>
      </c>
      <c r="CQ40">
        <f t="shared" si="36"/>
        <v>70.83</v>
      </c>
      <c r="CR40">
        <f t="shared" si="37"/>
        <v>0</v>
      </c>
      <c r="CS40">
        <f t="shared" si="38"/>
        <v>0</v>
      </c>
      <c r="CT40">
        <f t="shared" si="39"/>
        <v>0</v>
      </c>
      <c r="CU40">
        <f t="shared" si="40"/>
        <v>0</v>
      </c>
      <c r="CV40">
        <f t="shared" si="41"/>
        <v>0</v>
      </c>
      <c r="CW40">
        <f t="shared" si="42"/>
        <v>0</v>
      </c>
      <c r="CX40">
        <f t="shared" si="43"/>
        <v>0</v>
      </c>
      <c r="CY40">
        <f>0</f>
        <v>0</v>
      </c>
      <c r="CZ40">
        <f>0</f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1010</v>
      </c>
      <c r="DV40" t="s">
        <v>44</v>
      </c>
      <c r="DW40" t="s">
        <v>44</v>
      </c>
      <c r="DX40">
        <v>1</v>
      </c>
      <c r="EE40">
        <v>41318275</v>
      </c>
      <c r="EF40">
        <v>5</v>
      </c>
      <c r="EG40" t="s">
        <v>31</v>
      </c>
      <c r="EH40">
        <v>0</v>
      </c>
      <c r="EI40" t="s">
        <v>3</v>
      </c>
      <c r="EJ40">
        <v>3</v>
      </c>
      <c r="EK40">
        <v>100</v>
      </c>
      <c r="EL40" t="s">
        <v>32</v>
      </c>
      <c r="EM40" t="s">
        <v>33</v>
      </c>
      <c r="EO40" t="s">
        <v>3</v>
      </c>
      <c r="EQ40">
        <v>131072</v>
      </c>
      <c r="ER40">
        <v>70.83</v>
      </c>
      <c r="ES40">
        <v>70.83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5</v>
      </c>
      <c r="FC40">
        <v>1</v>
      </c>
      <c r="FD40">
        <v>18</v>
      </c>
      <c r="FF40">
        <v>85</v>
      </c>
      <c r="FQ40">
        <v>0</v>
      </c>
      <c r="FR40">
        <f t="shared" si="44"/>
        <v>70.83</v>
      </c>
      <c r="FS40">
        <v>0</v>
      </c>
      <c r="FX40">
        <v>0</v>
      </c>
      <c r="FY40">
        <v>0</v>
      </c>
      <c r="GA40" t="s">
        <v>100</v>
      </c>
      <c r="GD40">
        <v>1</v>
      </c>
      <c r="GF40">
        <v>-524362525</v>
      </c>
      <c r="GG40">
        <v>2</v>
      </c>
      <c r="GH40">
        <v>3</v>
      </c>
      <c r="GI40">
        <v>-2</v>
      </c>
      <c r="GJ40">
        <v>0</v>
      </c>
      <c r="GK40">
        <v>0</v>
      </c>
      <c r="GL40">
        <f t="shared" si="45"/>
        <v>0</v>
      </c>
      <c r="GM40">
        <f t="shared" si="46"/>
        <v>70.83</v>
      </c>
      <c r="GN40">
        <f t="shared" si="47"/>
        <v>0</v>
      </c>
      <c r="GO40">
        <f t="shared" si="48"/>
        <v>0</v>
      </c>
      <c r="GP40">
        <f t="shared" si="49"/>
        <v>0</v>
      </c>
      <c r="GR40">
        <v>1</v>
      </c>
      <c r="GS40">
        <v>1</v>
      </c>
      <c r="GT40">
        <v>0</v>
      </c>
      <c r="GU40" t="s">
        <v>3</v>
      </c>
      <c r="GV40">
        <f t="shared" si="50"/>
        <v>0</v>
      </c>
      <c r="GW40">
        <v>1</v>
      </c>
      <c r="GX40">
        <f t="shared" si="51"/>
        <v>0</v>
      </c>
      <c r="HA40">
        <v>0</v>
      </c>
      <c r="HB40">
        <v>0</v>
      </c>
      <c r="HC40">
        <f t="shared" si="52"/>
        <v>0</v>
      </c>
      <c r="IK40">
        <v>0</v>
      </c>
    </row>
    <row r="41" spans="1:245" x14ac:dyDescent="0.2">
      <c r="A41">
        <v>17</v>
      </c>
      <c r="B41">
        <v>1</v>
      </c>
      <c r="E41" t="s">
        <v>101</v>
      </c>
      <c r="F41" t="s">
        <v>29</v>
      </c>
      <c r="G41" t="s">
        <v>99</v>
      </c>
      <c r="H41" t="s">
        <v>44</v>
      </c>
      <c r="I41">
        <f>ROUND(1,2)</f>
        <v>1</v>
      </c>
      <c r="J41">
        <v>0</v>
      </c>
      <c r="O41">
        <f t="shared" si="15"/>
        <v>125</v>
      </c>
      <c r="P41">
        <f t="shared" si="16"/>
        <v>125</v>
      </c>
      <c r="Q41">
        <f t="shared" si="17"/>
        <v>0</v>
      </c>
      <c r="R41">
        <f t="shared" si="18"/>
        <v>0</v>
      </c>
      <c r="S41">
        <f t="shared" si="19"/>
        <v>0</v>
      </c>
      <c r="T41">
        <f t="shared" si="20"/>
        <v>0</v>
      </c>
      <c r="U41">
        <f t="shared" si="21"/>
        <v>0</v>
      </c>
      <c r="V41">
        <f t="shared" si="22"/>
        <v>0</v>
      </c>
      <c r="W41">
        <f t="shared" si="23"/>
        <v>0</v>
      </c>
      <c r="X41">
        <f t="shared" si="24"/>
        <v>0</v>
      </c>
      <c r="Y41">
        <f t="shared" si="25"/>
        <v>0</v>
      </c>
      <c r="AA41">
        <v>43156991</v>
      </c>
      <c r="AB41">
        <f t="shared" si="26"/>
        <v>125</v>
      </c>
      <c r="AC41">
        <f t="shared" si="27"/>
        <v>125</v>
      </c>
      <c r="AD41">
        <f t="shared" si="28"/>
        <v>0</v>
      </c>
      <c r="AE41">
        <f t="shared" si="29"/>
        <v>0</v>
      </c>
      <c r="AF41">
        <f t="shared" si="30"/>
        <v>0</v>
      </c>
      <c r="AG41">
        <f t="shared" si="31"/>
        <v>0</v>
      </c>
      <c r="AH41">
        <f t="shared" si="32"/>
        <v>0</v>
      </c>
      <c r="AI41">
        <f t="shared" si="33"/>
        <v>0</v>
      </c>
      <c r="AJ41">
        <f t="shared" si="34"/>
        <v>0</v>
      </c>
      <c r="AK41">
        <v>125</v>
      </c>
      <c r="AL41">
        <v>125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3</v>
      </c>
      <c r="BJ41" t="s">
        <v>3</v>
      </c>
      <c r="BM41">
        <v>100</v>
      </c>
      <c r="BN41">
        <v>0</v>
      </c>
      <c r="BO41" t="s">
        <v>3</v>
      </c>
      <c r="BP41">
        <v>0</v>
      </c>
      <c r="BQ41">
        <v>5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0</v>
      </c>
      <c r="CA41">
        <v>0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35"/>
        <v>125</v>
      </c>
      <c r="CQ41">
        <f t="shared" si="36"/>
        <v>125</v>
      </c>
      <c r="CR41">
        <f t="shared" si="37"/>
        <v>0</v>
      </c>
      <c r="CS41">
        <f t="shared" si="38"/>
        <v>0</v>
      </c>
      <c r="CT41">
        <f t="shared" si="39"/>
        <v>0</v>
      </c>
      <c r="CU41">
        <f t="shared" si="40"/>
        <v>0</v>
      </c>
      <c r="CV41">
        <f t="shared" si="41"/>
        <v>0</v>
      </c>
      <c r="CW41">
        <f t="shared" si="42"/>
        <v>0</v>
      </c>
      <c r="CX41">
        <f t="shared" si="43"/>
        <v>0</v>
      </c>
      <c r="CY41">
        <f>0</f>
        <v>0</v>
      </c>
      <c r="CZ41">
        <f>0</f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1010</v>
      </c>
      <c r="DV41" t="s">
        <v>44</v>
      </c>
      <c r="DW41" t="s">
        <v>44</v>
      </c>
      <c r="DX41">
        <v>1</v>
      </c>
      <c r="EE41">
        <v>41318275</v>
      </c>
      <c r="EF41">
        <v>5</v>
      </c>
      <c r="EG41" t="s">
        <v>31</v>
      </c>
      <c r="EH41">
        <v>0</v>
      </c>
      <c r="EI41" t="s">
        <v>3</v>
      </c>
      <c r="EJ41">
        <v>3</v>
      </c>
      <c r="EK41">
        <v>100</v>
      </c>
      <c r="EL41" t="s">
        <v>32</v>
      </c>
      <c r="EM41" t="s">
        <v>33</v>
      </c>
      <c r="EO41" t="s">
        <v>3</v>
      </c>
      <c r="EQ41">
        <v>131072</v>
      </c>
      <c r="ER41">
        <v>125</v>
      </c>
      <c r="ES41">
        <v>125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5</v>
      </c>
      <c r="FC41">
        <v>1</v>
      </c>
      <c r="FD41">
        <v>18</v>
      </c>
      <c r="FF41">
        <v>150</v>
      </c>
      <c r="FQ41">
        <v>0</v>
      </c>
      <c r="FR41">
        <f t="shared" si="44"/>
        <v>125</v>
      </c>
      <c r="FS41">
        <v>0</v>
      </c>
      <c r="FX41">
        <v>0</v>
      </c>
      <c r="FY41">
        <v>0</v>
      </c>
      <c r="GA41" t="s">
        <v>102</v>
      </c>
      <c r="GD41">
        <v>1</v>
      </c>
      <c r="GF41">
        <v>-524362525</v>
      </c>
      <c r="GG41">
        <v>2</v>
      </c>
      <c r="GH41">
        <v>3</v>
      </c>
      <c r="GI41">
        <v>-2</v>
      </c>
      <c r="GJ41">
        <v>0</v>
      </c>
      <c r="GK41">
        <v>0</v>
      </c>
      <c r="GL41">
        <f t="shared" si="45"/>
        <v>0</v>
      </c>
      <c r="GM41">
        <f t="shared" si="46"/>
        <v>125</v>
      </c>
      <c r="GN41">
        <f t="shared" si="47"/>
        <v>0</v>
      </c>
      <c r="GO41">
        <f t="shared" si="48"/>
        <v>0</v>
      </c>
      <c r="GP41">
        <f t="shared" si="49"/>
        <v>0</v>
      </c>
      <c r="GR41">
        <v>1</v>
      </c>
      <c r="GS41">
        <v>1</v>
      </c>
      <c r="GT41">
        <v>0</v>
      </c>
      <c r="GU41" t="s">
        <v>3</v>
      </c>
      <c r="GV41">
        <f t="shared" si="50"/>
        <v>0</v>
      </c>
      <c r="GW41">
        <v>1</v>
      </c>
      <c r="GX41">
        <f t="shared" si="51"/>
        <v>0</v>
      </c>
      <c r="HA41">
        <v>0</v>
      </c>
      <c r="HB41">
        <v>0</v>
      </c>
      <c r="HC41">
        <f t="shared" si="52"/>
        <v>0</v>
      </c>
      <c r="IK41">
        <v>0</v>
      </c>
    </row>
    <row r="42" spans="1:245" x14ac:dyDescent="0.2">
      <c r="A42">
        <v>17</v>
      </c>
      <c r="B42">
        <v>1</v>
      </c>
      <c r="C42">
        <f>ROW(SmtRes!A82)</f>
        <v>82</v>
      </c>
      <c r="D42">
        <f>ROW(EtalonRes!A84)</f>
        <v>84</v>
      </c>
      <c r="E42" t="s">
        <v>103</v>
      </c>
      <c r="F42" t="s">
        <v>104</v>
      </c>
      <c r="G42" t="s">
        <v>105</v>
      </c>
      <c r="H42" t="s">
        <v>38</v>
      </c>
      <c r="I42">
        <f>ROUND(1,2)</f>
        <v>1</v>
      </c>
      <c r="J42">
        <v>0</v>
      </c>
      <c r="O42">
        <f t="shared" si="15"/>
        <v>636.47</v>
      </c>
      <c r="P42">
        <f t="shared" si="16"/>
        <v>175.65</v>
      </c>
      <c r="Q42">
        <f t="shared" si="17"/>
        <v>7.9</v>
      </c>
      <c r="R42">
        <f t="shared" si="18"/>
        <v>0</v>
      </c>
      <c r="S42">
        <f t="shared" si="19"/>
        <v>452.92</v>
      </c>
      <c r="T42">
        <f t="shared" si="20"/>
        <v>0</v>
      </c>
      <c r="U42">
        <f t="shared" si="21"/>
        <v>1.56</v>
      </c>
      <c r="V42">
        <f t="shared" si="22"/>
        <v>0</v>
      </c>
      <c r="W42">
        <f t="shared" si="23"/>
        <v>0</v>
      </c>
      <c r="X42">
        <f t="shared" si="24"/>
        <v>430.27</v>
      </c>
      <c r="Y42">
        <f t="shared" si="25"/>
        <v>294.39999999999998</v>
      </c>
      <c r="AA42">
        <v>43156991</v>
      </c>
      <c r="AB42">
        <f t="shared" si="26"/>
        <v>36.49</v>
      </c>
      <c r="AC42">
        <f t="shared" si="27"/>
        <v>20.52</v>
      </c>
      <c r="AD42">
        <f t="shared" si="28"/>
        <v>1.1299999999999999</v>
      </c>
      <c r="AE42">
        <f t="shared" si="29"/>
        <v>0</v>
      </c>
      <c r="AF42">
        <f t="shared" si="30"/>
        <v>14.84</v>
      </c>
      <c r="AG42">
        <f t="shared" si="31"/>
        <v>0</v>
      </c>
      <c r="AH42">
        <f t="shared" si="32"/>
        <v>1.56</v>
      </c>
      <c r="AI42">
        <f t="shared" si="33"/>
        <v>0</v>
      </c>
      <c r="AJ42">
        <f t="shared" si="34"/>
        <v>0</v>
      </c>
      <c r="AK42">
        <v>36.49</v>
      </c>
      <c r="AL42">
        <v>20.52</v>
      </c>
      <c r="AM42">
        <v>1.1299999999999999</v>
      </c>
      <c r="AN42">
        <v>0</v>
      </c>
      <c r="AO42">
        <v>14.84</v>
      </c>
      <c r="AP42">
        <v>0</v>
      </c>
      <c r="AQ42">
        <v>1.56</v>
      </c>
      <c r="AR42">
        <v>0</v>
      </c>
      <c r="AS42">
        <v>0</v>
      </c>
      <c r="AT42">
        <v>95</v>
      </c>
      <c r="AU42">
        <v>65</v>
      </c>
      <c r="AV42">
        <v>1</v>
      </c>
      <c r="AW42">
        <v>1</v>
      </c>
      <c r="AZ42">
        <v>1</v>
      </c>
      <c r="BA42">
        <v>30.52</v>
      </c>
      <c r="BB42">
        <v>6.99</v>
      </c>
      <c r="BC42">
        <v>8.56</v>
      </c>
      <c r="BD42" t="s">
        <v>3</v>
      </c>
      <c r="BE42" t="s">
        <v>3</v>
      </c>
      <c r="BF42" t="s">
        <v>3</v>
      </c>
      <c r="BG42" t="s">
        <v>3</v>
      </c>
      <c r="BH42">
        <v>0</v>
      </c>
      <c r="BI42">
        <v>2</v>
      </c>
      <c r="BJ42" t="s">
        <v>106</v>
      </c>
      <c r="BM42">
        <v>108001</v>
      </c>
      <c r="BN42">
        <v>0</v>
      </c>
      <c r="BO42" t="s">
        <v>107</v>
      </c>
      <c r="BP42">
        <v>1</v>
      </c>
      <c r="BQ42">
        <v>3</v>
      </c>
      <c r="BR42">
        <v>0</v>
      </c>
      <c r="BS42">
        <v>30.52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95</v>
      </c>
      <c r="CA42">
        <v>65</v>
      </c>
      <c r="CE42">
        <v>0</v>
      </c>
      <c r="CF42">
        <v>0</v>
      </c>
      <c r="CG42">
        <v>0</v>
      </c>
      <c r="CM42">
        <v>0</v>
      </c>
      <c r="CN42" t="s">
        <v>3</v>
      </c>
      <c r="CO42">
        <v>0</v>
      </c>
      <c r="CP42">
        <f t="shared" si="35"/>
        <v>636.47</v>
      </c>
      <c r="CQ42">
        <f t="shared" si="36"/>
        <v>175.65120000000002</v>
      </c>
      <c r="CR42">
        <f t="shared" si="37"/>
        <v>7.8986999999999998</v>
      </c>
      <c r="CS42">
        <f t="shared" si="38"/>
        <v>0</v>
      </c>
      <c r="CT42">
        <f t="shared" si="39"/>
        <v>452.91679999999997</v>
      </c>
      <c r="CU42">
        <f t="shared" si="40"/>
        <v>0</v>
      </c>
      <c r="CV42">
        <f t="shared" si="41"/>
        <v>1.56</v>
      </c>
      <c r="CW42">
        <f t="shared" si="42"/>
        <v>0</v>
      </c>
      <c r="CX42">
        <f t="shared" si="43"/>
        <v>0</v>
      </c>
      <c r="CY42">
        <f>(((S42+R42)*AT42)/100)</f>
        <v>430.274</v>
      </c>
      <c r="CZ42">
        <f>(((S42+R42)*AU42)/100)</f>
        <v>294.39799999999997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1013</v>
      </c>
      <c r="DV42" t="s">
        <v>38</v>
      </c>
      <c r="DW42" t="s">
        <v>38</v>
      </c>
      <c r="DX42">
        <v>1</v>
      </c>
      <c r="EE42">
        <v>41318495</v>
      </c>
      <c r="EF42">
        <v>3</v>
      </c>
      <c r="EG42" t="s">
        <v>25</v>
      </c>
      <c r="EH42">
        <v>0</v>
      </c>
      <c r="EI42" t="s">
        <v>3</v>
      </c>
      <c r="EJ42">
        <v>2</v>
      </c>
      <c r="EK42">
        <v>108001</v>
      </c>
      <c r="EL42" t="s">
        <v>53</v>
      </c>
      <c r="EM42" t="s">
        <v>54</v>
      </c>
      <c r="EO42" t="s">
        <v>3</v>
      </c>
      <c r="EQ42">
        <v>131072</v>
      </c>
      <c r="ER42">
        <v>36.49</v>
      </c>
      <c r="ES42">
        <v>20.52</v>
      </c>
      <c r="ET42">
        <v>1.1299999999999999</v>
      </c>
      <c r="EU42">
        <v>0</v>
      </c>
      <c r="EV42">
        <v>14.84</v>
      </c>
      <c r="EW42">
        <v>1.56</v>
      </c>
      <c r="EX42">
        <v>0</v>
      </c>
      <c r="EY42">
        <v>0</v>
      </c>
      <c r="FQ42">
        <v>0</v>
      </c>
      <c r="FR42">
        <f t="shared" si="44"/>
        <v>0</v>
      </c>
      <c r="FS42">
        <v>0</v>
      </c>
      <c r="FX42">
        <v>95</v>
      </c>
      <c r="FY42">
        <v>65</v>
      </c>
      <c r="GA42" t="s">
        <v>3</v>
      </c>
      <c r="GD42">
        <v>1</v>
      </c>
      <c r="GF42">
        <v>485158851</v>
      </c>
      <c r="GG42">
        <v>2</v>
      </c>
      <c r="GH42">
        <v>1</v>
      </c>
      <c r="GI42">
        <v>2</v>
      </c>
      <c r="GJ42">
        <v>0</v>
      </c>
      <c r="GK42">
        <v>0</v>
      </c>
      <c r="GL42">
        <f t="shared" si="45"/>
        <v>0</v>
      </c>
      <c r="GM42">
        <f t="shared" si="46"/>
        <v>1361.14</v>
      </c>
      <c r="GN42">
        <f t="shared" si="47"/>
        <v>0</v>
      </c>
      <c r="GO42">
        <f t="shared" si="48"/>
        <v>1361.14</v>
      </c>
      <c r="GP42">
        <f t="shared" si="49"/>
        <v>0</v>
      </c>
      <c r="GR42">
        <v>0</v>
      </c>
      <c r="GS42">
        <v>3</v>
      </c>
      <c r="GT42">
        <v>0</v>
      </c>
      <c r="GU42" t="s">
        <v>3</v>
      </c>
      <c r="GV42">
        <f t="shared" si="50"/>
        <v>0</v>
      </c>
      <c r="GW42">
        <v>1</v>
      </c>
      <c r="GX42">
        <f t="shared" si="51"/>
        <v>0</v>
      </c>
      <c r="HA42">
        <v>0</v>
      </c>
      <c r="HB42">
        <v>0</v>
      </c>
      <c r="HC42">
        <f t="shared" si="52"/>
        <v>0</v>
      </c>
      <c r="IK42">
        <v>0</v>
      </c>
    </row>
    <row r="43" spans="1:245" x14ac:dyDescent="0.2">
      <c r="A43">
        <v>17</v>
      </c>
      <c r="B43">
        <v>1</v>
      </c>
      <c r="E43" t="s">
        <v>108</v>
      </c>
      <c r="F43" t="s">
        <v>109</v>
      </c>
      <c r="G43" t="s">
        <v>110</v>
      </c>
      <c r="H43" t="s">
        <v>44</v>
      </c>
      <c r="I43">
        <f>ROUND(1,2)</f>
        <v>1</v>
      </c>
      <c r="J43">
        <v>0</v>
      </c>
      <c r="O43">
        <f t="shared" si="15"/>
        <v>84.16</v>
      </c>
      <c r="P43">
        <f t="shared" si="16"/>
        <v>84.16</v>
      </c>
      <c r="Q43">
        <f t="shared" si="17"/>
        <v>0</v>
      </c>
      <c r="R43">
        <f t="shared" si="18"/>
        <v>0</v>
      </c>
      <c r="S43">
        <f t="shared" si="19"/>
        <v>0</v>
      </c>
      <c r="T43">
        <f t="shared" si="20"/>
        <v>0</v>
      </c>
      <c r="U43">
        <f t="shared" si="21"/>
        <v>0</v>
      </c>
      <c r="V43">
        <f t="shared" si="22"/>
        <v>0</v>
      </c>
      <c r="W43">
        <f t="shared" si="23"/>
        <v>0.01</v>
      </c>
      <c r="X43">
        <f t="shared" si="24"/>
        <v>0</v>
      </c>
      <c r="Y43">
        <f t="shared" si="25"/>
        <v>0</v>
      </c>
      <c r="AA43">
        <v>43156991</v>
      </c>
      <c r="AB43">
        <f t="shared" si="26"/>
        <v>13.38</v>
      </c>
      <c r="AC43">
        <f t="shared" si="27"/>
        <v>13.38</v>
      </c>
      <c r="AD43">
        <f t="shared" si="28"/>
        <v>0</v>
      </c>
      <c r="AE43">
        <f t="shared" si="29"/>
        <v>0</v>
      </c>
      <c r="AF43">
        <f t="shared" si="30"/>
        <v>0</v>
      </c>
      <c r="AG43">
        <f t="shared" si="31"/>
        <v>0</v>
      </c>
      <c r="AH43">
        <f t="shared" si="32"/>
        <v>0</v>
      </c>
      <c r="AI43">
        <f t="shared" si="33"/>
        <v>0</v>
      </c>
      <c r="AJ43">
        <f t="shared" si="34"/>
        <v>0.01</v>
      </c>
      <c r="AK43">
        <v>13.38</v>
      </c>
      <c r="AL43">
        <v>13.38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0.01</v>
      </c>
      <c r="AT43">
        <v>0</v>
      </c>
      <c r="AU43">
        <v>0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6.29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3</v>
      </c>
      <c r="BJ43" t="s">
        <v>111</v>
      </c>
      <c r="BM43">
        <v>100</v>
      </c>
      <c r="BN43">
        <v>0</v>
      </c>
      <c r="BO43" t="s">
        <v>3</v>
      </c>
      <c r="BP43">
        <v>0</v>
      </c>
      <c r="BQ43">
        <v>5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0</v>
      </c>
      <c r="CA43">
        <v>0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35"/>
        <v>84.16</v>
      </c>
      <c r="CQ43">
        <f t="shared" si="36"/>
        <v>84.160200000000003</v>
      </c>
      <c r="CR43">
        <f t="shared" si="37"/>
        <v>0</v>
      </c>
      <c r="CS43">
        <f t="shared" si="38"/>
        <v>0</v>
      </c>
      <c r="CT43">
        <f t="shared" si="39"/>
        <v>0</v>
      </c>
      <c r="CU43">
        <f t="shared" si="40"/>
        <v>0</v>
      </c>
      <c r="CV43">
        <f t="shared" si="41"/>
        <v>0</v>
      </c>
      <c r="CW43">
        <f t="shared" si="42"/>
        <v>0</v>
      </c>
      <c r="CX43">
        <f t="shared" si="43"/>
        <v>0.01</v>
      </c>
      <c r="CY43">
        <f>0</f>
        <v>0</v>
      </c>
      <c r="CZ43">
        <f>0</f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1010</v>
      </c>
      <c r="DV43" t="s">
        <v>44</v>
      </c>
      <c r="DW43" t="s">
        <v>44</v>
      </c>
      <c r="DX43">
        <v>1</v>
      </c>
      <c r="EE43">
        <v>41318275</v>
      </c>
      <c r="EF43">
        <v>5</v>
      </c>
      <c r="EG43" t="s">
        <v>31</v>
      </c>
      <c r="EH43">
        <v>0</v>
      </c>
      <c r="EI43" t="s">
        <v>3</v>
      </c>
      <c r="EJ43">
        <v>3</v>
      </c>
      <c r="EK43">
        <v>100</v>
      </c>
      <c r="EL43" t="s">
        <v>32</v>
      </c>
      <c r="EM43" t="s">
        <v>33</v>
      </c>
      <c r="EO43" t="s">
        <v>3</v>
      </c>
      <c r="EQ43">
        <v>131072</v>
      </c>
      <c r="ER43">
        <v>13.38</v>
      </c>
      <c r="ES43">
        <v>13.38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FQ43">
        <v>0</v>
      </c>
      <c r="FR43">
        <f t="shared" si="44"/>
        <v>84.16</v>
      </c>
      <c r="FS43">
        <v>0</v>
      </c>
      <c r="FX43">
        <v>0</v>
      </c>
      <c r="FY43">
        <v>0</v>
      </c>
      <c r="GA43" t="s">
        <v>3</v>
      </c>
      <c r="GD43">
        <v>1</v>
      </c>
      <c r="GF43">
        <v>1419148269</v>
      </c>
      <c r="GG43">
        <v>2</v>
      </c>
      <c r="GH43">
        <v>1</v>
      </c>
      <c r="GI43">
        <v>2</v>
      </c>
      <c r="GJ43">
        <v>0</v>
      </c>
      <c r="GK43">
        <v>0</v>
      </c>
      <c r="GL43">
        <f t="shared" si="45"/>
        <v>0</v>
      </c>
      <c r="GM43">
        <f t="shared" si="46"/>
        <v>84.16</v>
      </c>
      <c r="GN43">
        <f t="shared" si="47"/>
        <v>0</v>
      </c>
      <c r="GO43">
        <f t="shared" si="48"/>
        <v>0</v>
      </c>
      <c r="GP43">
        <f t="shared" si="49"/>
        <v>0</v>
      </c>
      <c r="GR43">
        <v>0</v>
      </c>
      <c r="GS43">
        <v>3</v>
      </c>
      <c r="GT43">
        <v>0</v>
      </c>
      <c r="GU43" t="s">
        <v>3</v>
      </c>
      <c r="GV43">
        <f t="shared" si="50"/>
        <v>0</v>
      </c>
      <c r="GW43">
        <v>1</v>
      </c>
      <c r="GX43">
        <f t="shared" si="51"/>
        <v>0</v>
      </c>
      <c r="HA43">
        <v>0</v>
      </c>
      <c r="HB43">
        <v>0</v>
      </c>
      <c r="HC43">
        <f t="shared" si="52"/>
        <v>0</v>
      </c>
      <c r="IK43">
        <v>0</v>
      </c>
    </row>
    <row r="44" spans="1:245" x14ac:dyDescent="0.2">
      <c r="A44">
        <v>17</v>
      </c>
      <c r="B44">
        <v>1</v>
      </c>
      <c r="E44" t="s">
        <v>112</v>
      </c>
      <c r="F44" t="s">
        <v>113</v>
      </c>
      <c r="G44" t="s">
        <v>114</v>
      </c>
      <c r="H44" t="s">
        <v>115</v>
      </c>
      <c r="I44">
        <f>ROUND(0.1,2)</f>
        <v>0.1</v>
      </c>
      <c r="J44">
        <v>0</v>
      </c>
      <c r="O44">
        <f t="shared" si="15"/>
        <v>19.850000000000001</v>
      </c>
      <c r="P44">
        <f t="shared" si="16"/>
        <v>19.850000000000001</v>
      </c>
      <c r="Q44">
        <f t="shared" si="17"/>
        <v>0</v>
      </c>
      <c r="R44">
        <f t="shared" si="18"/>
        <v>0</v>
      </c>
      <c r="S44">
        <f t="shared" si="19"/>
        <v>0</v>
      </c>
      <c r="T44">
        <f t="shared" si="20"/>
        <v>0</v>
      </c>
      <c r="U44">
        <f t="shared" si="21"/>
        <v>0</v>
      </c>
      <c r="V44">
        <f t="shared" si="22"/>
        <v>0</v>
      </c>
      <c r="W44">
        <f t="shared" si="23"/>
        <v>0</v>
      </c>
      <c r="X44">
        <f t="shared" si="24"/>
        <v>0</v>
      </c>
      <c r="Y44">
        <f t="shared" si="25"/>
        <v>0</v>
      </c>
      <c r="AA44">
        <v>43156991</v>
      </c>
      <c r="AB44">
        <f t="shared" si="26"/>
        <v>67.3</v>
      </c>
      <c r="AC44">
        <f t="shared" si="27"/>
        <v>67.3</v>
      </c>
      <c r="AD44">
        <f t="shared" si="28"/>
        <v>0</v>
      </c>
      <c r="AE44">
        <f t="shared" si="29"/>
        <v>0</v>
      </c>
      <c r="AF44">
        <f t="shared" si="30"/>
        <v>0</v>
      </c>
      <c r="AG44">
        <f t="shared" si="31"/>
        <v>0</v>
      </c>
      <c r="AH44">
        <f t="shared" si="32"/>
        <v>0</v>
      </c>
      <c r="AI44">
        <f t="shared" si="33"/>
        <v>0</v>
      </c>
      <c r="AJ44">
        <f t="shared" si="34"/>
        <v>0.02</v>
      </c>
      <c r="AK44">
        <v>67.3</v>
      </c>
      <c r="AL44">
        <v>67.3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0.02</v>
      </c>
      <c r="AT44">
        <v>0</v>
      </c>
      <c r="AU44">
        <v>0</v>
      </c>
      <c r="AV44">
        <v>1</v>
      </c>
      <c r="AW44">
        <v>1</v>
      </c>
      <c r="AZ44">
        <v>1</v>
      </c>
      <c r="BA44">
        <v>1</v>
      </c>
      <c r="BB44">
        <v>1</v>
      </c>
      <c r="BC44">
        <v>2.95</v>
      </c>
      <c r="BD44" t="s">
        <v>3</v>
      </c>
      <c r="BE44" t="s">
        <v>3</v>
      </c>
      <c r="BF44" t="s">
        <v>3</v>
      </c>
      <c r="BG44" t="s">
        <v>3</v>
      </c>
      <c r="BH44">
        <v>3</v>
      </c>
      <c r="BI44">
        <v>2</v>
      </c>
      <c r="BJ44" t="s">
        <v>116</v>
      </c>
      <c r="BM44">
        <v>500002</v>
      </c>
      <c r="BN44">
        <v>0</v>
      </c>
      <c r="BO44" t="s">
        <v>113</v>
      </c>
      <c r="BP44">
        <v>1</v>
      </c>
      <c r="BQ44">
        <v>12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0</v>
      </c>
      <c r="CA44">
        <v>0</v>
      </c>
      <c r="CE44">
        <v>0</v>
      </c>
      <c r="CF44">
        <v>0</v>
      </c>
      <c r="CG44">
        <v>0</v>
      </c>
      <c r="CM44">
        <v>0</v>
      </c>
      <c r="CN44" t="s">
        <v>3</v>
      </c>
      <c r="CO44">
        <v>0</v>
      </c>
      <c r="CP44">
        <f t="shared" si="35"/>
        <v>19.850000000000001</v>
      </c>
      <c r="CQ44">
        <f t="shared" si="36"/>
        <v>198.535</v>
      </c>
      <c r="CR44">
        <f t="shared" si="37"/>
        <v>0</v>
      </c>
      <c r="CS44">
        <f t="shared" si="38"/>
        <v>0</v>
      </c>
      <c r="CT44">
        <f t="shared" si="39"/>
        <v>0</v>
      </c>
      <c r="CU44">
        <f t="shared" si="40"/>
        <v>0</v>
      </c>
      <c r="CV44">
        <f t="shared" si="41"/>
        <v>0</v>
      </c>
      <c r="CW44">
        <f t="shared" si="42"/>
        <v>0</v>
      </c>
      <c r="CX44">
        <f t="shared" si="43"/>
        <v>0.02</v>
      </c>
      <c r="CY44">
        <f t="shared" ref="CY44:CY55" si="55">(((S44+R44)*AT44)/100)</f>
        <v>0</v>
      </c>
      <c r="CZ44">
        <f t="shared" ref="CZ44:CZ55" si="56">(((S44+R44)*AU44)/100)</f>
        <v>0</v>
      </c>
      <c r="DC44" t="s">
        <v>3</v>
      </c>
      <c r="DD44" t="s">
        <v>3</v>
      </c>
      <c r="DE44" t="s">
        <v>3</v>
      </c>
      <c r="DF44" t="s">
        <v>3</v>
      </c>
      <c r="DG44" t="s">
        <v>3</v>
      </c>
      <c r="DH44" t="s">
        <v>3</v>
      </c>
      <c r="DI44" t="s">
        <v>3</v>
      </c>
      <c r="DJ44" t="s">
        <v>3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1010</v>
      </c>
      <c r="DV44" t="s">
        <v>115</v>
      </c>
      <c r="DW44" t="s">
        <v>115</v>
      </c>
      <c r="DX44">
        <v>10</v>
      </c>
      <c r="EE44">
        <v>41318551</v>
      </c>
      <c r="EF44">
        <v>12</v>
      </c>
      <c r="EG44" t="s">
        <v>46</v>
      </c>
      <c r="EH44">
        <v>0</v>
      </c>
      <c r="EI44" t="s">
        <v>3</v>
      </c>
      <c r="EJ44">
        <v>2</v>
      </c>
      <c r="EK44">
        <v>500002</v>
      </c>
      <c r="EL44" t="s">
        <v>47</v>
      </c>
      <c r="EM44" t="s">
        <v>48</v>
      </c>
      <c r="EO44" t="s">
        <v>3</v>
      </c>
      <c r="EQ44">
        <v>0</v>
      </c>
      <c r="ER44">
        <v>67.3</v>
      </c>
      <c r="ES44">
        <v>67.3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FQ44">
        <v>0</v>
      </c>
      <c r="FR44">
        <f t="shared" si="44"/>
        <v>0</v>
      </c>
      <c r="FS44">
        <v>0</v>
      </c>
      <c r="FX44">
        <v>0</v>
      </c>
      <c r="FY44">
        <v>0</v>
      </c>
      <c r="GA44" t="s">
        <v>3</v>
      </c>
      <c r="GD44">
        <v>1</v>
      </c>
      <c r="GF44">
        <v>700347679</v>
      </c>
      <c r="GG44">
        <v>2</v>
      </c>
      <c r="GH44">
        <v>1</v>
      </c>
      <c r="GI44">
        <v>2</v>
      </c>
      <c r="GJ44">
        <v>0</v>
      </c>
      <c r="GK44">
        <v>0</v>
      </c>
      <c r="GL44">
        <f t="shared" si="45"/>
        <v>0</v>
      </c>
      <c r="GM44">
        <f t="shared" si="46"/>
        <v>19.850000000000001</v>
      </c>
      <c r="GN44">
        <f t="shared" si="47"/>
        <v>0</v>
      </c>
      <c r="GO44">
        <f t="shared" si="48"/>
        <v>19.850000000000001</v>
      </c>
      <c r="GP44">
        <f t="shared" si="49"/>
        <v>0</v>
      </c>
      <c r="GR44">
        <v>0</v>
      </c>
      <c r="GS44">
        <v>3</v>
      </c>
      <c r="GT44">
        <v>0</v>
      </c>
      <c r="GU44" t="s">
        <v>3</v>
      </c>
      <c r="GV44">
        <f t="shared" si="50"/>
        <v>0</v>
      </c>
      <c r="GW44">
        <v>1</v>
      </c>
      <c r="GX44">
        <f t="shared" si="51"/>
        <v>0</v>
      </c>
      <c r="HA44">
        <v>0</v>
      </c>
      <c r="HB44">
        <v>0</v>
      </c>
      <c r="HC44">
        <f t="shared" si="52"/>
        <v>0</v>
      </c>
      <c r="IK44">
        <v>0</v>
      </c>
    </row>
    <row r="45" spans="1:245" x14ac:dyDescent="0.2">
      <c r="A45">
        <v>17</v>
      </c>
      <c r="B45">
        <v>1</v>
      </c>
      <c r="C45">
        <f>ROW(SmtRes!A91)</f>
        <v>91</v>
      </c>
      <c r="D45">
        <f>ROW(EtalonRes!A93)</f>
        <v>93</v>
      </c>
      <c r="E45" t="s">
        <v>117</v>
      </c>
      <c r="F45" t="s">
        <v>118</v>
      </c>
      <c r="G45" t="s">
        <v>119</v>
      </c>
      <c r="H45" t="s">
        <v>120</v>
      </c>
      <c r="I45">
        <f>ROUND(0.14,2)</f>
        <v>0.14000000000000001</v>
      </c>
      <c r="J45">
        <v>0</v>
      </c>
      <c r="O45">
        <f t="shared" si="15"/>
        <v>856.91</v>
      </c>
      <c r="P45">
        <f t="shared" si="16"/>
        <v>32.520000000000003</v>
      </c>
      <c r="Q45">
        <f t="shared" si="17"/>
        <v>59.64</v>
      </c>
      <c r="R45">
        <f t="shared" si="18"/>
        <v>5.21</v>
      </c>
      <c r="S45">
        <f t="shared" si="19"/>
        <v>764.75</v>
      </c>
      <c r="T45">
        <f t="shared" si="20"/>
        <v>0</v>
      </c>
      <c r="U45">
        <f t="shared" si="21"/>
        <v>2.6656</v>
      </c>
      <c r="V45">
        <f t="shared" si="22"/>
        <v>1.26E-2</v>
      </c>
      <c r="W45">
        <f t="shared" si="23"/>
        <v>0</v>
      </c>
      <c r="X45">
        <f t="shared" si="24"/>
        <v>731.46</v>
      </c>
      <c r="Y45">
        <f t="shared" si="25"/>
        <v>500.47</v>
      </c>
      <c r="AA45">
        <v>43156991</v>
      </c>
      <c r="AB45">
        <f t="shared" si="26"/>
        <v>248.61</v>
      </c>
      <c r="AC45">
        <f t="shared" si="27"/>
        <v>24.12</v>
      </c>
      <c r="AD45">
        <f t="shared" si="28"/>
        <v>45.51</v>
      </c>
      <c r="AE45">
        <f t="shared" si="29"/>
        <v>1.22</v>
      </c>
      <c r="AF45">
        <f t="shared" si="30"/>
        <v>178.98</v>
      </c>
      <c r="AG45">
        <f t="shared" si="31"/>
        <v>0</v>
      </c>
      <c r="AH45">
        <f t="shared" si="32"/>
        <v>19.04</v>
      </c>
      <c r="AI45">
        <f t="shared" si="33"/>
        <v>0.09</v>
      </c>
      <c r="AJ45">
        <f t="shared" si="34"/>
        <v>0</v>
      </c>
      <c r="AK45">
        <v>248.61</v>
      </c>
      <c r="AL45">
        <v>24.12</v>
      </c>
      <c r="AM45">
        <v>45.51</v>
      </c>
      <c r="AN45">
        <v>1.22</v>
      </c>
      <c r="AO45">
        <v>178.98</v>
      </c>
      <c r="AP45">
        <v>0</v>
      </c>
      <c r="AQ45">
        <v>19.04</v>
      </c>
      <c r="AR45">
        <v>0.09</v>
      </c>
      <c r="AS45">
        <v>0</v>
      </c>
      <c r="AT45">
        <v>95</v>
      </c>
      <c r="AU45">
        <v>65</v>
      </c>
      <c r="AV45">
        <v>1</v>
      </c>
      <c r="AW45">
        <v>1</v>
      </c>
      <c r="AZ45">
        <v>1</v>
      </c>
      <c r="BA45">
        <v>30.52</v>
      </c>
      <c r="BB45">
        <v>9.36</v>
      </c>
      <c r="BC45">
        <v>9.6300000000000008</v>
      </c>
      <c r="BD45" t="s">
        <v>3</v>
      </c>
      <c r="BE45" t="s">
        <v>3</v>
      </c>
      <c r="BF45" t="s">
        <v>3</v>
      </c>
      <c r="BG45" t="s">
        <v>3</v>
      </c>
      <c r="BH45">
        <v>0</v>
      </c>
      <c r="BI45">
        <v>2</v>
      </c>
      <c r="BJ45" t="s">
        <v>121</v>
      </c>
      <c r="BM45">
        <v>108001</v>
      </c>
      <c r="BN45">
        <v>0</v>
      </c>
      <c r="BO45" t="s">
        <v>118</v>
      </c>
      <c r="BP45">
        <v>1</v>
      </c>
      <c r="BQ45">
        <v>3</v>
      </c>
      <c r="BR45">
        <v>0</v>
      </c>
      <c r="BS45">
        <v>30.52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95</v>
      </c>
      <c r="CA45">
        <v>65</v>
      </c>
      <c r="CE45">
        <v>0</v>
      </c>
      <c r="CF45">
        <v>0</v>
      </c>
      <c r="CG45">
        <v>0</v>
      </c>
      <c r="CM45">
        <v>0</v>
      </c>
      <c r="CN45" t="s">
        <v>3</v>
      </c>
      <c r="CO45">
        <v>0</v>
      </c>
      <c r="CP45">
        <f t="shared" si="35"/>
        <v>856.91</v>
      </c>
      <c r="CQ45">
        <f t="shared" si="36"/>
        <v>232.27560000000003</v>
      </c>
      <c r="CR45">
        <f t="shared" si="37"/>
        <v>425.97359999999998</v>
      </c>
      <c r="CS45">
        <f t="shared" si="38"/>
        <v>37.234400000000001</v>
      </c>
      <c r="CT45">
        <f t="shared" si="39"/>
        <v>5462.4695999999994</v>
      </c>
      <c r="CU45">
        <f t="shared" si="40"/>
        <v>0</v>
      </c>
      <c r="CV45">
        <f t="shared" si="41"/>
        <v>19.04</v>
      </c>
      <c r="CW45">
        <f t="shared" si="42"/>
        <v>0.09</v>
      </c>
      <c r="CX45">
        <f t="shared" si="43"/>
        <v>0</v>
      </c>
      <c r="CY45">
        <f t="shared" si="55"/>
        <v>731.46199999999999</v>
      </c>
      <c r="CZ45">
        <f t="shared" si="56"/>
        <v>500.47399999999999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1003</v>
      </c>
      <c r="DV45" t="s">
        <v>120</v>
      </c>
      <c r="DW45" t="s">
        <v>120</v>
      </c>
      <c r="DX45">
        <v>100</v>
      </c>
      <c r="EE45">
        <v>41318495</v>
      </c>
      <c r="EF45">
        <v>3</v>
      </c>
      <c r="EG45" t="s">
        <v>25</v>
      </c>
      <c r="EH45">
        <v>0</v>
      </c>
      <c r="EI45" t="s">
        <v>3</v>
      </c>
      <c r="EJ45">
        <v>2</v>
      </c>
      <c r="EK45">
        <v>108001</v>
      </c>
      <c r="EL45" t="s">
        <v>53</v>
      </c>
      <c r="EM45" t="s">
        <v>54</v>
      </c>
      <c r="EO45" t="s">
        <v>3</v>
      </c>
      <c r="EQ45">
        <v>131072</v>
      </c>
      <c r="ER45">
        <v>248.61</v>
      </c>
      <c r="ES45">
        <v>24.12</v>
      </c>
      <c r="ET45">
        <v>45.51</v>
      </c>
      <c r="EU45">
        <v>1.22</v>
      </c>
      <c r="EV45">
        <v>178.98</v>
      </c>
      <c r="EW45">
        <v>19.04</v>
      </c>
      <c r="EX45">
        <v>0.09</v>
      </c>
      <c r="EY45">
        <v>0</v>
      </c>
      <c r="FQ45">
        <v>0</v>
      </c>
      <c r="FR45">
        <f t="shared" si="44"/>
        <v>0</v>
      </c>
      <c r="FS45">
        <v>0</v>
      </c>
      <c r="FX45">
        <v>95</v>
      </c>
      <c r="FY45">
        <v>65</v>
      </c>
      <c r="GA45" t="s">
        <v>3</v>
      </c>
      <c r="GD45">
        <v>1</v>
      </c>
      <c r="GF45">
        <v>1124962430</v>
      </c>
      <c r="GG45">
        <v>2</v>
      </c>
      <c r="GH45">
        <v>1</v>
      </c>
      <c r="GI45">
        <v>2</v>
      </c>
      <c r="GJ45">
        <v>0</v>
      </c>
      <c r="GK45">
        <v>0</v>
      </c>
      <c r="GL45">
        <f t="shared" si="45"/>
        <v>0</v>
      </c>
      <c r="GM45">
        <f t="shared" si="46"/>
        <v>2088.84</v>
      </c>
      <c r="GN45">
        <f t="shared" si="47"/>
        <v>0</v>
      </c>
      <c r="GO45">
        <f t="shared" si="48"/>
        <v>2088.84</v>
      </c>
      <c r="GP45">
        <f t="shared" si="49"/>
        <v>0</v>
      </c>
      <c r="GR45">
        <v>0</v>
      </c>
      <c r="GS45">
        <v>3</v>
      </c>
      <c r="GT45">
        <v>0</v>
      </c>
      <c r="GU45" t="s">
        <v>3</v>
      </c>
      <c r="GV45">
        <f t="shared" si="50"/>
        <v>0</v>
      </c>
      <c r="GW45">
        <v>1</v>
      </c>
      <c r="GX45">
        <f t="shared" si="51"/>
        <v>0</v>
      </c>
      <c r="HA45">
        <v>0</v>
      </c>
      <c r="HB45">
        <v>0</v>
      </c>
      <c r="HC45">
        <f t="shared" si="52"/>
        <v>0</v>
      </c>
      <c r="IK45">
        <v>0</v>
      </c>
    </row>
    <row r="46" spans="1:245" x14ac:dyDescent="0.2">
      <c r="A46">
        <v>17</v>
      </c>
      <c r="B46">
        <v>1</v>
      </c>
      <c r="E46" t="s">
        <v>122</v>
      </c>
      <c r="F46" t="s">
        <v>123</v>
      </c>
      <c r="G46" t="s">
        <v>124</v>
      </c>
      <c r="H46" t="s">
        <v>125</v>
      </c>
      <c r="I46">
        <f>ROUND(1.4,2)</f>
        <v>1.4</v>
      </c>
      <c r="J46">
        <v>0</v>
      </c>
      <c r="O46">
        <f t="shared" si="15"/>
        <v>149.56</v>
      </c>
      <c r="P46">
        <f t="shared" si="16"/>
        <v>149.56</v>
      </c>
      <c r="Q46">
        <f t="shared" si="17"/>
        <v>0</v>
      </c>
      <c r="R46">
        <f t="shared" si="18"/>
        <v>0</v>
      </c>
      <c r="S46">
        <f t="shared" si="19"/>
        <v>0</v>
      </c>
      <c r="T46">
        <f t="shared" si="20"/>
        <v>0</v>
      </c>
      <c r="U46">
        <f t="shared" si="21"/>
        <v>0</v>
      </c>
      <c r="V46">
        <f t="shared" si="22"/>
        <v>0</v>
      </c>
      <c r="W46">
        <f t="shared" si="23"/>
        <v>0.01</v>
      </c>
      <c r="X46">
        <f t="shared" si="24"/>
        <v>0</v>
      </c>
      <c r="Y46">
        <f t="shared" si="25"/>
        <v>0</v>
      </c>
      <c r="AA46">
        <v>43156991</v>
      </c>
      <c r="AB46">
        <f t="shared" si="26"/>
        <v>23.74</v>
      </c>
      <c r="AC46">
        <f t="shared" si="27"/>
        <v>23.74</v>
      </c>
      <c r="AD46">
        <f t="shared" si="28"/>
        <v>0</v>
      </c>
      <c r="AE46">
        <f t="shared" si="29"/>
        <v>0</v>
      </c>
      <c r="AF46">
        <f t="shared" si="30"/>
        <v>0</v>
      </c>
      <c r="AG46">
        <f t="shared" si="31"/>
        <v>0</v>
      </c>
      <c r="AH46">
        <f t="shared" si="32"/>
        <v>0</v>
      </c>
      <c r="AI46">
        <f t="shared" si="33"/>
        <v>0</v>
      </c>
      <c r="AJ46">
        <f t="shared" si="34"/>
        <v>0.01</v>
      </c>
      <c r="AK46">
        <v>23.74</v>
      </c>
      <c r="AL46">
        <v>23.74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0.01</v>
      </c>
      <c r="AT46">
        <v>0</v>
      </c>
      <c r="AU46">
        <v>0</v>
      </c>
      <c r="AV46">
        <v>1</v>
      </c>
      <c r="AW46">
        <v>1</v>
      </c>
      <c r="AZ46">
        <v>1</v>
      </c>
      <c r="BA46">
        <v>1</v>
      </c>
      <c r="BB46">
        <v>1</v>
      </c>
      <c r="BC46">
        <v>4.5</v>
      </c>
      <c r="BD46" t="s">
        <v>3</v>
      </c>
      <c r="BE46" t="s">
        <v>3</v>
      </c>
      <c r="BF46" t="s">
        <v>3</v>
      </c>
      <c r="BG46" t="s">
        <v>3</v>
      </c>
      <c r="BH46">
        <v>3</v>
      </c>
      <c r="BI46">
        <v>1</v>
      </c>
      <c r="BJ46" t="s">
        <v>126</v>
      </c>
      <c r="BM46">
        <v>500001</v>
      </c>
      <c r="BN46">
        <v>0</v>
      </c>
      <c r="BO46" t="s">
        <v>123</v>
      </c>
      <c r="BP46">
        <v>1</v>
      </c>
      <c r="BQ46">
        <v>8</v>
      </c>
      <c r="BR46">
        <v>0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3</v>
      </c>
      <c r="BZ46">
        <v>0</v>
      </c>
      <c r="CA46">
        <v>0</v>
      </c>
      <c r="CE46">
        <v>0</v>
      </c>
      <c r="CF46">
        <v>0</v>
      </c>
      <c r="CG46">
        <v>0</v>
      </c>
      <c r="CM46">
        <v>0</v>
      </c>
      <c r="CN46" t="s">
        <v>3</v>
      </c>
      <c r="CO46">
        <v>0</v>
      </c>
      <c r="CP46">
        <f t="shared" si="35"/>
        <v>149.56</v>
      </c>
      <c r="CQ46">
        <f t="shared" si="36"/>
        <v>106.83</v>
      </c>
      <c r="CR46">
        <f t="shared" si="37"/>
        <v>0</v>
      </c>
      <c r="CS46">
        <f t="shared" si="38"/>
        <v>0</v>
      </c>
      <c r="CT46">
        <f t="shared" si="39"/>
        <v>0</v>
      </c>
      <c r="CU46">
        <f t="shared" si="40"/>
        <v>0</v>
      </c>
      <c r="CV46">
        <f t="shared" si="41"/>
        <v>0</v>
      </c>
      <c r="CW46">
        <f t="shared" si="42"/>
        <v>0</v>
      </c>
      <c r="CX46">
        <f t="shared" si="43"/>
        <v>0.01</v>
      </c>
      <c r="CY46">
        <f t="shared" si="55"/>
        <v>0</v>
      </c>
      <c r="CZ46">
        <f t="shared" si="56"/>
        <v>0</v>
      </c>
      <c r="DC46" t="s">
        <v>3</v>
      </c>
      <c r="DD46" t="s">
        <v>3</v>
      </c>
      <c r="DE46" t="s">
        <v>3</v>
      </c>
      <c r="DF46" t="s">
        <v>3</v>
      </c>
      <c r="DG46" t="s">
        <v>3</v>
      </c>
      <c r="DH46" t="s">
        <v>3</v>
      </c>
      <c r="DI46" t="s">
        <v>3</v>
      </c>
      <c r="DJ46" t="s">
        <v>3</v>
      </c>
      <c r="DK46" t="s">
        <v>3</v>
      </c>
      <c r="DL46" t="s">
        <v>3</v>
      </c>
      <c r="DM46" t="s">
        <v>3</v>
      </c>
      <c r="DN46">
        <v>0</v>
      </c>
      <c r="DO46">
        <v>0</v>
      </c>
      <c r="DP46">
        <v>1</v>
      </c>
      <c r="DQ46">
        <v>1</v>
      </c>
      <c r="DU46">
        <v>1003</v>
      </c>
      <c r="DV46" t="s">
        <v>125</v>
      </c>
      <c r="DW46" t="s">
        <v>125</v>
      </c>
      <c r="DX46">
        <v>10</v>
      </c>
      <c r="EE46">
        <v>41318550</v>
      </c>
      <c r="EF46">
        <v>8</v>
      </c>
      <c r="EG46" t="s">
        <v>127</v>
      </c>
      <c r="EH46">
        <v>0</v>
      </c>
      <c r="EI46" t="s">
        <v>3</v>
      </c>
      <c r="EJ46">
        <v>1</v>
      </c>
      <c r="EK46">
        <v>500001</v>
      </c>
      <c r="EL46" t="s">
        <v>128</v>
      </c>
      <c r="EM46" t="s">
        <v>129</v>
      </c>
      <c r="EO46" t="s">
        <v>3</v>
      </c>
      <c r="EQ46">
        <v>0</v>
      </c>
      <c r="ER46">
        <v>23.74</v>
      </c>
      <c r="ES46">
        <v>23.74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FQ46">
        <v>0</v>
      </c>
      <c r="FR46">
        <f t="shared" si="44"/>
        <v>0</v>
      </c>
      <c r="FS46">
        <v>0</v>
      </c>
      <c r="FX46">
        <v>0</v>
      </c>
      <c r="FY46">
        <v>0</v>
      </c>
      <c r="GA46" t="s">
        <v>3</v>
      </c>
      <c r="GD46">
        <v>1</v>
      </c>
      <c r="GF46">
        <v>-1667414094</v>
      </c>
      <c r="GG46">
        <v>2</v>
      </c>
      <c r="GH46">
        <v>1</v>
      </c>
      <c r="GI46">
        <v>2</v>
      </c>
      <c r="GJ46">
        <v>0</v>
      </c>
      <c r="GK46">
        <v>0</v>
      </c>
      <c r="GL46">
        <f t="shared" si="45"/>
        <v>0</v>
      </c>
      <c r="GM46">
        <f t="shared" si="46"/>
        <v>149.56</v>
      </c>
      <c r="GN46">
        <f t="shared" si="47"/>
        <v>149.56</v>
      </c>
      <c r="GO46">
        <f t="shared" si="48"/>
        <v>0</v>
      </c>
      <c r="GP46">
        <f t="shared" si="49"/>
        <v>0</v>
      </c>
      <c r="GR46">
        <v>0</v>
      </c>
      <c r="GS46">
        <v>3</v>
      </c>
      <c r="GT46">
        <v>0</v>
      </c>
      <c r="GU46" t="s">
        <v>3</v>
      </c>
      <c r="GV46">
        <f t="shared" si="50"/>
        <v>0</v>
      </c>
      <c r="GW46">
        <v>1</v>
      </c>
      <c r="GX46">
        <f t="shared" si="51"/>
        <v>0</v>
      </c>
      <c r="HA46">
        <v>0</v>
      </c>
      <c r="HB46">
        <v>0</v>
      </c>
      <c r="HC46">
        <f t="shared" si="52"/>
        <v>0</v>
      </c>
      <c r="IK46">
        <v>0</v>
      </c>
    </row>
    <row r="47" spans="1:245" x14ac:dyDescent="0.2">
      <c r="A47">
        <v>17</v>
      </c>
      <c r="B47">
        <v>1</v>
      </c>
      <c r="E47" t="s">
        <v>130</v>
      </c>
      <c r="F47" t="s">
        <v>131</v>
      </c>
      <c r="G47" t="s">
        <v>132</v>
      </c>
      <c r="H47" t="s">
        <v>115</v>
      </c>
      <c r="I47">
        <f>ROUND(4.3,2)</f>
        <v>4.3</v>
      </c>
      <c r="J47">
        <v>0</v>
      </c>
      <c r="O47">
        <f t="shared" si="15"/>
        <v>131.13</v>
      </c>
      <c r="P47">
        <f t="shared" si="16"/>
        <v>131.13</v>
      </c>
      <c r="Q47">
        <f t="shared" si="17"/>
        <v>0</v>
      </c>
      <c r="R47">
        <f t="shared" si="18"/>
        <v>0</v>
      </c>
      <c r="S47">
        <f t="shared" si="19"/>
        <v>0</v>
      </c>
      <c r="T47">
        <f t="shared" si="20"/>
        <v>0</v>
      </c>
      <c r="U47">
        <f t="shared" si="21"/>
        <v>0</v>
      </c>
      <c r="V47">
        <f t="shared" si="22"/>
        <v>0</v>
      </c>
      <c r="W47">
        <f t="shared" si="23"/>
        <v>0.04</v>
      </c>
      <c r="X47">
        <f t="shared" si="24"/>
        <v>0</v>
      </c>
      <c r="Y47">
        <f t="shared" si="25"/>
        <v>0</v>
      </c>
      <c r="AA47">
        <v>43156991</v>
      </c>
      <c r="AB47">
        <f t="shared" si="26"/>
        <v>1.9</v>
      </c>
      <c r="AC47">
        <f t="shared" si="27"/>
        <v>1.9</v>
      </c>
      <c r="AD47">
        <f t="shared" si="28"/>
        <v>0</v>
      </c>
      <c r="AE47">
        <f t="shared" si="29"/>
        <v>0</v>
      </c>
      <c r="AF47">
        <f t="shared" si="30"/>
        <v>0</v>
      </c>
      <c r="AG47">
        <f t="shared" si="31"/>
        <v>0</v>
      </c>
      <c r="AH47">
        <f t="shared" si="32"/>
        <v>0</v>
      </c>
      <c r="AI47">
        <f t="shared" si="33"/>
        <v>0</v>
      </c>
      <c r="AJ47">
        <f t="shared" si="34"/>
        <v>0.01</v>
      </c>
      <c r="AK47">
        <v>1.9</v>
      </c>
      <c r="AL47">
        <v>1.9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0.01</v>
      </c>
      <c r="AT47">
        <v>0</v>
      </c>
      <c r="AU47">
        <v>0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16.05</v>
      </c>
      <c r="BD47" t="s">
        <v>3</v>
      </c>
      <c r="BE47" t="s">
        <v>3</v>
      </c>
      <c r="BF47" t="s">
        <v>3</v>
      </c>
      <c r="BG47" t="s">
        <v>3</v>
      </c>
      <c r="BH47">
        <v>3</v>
      </c>
      <c r="BI47">
        <v>1</v>
      </c>
      <c r="BJ47" t="s">
        <v>133</v>
      </c>
      <c r="BM47">
        <v>500001</v>
      </c>
      <c r="BN47">
        <v>0</v>
      </c>
      <c r="BO47" t="s">
        <v>131</v>
      </c>
      <c r="BP47">
        <v>1</v>
      </c>
      <c r="BQ47">
        <v>8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0</v>
      </c>
      <c r="CA47">
        <v>0</v>
      </c>
      <c r="CE47">
        <v>0</v>
      </c>
      <c r="CF47">
        <v>0</v>
      </c>
      <c r="CG47">
        <v>0</v>
      </c>
      <c r="CM47">
        <v>0</v>
      </c>
      <c r="CN47" t="s">
        <v>3</v>
      </c>
      <c r="CO47">
        <v>0</v>
      </c>
      <c r="CP47">
        <f t="shared" si="35"/>
        <v>131.13</v>
      </c>
      <c r="CQ47">
        <f t="shared" si="36"/>
        <v>30.495000000000001</v>
      </c>
      <c r="CR47">
        <f t="shared" si="37"/>
        <v>0</v>
      </c>
      <c r="CS47">
        <f t="shared" si="38"/>
        <v>0</v>
      </c>
      <c r="CT47">
        <f t="shared" si="39"/>
        <v>0</v>
      </c>
      <c r="CU47">
        <f t="shared" si="40"/>
        <v>0</v>
      </c>
      <c r="CV47">
        <f t="shared" si="41"/>
        <v>0</v>
      </c>
      <c r="CW47">
        <f t="shared" si="42"/>
        <v>0</v>
      </c>
      <c r="CX47">
        <f t="shared" si="43"/>
        <v>0.01</v>
      </c>
      <c r="CY47">
        <f t="shared" si="55"/>
        <v>0</v>
      </c>
      <c r="CZ47">
        <f t="shared" si="56"/>
        <v>0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1010</v>
      </c>
      <c r="DV47" t="s">
        <v>115</v>
      </c>
      <c r="DW47" t="s">
        <v>115</v>
      </c>
      <c r="DX47">
        <v>10</v>
      </c>
      <c r="EE47">
        <v>41318550</v>
      </c>
      <c r="EF47">
        <v>8</v>
      </c>
      <c r="EG47" t="s">
        <v>127</v>
      </c>
      <c r="EH47">
        <v>0</v>
      </c>
      <c r="EI47" t="s">
        <v>3</v>
      </c>
      <c r="EJ47">
        <v>1</v>
      </c>
      <c r="EK47">
        <v>500001</v>
      </c>
      <c r="EL47" t="s">
        <v>128</v>
      </c>
      <c r="EM47" t="s">
        <v>129</v>
      </c>
      <c r="EO47" t="s">
        <v>3</v>
      </c>
      <c r="EQ47">
        <v>131072</v>
      </c>
      <c r="ER47">
        <v>1.9</v>
      </c>
      <c r="ES47">
        <v>1.9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FQ47">
        <v>0</v>
      </c>
      <c r="FR47">
        <f t="shared" si="44"/>
        <v>0</v>
      </c>
      <c r="FS47">
        <v>0</v>
      </c>
      <c r="FX47">
        <v>0</v>
      </c>
      <c r="FY47">
        <v>0</v>
      </c>
      <c r="GA47" t="s">
        <v>3</v>
      </c>
      <c r="GD47">
        <v>1</v>
      </c>
      <c r="GF47">
        <v>-1140510471</v>
      </c>
      <c r="GG47">
        <v>2</v>
      </c>
      <c r="GH47">
        <v>1</v>
      </c>
      <c r="GI47">
        <v>2</v>
      </c>
      <c r="GJ47">
        <v>0</v>
      </c>
      <c r="GK47">
        <v>0</v>
      </c>
      <c r="GL47">
        <f t="shared" si="45"/>
        <v>0</v>
      </c>
      <c r="GM47">
        <f t="shared" si="46"/>
        <v>131.13</v>
      </c>
      <c r="GN47">
        <f t="shared" si="47"/>
        <v>131.13</v>
      </c>
      <c r="GO47">
        <f t="shared" si="48"/>
        <v>0</v>
      </c>
      <c r="GP47">
        <f t="shared" si="49"/>
        <v>0</v>
      </c>
      <c r="GR47">
        <v>0</v>
      </c>
      <c r="GS47">
        <v>3</v>
      </c>
      <c r="GT47">
        <v>0</v>
      </c>
      <c r="GU47" t="s">
        <v>3</v>
      </c>
      <c r="GV47">
        <f t="shared" si="50"/>
        <v>0</v>
      </c>
      <c r="GW47">
        <v>1</v>
      </c>
      <c r="GX47">
        <f t="shared" si="51"/>
        <v>0</v>
      </c>
      <c r="HA47">
        <v>0</v>
      </c>
      <c r="HB47">
        <v>0</v>
      </c>
      <c r="HC47">
        <f t="shared" si="52"/>
        <v>0</v>
      </c>
      <c r="IK47">
        <v>0</v>
      </c>
    </row>
    <row r="48" spans="1:245" x14ac:dyDescent="0.2">
      <c r="A48">
        <v>17</v>
      </c>
      <c r="B48">
        <v>1</v>
      </c>
      <c r="C48">
        <f>ROW(SmtRes!A99)</f>
        <v>99</v>
      </c>
      <c r="D48">
        <f>ROW(EtalonRes!A101)</f>
        <v>101</v>
      </c>
      <c r="E48" t="s">
        <v>134</v>
      </c>
      <c r="F48" t="s">
        <v>135</v>
      </c>
      <c r="G48" t="s">
        <v>136</v>
      </c>
      <c r="H48" t="s">
        <v>120</v>
      </c>
      <c r="I48">
        <f>ROUND(0.2,2)</f>
        <v>0.2</v>
      </c>
      <c r="J48">
        <v>0</v>
      </c>
      <c r="O48">
        <f t="shared" si="15"/>
        <v>1046.1199999999999</v>
      </c>
      <c r="P48">
        <f t="shared" si="16"/>
        <v>45.58</v>
      </c>
      <c r="Q48">
        <f t="shared" si="17"/>
        <v>54.91</v>
      </c>
      <c r="R48">
        <f t="shared" si="18"/>
        <v>0.85</v>
      </c>
      <c r="S48">
        <f t="shared" si="19"/>
        <v>945.63</v>
      </c>
      <c r="T48">
        <f t="shared" si="20"/>
        <v>0</v>
      </c>
      <c r="U48">
        <f t="shared" si="21"/>
        <v>3.258</v>
      </c>
      <c r="V48">
        <f t="shared" si="22"/>
        <v>2E-3</v>
      </c>
      <c r="W48">
        <f t="shared" si="23"/>
        <v>0</v>
      </c>
      <c r="X48">
        <f t="shared" si="24"/>
        <v>899.16</v>
      </c>
      <c r="Y48">
        <f t="shared" si="25"/>
        <v>615.21</v>
      </c>
      <c r="AA48">
        <v>43156991</v>
      </c>
      <c r="AB48">
        <f t="shared" si="26"/>
        <v>237.45</v>
      </c>
      <c r="AC48">
        <f t="shared" si="27"/>
        <v>51.33</v>
      </c>
      <c r="AD48">
        <f t="shared" si="28"/>
        <v>31.2</v>
      </c>
      <c r="AE48">
        <f t="shared" si="29"/>
        <v>0.14000000000000001</v>
      </c>
      <c r="AF48">
        <f t="shared" si="30"/>
        <v>154.91999999999999</v>
      </c>
      <c r="AG48">
        <f t="shared" si="31"/>
        <v>0</v>
      </c>
      <c r="AH48">
        <f t="shared" si="32"/>
        <v>16.29</v>
      </c>
      <c r="AI48">
        <f t="shared" si="33"/>
        <v>0.01</v>
      </c>
      <c r="AJ48">
        <f t="shared" si="34"/>
        <v>0</v>
      </c>
      <c r="AK48">
        <v>237.45</v>
      </c>
      <c r="AL48">
        <v>51.33</v>
      </c>
      <c r="AM48">
        <v>31.2</v>
      </c>
      <c r="AN48">
        <v>0.14000000000000001</v>
      </c>
      <c r="AO48">
        <v>154.91999999999999</v>
      </c>
      <c r="AP48">
        <v>0</v>
      </c>
      <c r="AQ48">
        <v>16.29</v>
      </c>
      <c r="AR48">
        <v>0.01</v>
      </c>
      <c r="AS48">
        <v>0</v>
      </c>
      <c r="AT48">
        <v>95</v>
      </c>
      <c r="AU48">
        <v>65</v>
      </c>
      <c r="AV48">
        <v>1</v>
      </c>
      <c r="AW48">
        <v>1</v>
      </c>
      <c r="AZ48">
        <v>1</v>
      </c>
      <c r="BA48">
        <v>30.52</v>
      </c>
      <c r="BB48">
        <v>8.8000000000000007</v>
      </c>
      <c r="BC48">
        <v>4.4400000000000004</v>
      </c>
      <c r="BD48" t="s">
        <v>3</v>
      </c>
      <c r="BE48" t="s">
        <v>3</v>
      </c>
      <c r="BF48" t="s">
        <v>3</v>
      </c>
      <c r="BG48" t="s">
        <v>3</v>
      </c>
      <c r="BH48">
        <v>0</v>
      </c>
      <c r="BI48">
        <v>2</v>
      </c>
      <c r="BJ48" t="s">
        <v>137</v>
      </c>
      <c r="BM48">
        <v>108001</v>
      </c>
      <c r="BN48">
        <v>0</v>
      </c>
      <c r="BO48" t="s">
        <v>135</v>
      </c>
      <c r="BP48">
        <v>1</v>
      </c>
      <c r="BQ48">
        <v>3</v>
      </c>
      <c r="BR48">
        <v>0</v>
      </c>
      <c r="BS48">
        <v>30.52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3</v>
      </c>
      <c r="BZ48">
        <v>95</v>
      </c>
      <c r="CA48">
        <v>65</v>
      </c>
      <c r="CE48">
        <v>0</v>
      </c>
      <c r="CF48">
        <v>0</v>
      </c>
      <c r="CG48">
        <v>0</v>
      </c>
      <c r="CM48">
        <v>0</v>
      </c>
      <c r="CN48" t="s">
        <v>3</v>
      </c>
      <c r="CO48">
        <v>0</v>
      </c>
      <c r="CP48">
        <f t="shared" si="35"/>
        <v>1046.1199999999999</v>
      </c>
      <c r="CQ48">
        <f t="shared" si="36"/>
        <v>227.90520000000001</v>
      </c>
      <c r="CR48">
        <f t="shared" si="37"/>
        <v>274.56</v>
      </c>
      <c r="CS48">
        <f t="shared" si="38"/>
        <v>4.2728000000000002</v>
      </c>
      <c r="CT48">
        <f t="shared" si="39"/>
        <v>4728.1583999999993</v>
      </c>
      <c r="CU48">
        <f t="shared" si="40"/>
        <v>0</v>
      </c>
      <c r="CV48">
        <f t="shared" si="41"/>
        <v>16.29</v>
      </c>
      <c r="CW48">
        <f t="shared" si="42"/>
        <v>0.01</v>
      </c>
      <c r="CX48">
        <f t="shared" si="43"/>
        <v>0</v>
      </c>
      <c r="CY48">
        <f t="shared" si="55"/>
        <v>899.15600000000006</v>
      </c>
      <c r="CZ48">
        <f t="shared" si="56"/>
        <v>615.21199999999999</v>
      </c>
      <c r="DC48" t="s">
        <v>3</v>
      </c>
      <c r="DD48" t="s">
        <v>3</v>
      </c>
      <c r="DE48" t="s">
        <v>3</v>
      </c>
      <c r="DF48" t="s">
        <v>3</v>
      </c>
      <c r="DG48" t="s">
        <v>3</v>
      </c>
      <c r="DH48" t="s">
        <v>3</v>
      </c>
      <c r="DI48" t="s">
        <v>3</v>
      </c>
      <c r="DJ48" t="s">
        <v>3</v>
      </c>
      <c r="DK48" t="s">
        <v>3</v>
      </c>
      <c r="DL48" t="s">
        <v>3</v>
      </c>
      <c r="DM48" t="s">
        <v>3</v>
      </c>
      <c r="DN48">
        <v>0</v>
      </c>
      <c r="DO48">
        <v>0</v>
      </c>
      <c r="DP48">
        <v>1</v>
      </c>
      <c r="DQ48">
        <v>1</v>
      </c>
      <c r="DU48">
        <v>1003</v>
      </c>
      <c r="DV48" t="s">
        <v>120</v>
      </c>
      <c r="DW48" t="s">
        <v>120</v>
      </c>
      <c r="DX48">
        <v>100</v>
      </c>
      <c r="EE48">
        <v>41318495</v>
      </c>
      <c r="EF48">
        <v>3</v>
      </c>
      <c r="EG48" t="s">
        <v>25</v>
      </c>
      <c r="EH48">
        <v>0</v>
      </c>
      <c r="EI48" t="s">
        <v>3</v>
      </c>
      <c r="EJ48">
        <v>2</v>
      </c>
      <c r="EK48">
        <v>108001</v>
      </c>
      <c r="EL48" t="s">
        <v>53</v>
      </c>
      <c r="EM48" t="s">
        <v>54</v>
      </c>
      <c r="EO48" t="s">
        <v>3</v>
      </c>
      <c r="EQ48">
        <v>131072</v>
      </c>
      <c r="ER48">
        <v>237.45</v>
      </c>
      <c r="ES48">
        <v>51.33</v>
      </c>
      <c r="ET48">
        <v>31.2</v>
      </c>
      <c r="EU48">
        <v>0.14000000000000001</v>
      </c>
      <c r="EV48">
        <v>154.91999999999999</v>
      </c>
      <c r="EW48">
        <v>16.29</v>
      </c>
      <c r="EX48">
        <v>0.01</v>
      </c>
      <c r="EY48">
        <v>0</v>
      </c>
      <c r="FQ48">
        <v>0</v>
      </c>
      <c r="FR48">
        <f t="shared" si="44"/>
        <v>0</v>
      </c>
      <c r="FS48">
        <v>0</v>
      </c>
      <c r="FX48">
        <v>95</v>
      </c>
      <c r="FY48">
        <v>65</v>
      </c>
      <c r="GA48" t="s">
        <v>3</v>
      </c>
      <c r="GD48">
        <v>1</v>
      </c>
      <c r="GF48">
        <v>1113905812</v>
      </c>
      <c r="GG48">
        <v>2</v>
      </c>
      <c r="GH48">
        <v>1</v>
      </c>
      <c r="GI48">
        <v>2</v>
      </c>
      <c r="GJ48">
        <v>0</v>
      </c>
      <c r="GK48">
        <v>0</v>
      </c>
      <c r="GL48">
        <f t="shared" si="45"/>
        <v>0</v>
      </c>
      <c r="GM48">
        <f t="shared" si="46"/>
        <v>2560.4899999999998</v>
      </c>
      <c r="GN48">
        <f t="shared" si="47"/>
        <v>0</v>
      </c>
      <c r="GO48">
        <f t="shared" si="48"/>
        <v>2560.4899999999998</v>
      </c>
      <c r="GP48">
        <f t="shared" si="49"/>
        <v>0</v>
      </c>
      <c r="GR48">
        <v>0</v>
      </c>
      <c r="GS48">
        <v>3</v>
      </c>
      <c r="GT48">
        <v>0</v>
      </c>
      <c r="GU48" t="s">
        <v>3</v>
      </c>
      <c r="GV48">
        <f t="shared" si="50"/>
        <v>0</v>
      </c>
      <c r="GW48">
        <v>1</v>
      </c>
      <c r="GX48">
        <f t="shared" si="51"/>
        <v>0</v>
      </c>
      <c r="HA48">
        <v>0</v>
      </c>
      <c r="HB48">
        <v>0</v>
      </c>
      <c r="HC48">
        <f t="shared" si="52"/>
        <v>0</v>
      </c>
      <c r="IK48">
        <v>0</v>
      </c>
    </row>
    <row r="49" spans="1:245" x14ac:dyDescent="0.2">
      <c r="A49">
        <v>17</v>
      </c>
      <c r="B49">
        <v>1</v>
      </c>
      <c r="E49" t="s">
        <v>138</v>
      </c>
      <c r="F49" t="s">
        <v>139</v>
      </c>
      <c r="G49" t="s">
        <v>140</v>
      </c>
      <c r="H49" t="s">
        <v>120</v>
      </c>
      <c r="I49">
        <f>ROUND(0.1,2)</f>
        <v>0.1</v>
      </c>
      <c r="J49">
        <v>0</v>
      </c>
      <c r="O49">
        <f t="shared" si="15"/>
        <v>85.46</v>
      </c>
      <c r="P49">
        <f t="shared" si="16"/>
        <v>85.46</v>
      </c>
      <c r="Q49">
        <f t="shared" si="17"/>
        <v>0</v>
      </c>
      <c r="R49">
        <f t="shared" si="18"/>
        <v>0</v>
      </c>
      <c r="S49">
        <f t="shared" si="19"/>
        <v>0</v>
      </c>
      <c r="T49">
        <f t="shared" si="20"/>
        <v>0</v>
      </c>
      <c r="U49">
        <f t="shared" si="21"/>
        <v>0</v>
      </c>
      <c r="V49">
        <f t="shared" si="22"/>
        <v>0</v>
      </c>
      <c r="W49">
        <f t="shared" si="23"/>
        <v>0.06</v>
      </c>
      <c r="X49">
        <f t="shared" si="24"/>
        <v>0</v>
      </c>
      <c r="Y49">
        <f t="shared" si="25"/>
        <v>0</v>
      </c>
      <c r="AA49">
        <v>43156991</v>
      </c>
      <c r="AB49">
        <f t="shared" si="26"/>
        <v>173</v>
      </c>
      <c r="AC49">
        <f t="shared" si="27"/>
        <v>173</v>
      </c>
      <c r="AD49">
        <f t="shared" si="28"/>
        <v>0</v>
      </c>
      <c r="AE49">
        <f t="shared" si="29"/>
        <v>0</v>
      </c>
      <c r="AF49">
        <f t="shared" si="30"/>
        <v>0</v>
      </c>
      <c r="AG49">
        <f t="shared" si="31"/>
        <v>0</v>
      </c>
      <c r="AH49">
        <f t="shared" si="32"/>
        <v>0</v>
      </c>
      <c r="AI49">
        <f t="shared" si="33"/>
        <v>0</v>
      </c>
      <c r="AJ49">
        <f t="shared" si="34"/>
        <v>0.56000000000000005</v>
      </c>
      <c r="AK49">
        <v>173</v>
      </c>
      <c r="AL49">
        <v>173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0.56000000000000005</v>
      </c>
      <c r="AT49">
        <v>0</v>
      </c>
      <c r="AU49">
        <v>0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4.9400000000000004</v>
      </c>
      <c r="BD49" t="s">
        <v>3</v>
      </c>
      <c r="BE49" t="s">
        <v>3</v>
      </c>
      <c r="BF49" t="s">
        <v>3</v>
      </c>
      <c r="BG49" t="s">
        <v>3</v>
      </c>
      <c r="BH49">
        <v>3</v>
      </c>
      <c r="BI49">
        <v>2</v>
      </c>
      <c r="BJ49" t="s">
        <v>141</v>
      </c>
      <c r="BM49">
        <v>500002</v>
      </c>
      <c r="BN49">
        <v>0</v>
      </c>
      <c r="BO49" t="s">
        <v>139</v>
      </c>
      <c r="BP49">
        <v>1</v>
      </c>
      <c r="BQ49">
        <v>12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0</v>
      </c>
      <c r="CA49">
        <v>0</v>
      </c>
      <c r="CE49">
        <v>0</v>
      </c>
      <c r="CF49">
        <v>0</v>
      </c>
      <c r="CG49">
        <v>0</v>
      </c>
      <c r="CM49">
        <v>0</v>
      </c>
      <c r="CN49" t="s">
        <v>3</v>
      </c>
      <c r="CO49">
        <v>0</v>
      </c>
      <c r="CP49">
        <f t="shared" si="35"/>
        <v>85.46</v>
      </c>
      <c r="CQ49">
        <f t="shared" si="36"/>
        <v>854.62000000000012</v>
      </c>
      <c r="CR49">
        <f t="shared" si="37"/>
        <v>0</v>
      </c>
      <c r="CS49">
        <f t="shared" si="38"/>
        <v>0</v>
      </c>
      <c r="CT49">
        <f t="shared" si="39"/>
        <v>0</v>
      </c>
      <c r="CU49">
        <f t="shared" si="40"/>
        <v>0</v>
      </c>
      <c r="CV49">
        <f t="shared" si="41"/>
        <v>0</v>
      </c>
      <c r="CW49">
        <f t="shared" si="42"/>
        <v>0</v>
      </c>
      <c r="CX49">
        <f t="shared" si="43"/>
        <v>0.56000000000000005</v>
      </c>
      <c r="CY49">
        <f t="shared" si="55"/>
        <v>0</v>
      </c>
      <c r="CZ49">
        <f t="shared" si="56"/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1003</v>
      </c>
      <c r="DV49" t="s">
        <v>120</v>
      </c>
      <c r="DW49" t="s">
        <v>120</v>
      </c>
      <c r="DX49">
        <v>100</v>
      </c>
      <c r="EE49">
        <v>41318551</v>
      </c>
      <c r="EF49">
        <v>12</v>
      </c>
      <c r="EG49" t="s">
        <v>46</v>
      </c>
      <c r="EH49">
        <v>0</v>
      </c>
      <c r="EI49" t="s">
        <v>3</v>
      </c>
      <c r="EJ49">
        <v>2</v>
      </c>
      <c r="EK49">
        <v>500002</v>
      </c>
      <c r="EL49" t="s">
        <v>47</v>
      </c>
      <c r="EM49" t="s">
        <v>48</v>
      </c>
      <c r="EO49" t="s">
        <v>3</v>
      </c>
      <c r="EQ49">
        <v>131072</v>
      </c>
      <c r="ER49">
        <v>173</v>
      </c>
      <c r="ES49">
        <v>173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FQ49">
        <v>0</v>
      </c>
      <c r="FR49">
        <f t="shared" si="44"/>
        <v>0</v>
      </c>
      <c r="FS49">
        <v>0</v>
      </c>
      <c r="FX49">
        <v>0</v>
      </c>
      <c r="FY49">
        <v>0</v>
      </c>
      <c r="GA49" t="s">
        <v>3</v>
      </c>
      <c r="GD49">
        <v>1</v>
      </c>
      <c r="GF49">
        <v>866408668</v>
      </c>
      <c r="GG49">
        <v>2</v>
      </c>
      <c r="GH49">
        <v>1</v>
      </c>
      <c r="GI49">
        <v>2</v>
      </c>
      <c r="GJ49">
        <v>0</v>
      </c>
      <c r="GK49">
        <v>0</v>
      </c>
      <c r="GL49">
        <f t="shared" si="45"/>
        <v>0</v>
      </c>
      <c r="GM49">
        <f t="shared" si="46"/>
        <v>85.46</v>
      </c>
      <c r="GN49">
        <f t="shared" si="47"/>
        <v>0</v>
      </c>
      <c r="GO49">
        <f t="shared" si="48"/>
        <v>85.46</v>
      </c>
      <c r="GP49">
        <f t="shared" si="49"/>
        <v>0</v>
      </c>
      <c r="GR49">
        <v>0</v>
      </c>
      <c r="GS49">
        <v>3</v>
      </c>
      <c r="GT49">
        <v>0</v>
      </c>
      <c r="GU49" t="s">
        <v>3</v>
      </c>
      <c r="GV49">
        <f t="shared" si="50"/>
        <v>0</v>
      </c>
      <c r="GW49">
        <v>1</v>
      </c>
      <c r="GX49">
        <f t="shared" si="51"/>
        <v>0</v>
      </c>
      <c r="HA49">
        <v>0</v>
      </c>
      <c r="HB49">
        <v>0</v>
      </c>
      <c r="HC49">
        <f t="shared" si="52"/>
        <v>0</v>
      </c>
      <c r="IK49">
        <v>0</v>
      </c>
    </row>
    <row r="50" spans="1:245" x14ac:dyDescent="0.2">
      <c r="A50">
        <v>17</v>
      </c>
      <c r="B50">
        <v>1</v>
      </c>
      <c r="E50" t="s">
        <v>142</v>
      </c>
      <c r="F50" t="s">
        <v>143</v>
      </c>
      <c r="G50" t="s">
        <v>144</v>
      </c>
      <c r="H50" t="s">
        <v>120</v>
      </c>
      <c r="I50">
        <f>ROUND(0.1,2)</f>
        <v>0.1</v>
      </c>
      <c r="J50">
        <v>0</v>
      </c>
      <c r="O50">
        <f t="shared" si="15"/>
        <v>61.11</v>
      </c>
      <c r="P50">
        <f t="shared" si="16"/>
        <v>61.11</v>
      </c>
      <c r="Q50">
        <f t="shared" si="17"/>
        <v>0</v>
      </c>
      <c r="R50">
        <f t="shared" si="18"/>
        <v>0</v>
      </c>
      <c r="S50">
        <f t="shared" si="19"/>
        <v>0</v>
      </c>
      <c r="T50">
        <f t="shared" si="20"/>
        <v>0</v>
      </c>
      <c r="U50">
        <f t="shared" si="21"/>
        <v>0</v>
      </c>
      <c r="V50">
        <f t="shared" si="22"/>
        <v>0</v>
      </c>
      <c r="W50">
        <f t="shared" si="23"/>
        <v>0.04</v>
      </c>
      <c r="X50">
        <f t="shared" si="24"/>
        <v>0</v>
      </c>
      <c r="Y50">
        <f t="shared" si="25"/>
        <v>0</v>
      </c>
      <c r="AA50">
        <v>43156991</v>
      </c>
      <c r="AB50">
        <f t="shared" si="26"/>
        <v>121</v>
      </c>
      <c r="AC50">
        <f t="shared" si="27"/>
        <v>121</v>
      </c>
      <c r="AD50">
        <f t="shared" si="28"/>
        <v>0</v>
      </c>
      <c r="AE50">
        <f t="shared" si="29"/>
        <v>0</v>
      </c>
      <c r="AF50">
        <f t="shared" si="30"/>
        <v>0</v>
      </c>
      <c r="AG50">
        <f t="shared" si="31"/>
        <v>0</v>
      </c>
      <c r="AH50">
        <f t="shared" si="32"/>
        <v>0</v>
      </c>
      <c r="AI50">
        <f t="shared" si="33"/>
        <v>0</v>
      </c>
      <c r="AJ50">
        <f t="shared" si="34"/>
        <v>0.35</v>
      </c>
      <c r="AK50">
        <v>121</v>
      </c>
      <c r="AL50">
        <v>121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0.35</v>
      </c>
      <c r="AT50">
        <v>0</v>
      </c>
      <c r="AU50">
        <v>0</v>
      </c>
      <c r="AV50">
        <v>1</v>
      </c>
      <c r="AW50">
        <v>1</v>
      </c>
      <c r="AZ50">
        <v>1</v>
      </c>
      <c r="BA50">
        <v>1</v>
      </c>
      <c r="BB50">
        <v>1</v>
      </c>
      <c r="BC50">
        <v>5.05</v>
      </c>
      <c r="BD50" t="s">
        <v>3</v>
      </c>
      <c r="BE50" t="s">
        <v>3</v>
      </c>
      <c r="BF50" t="s">
        <v>3</v>
      </c>
      <c r="BG50" t="s">
        <v>3</v>
      </c>
      <c r="BH50">
        <v>3</v>
      </c>
      <c r="BI50">
        <v>2</v>
      </c>
      <c r="BJ50" t="s">
        <v>145</v>
      </c>
      <c r="BM50">
        <v>500002</v>
      </c>
      <c r="BN50">
        <v>0</v>
      </c>
      <c r="BO50" t="s">
        <v>143</v>
      </c>
      <c r="BP50">
        <v>1</v>
      </c>
      <c r="BQ50">
        <v>12</v>
      </c>
      <c r="BR50">
        <v>0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3</v>
      </c>
      <c r="BZ50">
        <v>0</v>
      </c>
      <c r="CA50">
        <v>0</v>
      </c>
      <c r="CE50">
        <v>0</v>
      </c>
      <c r="CF50">
        <v>0</v>
      </c>
      <c r="CG50">
        <v>0</v>
      </c>
      <c r="CM50">
        <v>0</v>
      </c>
      <c r="CN50" t="s">
        <v>3</v>
      </c>
      <c r="CO50">
        <v>0</v>
      </c>
      <c r="CP50">
        <f t="shared" si="35"/>
        <v>61.11</v>
      </c>
      <c r="CQ50">
        <f t="shared" si="36"/>
        <v>611.04999999999995</v>
      </c>
      <c r="CR50">
        <f t="shared" si="37"/>
        <v>0</v>
      </c>
      <c r="CS50">
        <f t="shared" si="38"/>
        <v>0</v>
      </c>
      <c r="CT50">
        <f t="shared" si="39"/>
        <v>0</v>
      </c>
      <c r="CU50">
        <f t="shared" si="40"/>
        <v>0</v>
      </c>
      <c r="CV50">
        <f t="shared" si="41"/>
        <v>0</v>
      </c>
      <c r="CW50">
        <f t="shared" si="42"/>
        <v>0</v>
      </c>
      <c r="CX50">
        <f t="shared" si="43"/>
        <v>0.35</v>
      </c>
      <c r="CY50">
        <f t="shared" si="55"/>
        <v>0</v>
      </c>
      <c r="CZ50">
        <f t="shared" si="56"/>
        <v>0</v>
      </c>
      <c r="DC50" t="s">
        <v>3</v>
      </c>
      <c r="DD50" t="s">
        <v>3</v>
      </c>
      <c r="DE50" t="s">
        <v>3</v>
      </c>
      <c r="DF50" t="s">
        <v>3</v>
      </c>
      <c r="DG50" t="s">
        <v>3</v>
      </c>
      <c r="DH50" t="s">
        <v>3</v>
      </c>
      <c r="DI50" t="s">
        <v>3</v>
      </c>
      <c r="DJ50" t="s">
        <v>3</v>
      </c>
      <c r="DK50" t="s">
        <v>3</v>
      </c>
      <c r="DL50" t="s">
        <v>3</v>
      </c>
      <c r="DM50" t="s">
        <v>3</v>
      </c>
      <c r="DN50">
        <v>0</v>
      </c>
      <c r="DO50">
        <v>0</v>
      </c>
      <c r="DP50">
        <v>1</v>
      </c>
      <c r="DQ50">
        <v>1</v>
      </c>
      <c r="DU50">
        <v>1003</v>
      </c>
      <c r="DV50" t="s">
        <v>120</v>
      </c>
      <c r="DW50" t="s">
        <v>120</v>
      </c>
      <c r="DX50">
        <v>100</v>
      </c>
      <c r="EE50">
        <v>41318551</v>
      </c>
      <c r="EF50">
        <v>12</v>
      </c>
      <c r="EG50" t="s">
        <v>46</v>
      </c>
      <c r="EH50">
        <v>0</v>
      </c>
      <c r="EI50" t="s">
        <v>3</v>
      </c>
      <c r="EJ50">
        <v>2</v>
      </c>
      <c r="EK50">
        <v>500002</v>
      </c>
      <c r="EL50" t="s">
        <v>47</v>
      </c>
      <c r="EM50" t="s">
        <v>48</v>
      </c>
      <c r="EO50" t="s">
        <v>3</v>
      </c>
      <c r="EQ50">
        <v>0</v>
      </c>
      <c r="ER50">
        <v>121</v>
      </c>
      <c r="ES50">
        <v>121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FQ50">
        <v>0</v>
      </c>
      <c r="FR50">
        <f t="shared" si="44"/>
        <v>0</v>
      </c>
      <c r="FS50">
        <v>0</v>
      </c>
      <c r="FX50">
        <v>0</v>
      </c>
      <c r="FY50">
        <v>0</v>
      </c>
      <c r="GA50" t="s">
        <v>3</v>
      </c>
      <c r="GD50">
        <v>1</v>
      </c>
      <c r="GF50">
        <v>45367579</v>
      </c>
      <c r="GG50">
        <v>2</v>
      </c>
      <c r="GH50">
        <v>1</v>
      </c>
      <c r="GI50">
        <v>2</v>
      </c>
      <c r="GJ50">
        <v>0</v>
      </c>
      <c r="GK50">
        <v>0</v>
      </c>
      <c r="GL50">
        <f t="shared" si="45"/>
        <v>0</v>
      </c>
      <c r="GM50">
        <f t="shared" si="46"/>
        <v>61.11</v>
      </c>
      <c r="GN50">
        <f t="shared" si="47"/>
        <v>0</v>
      </c>
      <c r="GO50">
        <f t="shared" si="48"/>
        <v>61.11</v>
      </c>
      <c r="GP50">
        <f t="shared" si="49"/>
        <v>0</v>
      </c>
      <c r="GR50">
        <v>0</v>
      </c>
      <c r="GS50">
        <v>3</v>
      </c>
      <c r="GT50">
        <v>0</v>
      </c>
      <c r="GU50" t="s">
        <v>3</v>
      </c>
      <c r="GV50">
        <f t="shared" si="50"/>
        <v>0</v>
      </c>
      <c r="GW50">
        <v>1</v>
      </c>
      <c r="GX50">
        <f t="shared" si="51"/>
        <v>0</v>
      </c>
      <c r="HA50">
        <v>0</v>
      </c>
      <c r="HB50">
        <v>0</v>
      </c>
      <c r="HC50">
        <f t="shared" si="52"/>
        <v>0</v>
      </c>
      <c r="IK50">
        <v>0</v>
      </c>
    </row>
    <row r="51" spans="1:245" x14ac:dyDescent="0.2">
      <c r="A51">
        <v>17</v>
      </c>
      <c r="B51">
        <v>1</v>
      </c>
      <c r="C51">
        <f>ROW(SmtRes!A109)</f>
        <v>109</v>
      </c>
      <c r="D51">
        <f>ROW(EtalonRes!A111)</f>
        <v>111</v>
      </c>
      <c r="E51" t="s">
        <v>146</v>
      </c>
      <c r="F51" t="s">
        <v>147</v>
      </c>
      <c r="G51" t="s">
        <v>148</v>
      </c>
      <c r="H51" t="s">
        <v>120</v>
      </c>
      <c r="I51">
        <f>ROUND(0.15,3)</f>
        <v>0.15</v>
      </c>
      <c r="J51">
        <v>0</v>
      </c>
      <c r="O51">
        <f t="shared" si="15"/>
        <v>251.5</v>
      </c>
      <c r="P51">
        <f t="shared" si="16"/>
        <v>13.64</v>
      </c>
      <c r="Q51">
        <f t="shared" si="17"/>
        <v>5.89</v>
      </c>
      <c r="R51">
        <f t="shared" si="18"/>
        <v>1.24</v>
      </c>
      <c r="S51">
        <f t="shared" si="19"/>
        <v>231.97</v>
      </c>
      <c r="T51">
        <f t="shared" si="20"/>
        <v>0</v>
      </c>
      <c r="U51">
        <f t="shared" si="21"/>
        <v>0.80849999999999989</v>
      </c>
      <c r="V51">
        <f t="shared" si="22"/>
        <v>3.0000000000000001E-3</v>
      </c>
      <c r="W51">
        <f t="shared" si="23"/>
        <v>0</v>
      </c>
      <c r="X51">
        <f t="shared" si="24"/>
        <v>221.55</v>
      </c>
      <c r="Y51">
        <f t="shared" si="25"/>
        <v>151.59</v>
      </c>
      <c r="AA51">
        <v>43156991</v>
      </c>
      <c r="AB51">
        <f t="shared" si="26"/>
        <v>69.23</v>
      </c>
      <c r="AC51">
        <f t="shared" si="27"/>
        <v>14.12</v>
      </c>
      <c r="AD51">
        <f t="shared" si="28"/>
        <v>4.4400000000000004</v>
      </c>
      <c r="AE51">
        <f t="shared" si="29"/>
        <v>0.27</v>
      </c>
      <c r="AF51">
        <f t="shared" si="30"/>
        <v>50.67</v>
      </c>
      <c r="AG51">
        <f t="shared" si="31"/>
        <v>0</v>
      </c>
      <c r="AH51">
        <f t="shared" si="32"/>
        <v>5.39</v>
      </c>
      <c r="AI51">
        <f t="shared" si="33"/>
        <v>0.02</v>
      </c>
      <c r="AJ51">
        <f t="shared" si="34"/>
        <v>0</v>
      </c>
      <c r="AK51">
        <v>69.23</v>
      </c>
      <c r="AL51">
        <v>14.12</v>
      </c>
      <c r="AM51">
        <v>4.4400000000000004</v>
      </c>
      <c r="AN51">
        <v>0.27</v>
      </c>
      <c r="AO51">
        <v>50.67</v>
      </c>
      <c r="AP51">
        <v>0</v>
      </c>
      <c r="AQ51">
        <v>5.39</v>
      </c>
      <c r="AR51">
        <v>0.02</v>
      </c>
      <c r="AS51">
        <v>0</v>
      </c>
      <c r="AT51">
        <v>95</v>
      </c>
      <c r="AU51">
        <v>65</v>
      </c>
      <c r="AV51">
        <v>1</v>
      </c>
      <c r="AW51">
        <v>1</v>
      </c>
      <c r="AZ51">
        <v>1</v>
      </c>
      <c r="BA51">
        <v>30.52</v>
      </c>
      <c r="BB51">
        <v>8.84</v>
      </c>
      <c r="BC51">
        <v>6.44</v>
      </c>
      <c r="BD51" t="s">
        <v>3</v>
      </c>
      <c r="BE51" t="s">
        <v>3</v>
      </c>
      <c r="BF51" t="s">
        <v>3</v>
      </c>
      <c r="BG51" t="s">
        <v>3</v>
      </c>
      <c r="BH51">
        <v>0</v>
      </c>
      <c r="BI51">
        <v>2</v>
      </c>
      <c r="BJ51" t="s">
        <v>149</v>
      </c>
      <c r="BM51">
        <v>108001</v>
      </c>
      <c r="BN51">
        <v>0</v>
      </c>
      <c r="BO51" t="s">
        <v>147</v>
      </c>
      <c r="BP51">
        <v>1</v>
      </c>
      <c r="BQ51">
        <v>3</v>
      </c>
      <c r="BR51">
        <v>0</v>
      </c>
      <c r="BS51">
        <v>30.52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95</v>
      </c>
      <c r="CA51">
        <v>65</v>
      </c>
      <c r="CE51">
        <v>0</v>
      </c>
      <c r="CF51">
        <v>0</v>
      </c>
      <c r="CG51">
        <v>0</v>
      </c>
      <c r="CM51">
        <v>0</v>
      </c>
      <c r="CN51" t="s">
        <v>3</v>
      </c>
      <c r="CO51">
        <v>0</v>
      </c>
      <c r="CP51">
        <f t="shared" si="35"/>
        <v>251.5</v>
      </c>
      <c r="CQ51">
        <f t="shared" si="36"/>
        <v>90.9328</v>
      </c>
      <c r="CR51">
        <f t="shared" si="37"/>
        <v>39.249600000000001</v>
      </c>
      <c r="CS51">
        <f t="shared" si="38"/>
        <v>8.2404000000000011</v>
      </c>
      <c r="CT51">
        <f t="shared" si="39"/>
        <v>1546.4484</v>
      </c>
      <c r="CU51">
        <f t="shared" si="40"/>
        <v>0</v>
      </c>
      <c r="CV51">
        <f t="shared" si="41"/>
        <v>5.39</v>
      </c>
      <c r="CW51">
        <f t="shared" si="42"/>
        <v>0.02</v>
      </c>
      <c r="CX51">
        <f t="shared" si="43"/>
        <v>0</v>
      </c>
      <c r="CY51">
        <f t="shared" si="55"/>
        <v>221.54949999999999</v>
      </c>
      <c r="CZ51">
        <f t="shared" si="56"/>
        <v>151.5865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0</v>
      </c>
      <c r="DO51">
        <v>0</v>
      </c>
      <c r="DP51">
        <v>1</v>
      </c>
      <c r="DQ51">
        <v>1</v>
      </c>
      <c r="DU51">
        <v>1003</v>
      </c>
      <c r="DV51" t="s">
        <v>120</v>
      </c>
      <c r="DW51" t="s">
        <v>120</v>
      </c>
      <c r="DX51">
        <v>100</v>
      </c>
      <c r="EE51">
        <v>41318495</v>
      </c>
      <c r="EF51">
        <v>3</v>
      </c>
      <c r="EG51" t="s">
        <v>25</v>
      </c>
      <c r="EH51">
        <v>0</v>
      </c>
      <c r="EI51" t="s">
        <v>3</v>
      </c>
      <c r="EJ51">
        <v>2</v>
      </c>
      <c r="EK51">
        <v>108001</v>
      </c>
      <c r="EL51" t="s">
        <v>53</v>
      </c>
      <c r="EM51" t="s">
        <v>54</v>
      </c>
      <c r="EO51" t="s">
        <v>3</v>
      </c>
      <c r="EQ51">
        <v>131072</v>
      </c>
      <c r="ER51">
        <v>69.23</v>
      </c>
      <c r="ES51">
        <v>14.12</v>
      </c>
      <c r="ET51">
        <v>4.4400000000000004</v>
      </c>
      <c r="EU51">
        <v>0.27</v>
      </c>
      <c r="EV51">
        <v>50.67</v>
      </c>
      <c r="EW51">
        <v>5.39</v>
      </c>
      <c r="EX51">
        <v>0.02</v>
      </c>
      <c r="EY51">
        <v>0</v>
      </c>
      <c r="FQ51">
        <v>0</v>
      </c>
      <c r="FR51">
        <f t="shared" si="44"/>
        <v>0</v>
      </c>
      <c r="FS51">
        <v>0</v>
      </c>
      <c r="FX51">
        <v>95</v>
      </c>
      <c r="FY51">
        <v>65</v>
      </c>
      <c r="GA51" t="s">
        <v>3</v>
      </c>
      <c r="GD51">
        <v>1</v>
      </c>
      <c r="GF51">
        <v>409836818</v>
      </c>
      <c r="GG51">
        <v>2</v>
      </c>
      <c r="GH51">
        <v>1</v>
      </c>
      <c r="GI51">
        <v>2</v>
      </c>
      <c r="GJ51">
        <v>0</v>
      </c>
      <c r="GK51">
        <v>0</v>
      </c>
      <c r="GL51">
        <f t="shared" si="45"/>
        <v>0</v>
      </c>
      <c r="GM51">
        <f t="shared" si="46"/>
        <v>624.64</v>
      </c>
      <c r="GN51">
        <f t="shared" si="47"/>
        <v>0</v>
      </c>
      <c r="GO51">
        <f t="shared" si="48"/>
        <v>624.64</v>
      </c>
      <c r="GP51">
        <f t="shared" si="49"/>
        <v>0</v>
      </c>
      <c r="GR51">
        <v>0</v>
      </c>
      <c r="GS51">
        <v>3</v>
      </c>
      <c r="GT51">
        <v>0</v>
      </c>
      <c r="GU51" t="s">
        <v>3</v>
      </c>
      <c r="GV51">
        <f t="shared" si="50"/>
        <v>0</v>
      </c>
      <c r="GW51">
        <v>1</v>
      </c>
      <c r="GX51">
        <f t="shared" si="51"/>
        <v>0</v>
      </c>
      <c r="HA51">
        <v>0</v>
      </c>
      <c r="HB51">
        <v>0</v>
      </c>
      <c r="HC51">
        <f t="shared" si="52"/>
        <v>0</v>
      </c>
      <c r="IK51">
        <v>0</v>
      </c>
    </row>
    <row r="52" spans="1:245" x14ac:dyDescent="0.2">
      <c r="A52">
        <v>17</v>
      </c>
      <c r="B52">
        <v>1</v>
      </c>
      <c r="C52">
        <f>ROW(SmtRes!A117)</f>
        <v>117</v>
      </c>
      <c r="D52">
        <f>ROW(EtalonRes!A119)</f>
        <v>119</v>
      </c>
      <c r="E52" t="s">
        <v>150</v>
      </c>
      <c r="F52" t="s">
        <v>151</v>
      </c>
      <c r="G52" t="s">
        <v>152</v>
      </c>
      <c r="H52" t="s">
        <v>120</v>
      </c>
      <c r="I52">
        <f>ROUND(0.04,3)</f>
        <v>0.04</v>
      </c>
      <c r="J52">
        <v>0</v>
      </c>
      <c r="O52">
        <f t="shared" si="15"/>
        <v>35.69</v>
      </c>
      <c r="P52">
        <f t="shared" si="16"/>
        <v>2.5499999999999998</v>
      </c>
      <c r="Q52">
        <f t="shared" si="17"/>
        <v>0.78</v>
      </c>
      <c r="R52">
        <f t="shared" si="18"/>
        <v>0.17</v>
      </c>
      <c r="S52">
        <f t="shared" si="19"/>
        <v>32.36</v>
      </c>
      <c r="T52">
        <f t="shared" si="20"/>
        <v>0</v>
      </c>
      <c r="U52">
        <f t="shared" si="21"/>
        <v>0.1128</v>
      </c>
      <c r="V52">
        <f t="shared" si="22"/>
        <v>4.0000000000000002E-4</v>
      </c>
      <c r="W52">
        <f t="shared" si="23"/>
        <v>0</v>
      </c>
      <c r="X52">
        <f t="shared" si="24"/>
        <v>30.9</v>
      </c>
      <c r="Y52">
        <f t="shared" si="25"/>
        <v>21.14</v>
      </c>
      <c r="AA52">
        <v>43156991</v>
      </c>
      <c r="AB52">
        <f t="shared" si="26"/>
        <v>41.59</v>
      </c>
      <c r="AC52">
        <f t="shared" si="27"/>
        <v>12.86</v>
      </c>
      <c r="AD52">
        <f t="shared" si="28"/>
        <v>2.2200000000000002</v>
      </c>
      <c r="AE52">
        <f t="shared" si="29"/>
        <v>0.14000000000000001</v>
      </c>
      <c r="AF52">
        <f t="shared" si="30"/>
        <v>26.51</v>
      </c>
      <c r="AG52">
        <f t="shared" si="31"/>
        <v>0</v>
      </c>
      <c r="AH52">
        <f t="shared" si="32"/>
        <v>2.82</v>
      </c>
      <c r="AI52">
        <f t="shared" si="33"/>
        <v>0.01</v>
      </c>
      <c r="AJ52">
        <f t="shared" si="34"/>
        <v>0</v>
      </c>
      <c r="AK52">
        <v>41.59</v>
      </c>
      <c r="AL52">
        <v>12.86</v>
      </c>
      <c r="AM52">
        <v>2.2200000000000002</v>
      </c>
      <c r="AN52">
        <v>0.14000000000000001</v>
      </c>
      <c r="AO52">
        <v>26.51</v>
      </c>
      <c r="AP52">
        <v>0</v>
      </c>
      <c r="AQ52">
        <v>2.82</v>
      </c>
      <c r="AR52">
        <v>0.01</v>
      </c>
      <c r="AS52">
        <v>0</v>
      </c>
      <c r="AT52">
        <v>95</v>
      </c>
      <c r="AU52">
        <v>65</v>
      </c>
      <c r="AV52">
        <v>1</v>
      </c>
      <c r="AW52">
        <v>1</v>
      </c>
      <c r="AZ52">
        <v>1</v>
      </c>
      <c r="BA52">
        <v>30.52</v>
      </c>
      <c r="BB52">
        <v>8.83</v>
      </c>
      <c r="BC52">
        <v>4.95</v>
      </c>
      <c r="BD52" t="s">
        <v>3</v>
      </c>
      <c r="BE52" t="s">
        <v>3</v>
      </c>
      <c r="BF52" t="s">
        <v>3</v>
      </c>
      <c r="BG52" t="s">
        <v>3</v>
      </c>
      <c r="BH52">
        <v>0</v>
      </c>
      <c r="BI52">
        <v>2</v>
      </c>
      <c r="BJ52" t="s">
        <v>153</v>
      </c>
      <c r="BM52">
        <v>108001</v>
      </c>
      <c r="BN52">
        <v>0</v>
      </c>
      <c r="BO52" t="s">
        <v>151</v>
      </c>
      <c r="BP52">
        <v>1</v>
      </c>
      <c r="BQ52">
        <v>3</v>
      </c>
      <c r="BR52">
        <v>0</v>
      </c>
      <c r="BS52">
        <v>30.52</v>
      </c>
      <c r="BT52">
        <v>1</v>
      </c>
      <c r="BU52">
        <v>1</v>
      </c>
      <c r="BV52">
        <v>1</v>
      </c>
      <c r="BW52">
        <v>1</v>
      </c>
      <c r="BX52">
        <v>1</v>
      </c>
      <c r="BY52" t="s">
        <v>3</v>
      </c>
      <c r="BZ52">
        <v>95</v>
      </c>
      <c r="CA52">
        <v>65</v>
      </c>
      <c r="CE52">
        <v>0</v>
      </c>
      <c r="CF52">
        <v>0</v>
      </c>
      <c r="CG52">
        <v>0</v>
      </c>
      <c r="CM52">
        <v>0</v>
      </c>
      <c r="CN52" t="s">
        <v>3</v>
      </c>
      <c r="CO52">
        <v>0</v>
      </c>
      <c r="CP52">
        <f t="shared" si="35"/>
        <v>35.69</v>
      </c>
      <c r="CQ52">
        <f t="shared" si="36"/>
        <v>63.656999999999996</v>
      </c>
      <c r="CR52">
        <f t="shared" si="37"/>
        <v>19.602600000000002</v>
      </c>
      <c r="CS52">
        <f t="shared" si="38"/>
        <v>4.2728000000000002</v>
      </c>
      <c r="CT52">
        <f t="shared" si="39"/>
        <v>809.08519999999999</v>
      </c>
      <c r="CU52">
        <f t="shared" si="40"/>
        <v>0</v>
      </c>
      <c r="CV52">
        <f t="shared" si="41"/>
        <v>2.82</v>
      </c>
      <c r="CW52">
        <f t="shared" si="42"/>
        <v>0.01</v>
      </c>
      <c r="CX52">
        <f t="shared" si="43"/>
        <v>0</v>
      </c>
      <c r="CY52">
        <f t="shared" si="55"/>
        <v>30.903499999999998</v>
      </c>
      <c r="CZ52">
        <f t="shared" si="56"/>
        <v>21.144500000000004</v>
      </c>
      <c r="DC52" t="s">
        <v>3</v>
      </c>
      <c r="DD52" t="s">
        <v>3</v>
      </c>
      <c r="DE52" t="s">
        <v>3</v>
      </c>
      <c r="DF52" t="s">
        <v>3</v>
      </c>
      <c r="DG52" t="s">
        <v>3</v>
      </c>
      <c r="DH52" t="s">
        <v>3</v>
      </c>
      <c r="DI52" t="s">
        <v>3</v>
      </c>
      <c r="DJ52" t="s">
        <v>3</v>
      </c>
      <c r="DK52" t="s">
        <v>3</v>
      </c>
      <c r="DL52" t="s">
        <v>3</v>
      </c>
      <c r="DM52" t="s">
        <v>3</v>
      </c>
      <c r="DN52">
        <v>0</v>
      </c>
      <c r="DO52">
        <v>0</v>
      </c>
      <c r="DP52">
        <v>1</v>
      </c>
      <c r="DQ52">
        <v>1</v>
      </c>
      <c r="DU52">
        <v>1003</v>
      </c>
      <c r="DV52" t="s">
        <v>120</v>
      </c>
      <c r="DW52" t="s">
        <v>120</v>
      </c>
      <c r="DX52">
        <v>100</v>
      </c>
      <c r="EE52">
        <v>41318495</v>
      </c>
      <c r="EF52">
        <v>3</v>
      </c>
      <c r="EG52" t="s">
        <v>25</v>
      </c>
      <c r="EH52">
        <v>0</v>
      </c>
      <c r="EI52" t="s">
        <v>3</v>
      </c>
      <c r="EJ52">
        <v>2</v>
      </c>
      <c r="EK52">
        <v>108001</v>
      </c>
      <c r="EL52" t="s">
        <v>53</v>
      </c>
      <c r="EM52" t="s">
        <v>54</v>
      </c>
      <c r="EO52" t="s">
        <v>3</v>
      </c>
      <c r="EQ52">
        <v>131072</v>
      </c>
      <c r="ER52">
        <v>41.59</v>
      </c>
      <c r="ES52">
        <v>12.86</v>
      </c>
      <c r="ET52">
        <v>2.2200000000000002</v>
      </c>
      <c r="EU52">
        <v>0.14000000000000001</v>
      </c>
      <c r="EV52">
        <v>26.51</v>
      </c>
      <c r="EW52">
        <v>2.82</v>
      </c>
      <c r="EX52">
        <v>0.01</v>
      </c>
      <c r="EY52">
        <v>0</v>
      </c>
      <c r="FQ52">
        <v>0</v>
      </c>
      <c r="FR52">
        <f t="shared" si="44"/>
        <v>0</v>
      </c>
      <c r="FS52">
        <v>0</v>
      </c>
      <c r="FX52">
        <v>95</v>
      </c>
      <c r="FY52">
        <v>65</v>
      </c>
      <c r="GA52" t="s">
        <v>3</v>
      </c>
      <c r="GD52">
        <v>1</v>
      </c>
      <c r="GF52">
        <v>-1785334863</v>
      </c>
      <c r="GG52">
        <v>2</v>
      </c>
      <c r="GH52">
        <v>1</v>
      </c>
      <c r="GI52">
        <v>2</v>
      </c>
      <c r="GJ52">
        <v>0</v>
      </c>
      <c r="GK52">
        <v>0</v>
      </c>
      <c r="GL52">
        <f t="shared" si="45"/>
        <v>0</v>
      </c>
      <c r="GM52">
        <f t="shared" si="46"/>
        <v>87.73</v>
      </c>
      <c r="GN52">
        <f t="shared" si="47"/>
        <v>0</v>
      </c>
      <c r="GO52">
        <f t="shared" si="48"/>
        <v>87.73</v>
      </c>
      <c r="GP52">
        <f t="shared" si="49"/>
        <v>0</v>
      </c>
      <c r="GR52">
        <v>0</v>
      </c>
      <c r="GS52">
        <v>3</v>
      </c>
      <c r="GT52">
        <v>0</v>
      </c>
      <c r="GU52" t="s">
        <v>3</v>
      </c>
      <c r="GV52">
        <f t="shared" si="50"/>
        <v>0</v>
      </c>
      <c r="GW52">
        <v>1</v>
      </c>
      <c r="GX52">
        <f t="shared" si="51"/>
        <v>0</v>
      </c>
      <c r="HA52">
        <v>0</v>
      </c>
      <c r="HB52">
        <v>0</v>
      </c>
      <c r="HC52">
        <f t="shared" si="52"/>
        <v>0</v>
      </c>
      <c r="IK52">
        <v>0</v>
      </c>
    </row>
    <row r="53" spans="1:245" x14ac:dyDescent="0.2">
      <c r="A53">
        <v>17</v>
      </c>
      <c r="B53">
        <v>1</v>
      </c>
      <c r="E53" t="s">
        <v>154</v>
      </c>
      <c r="F53" t="s">
        <v>155</v>
      </c>
      <c r="G53" t="s">
        <v>504</v>
      </c>
      <c r="H53" t="s">
        <v>156</v>
      </c>
      <c r="I53">
        <f>ROUND(0.02,3)</f>
        <v>0.02</v>
      </c>
      <c r="J53">
        <v>0</v>
      </c>
      <c r="O53">
        <f t="shared" si="15"/>
        <v>653.72</v>
      </c>
      <c r="P53">
        <f t="shared" si="16"/>
        <v>653.72</v>
      </c>
      <c r="Q53">
        <f t="shared" si="17"/>
        <v>0</v>
      </c>
      <c r="R53">
        <f t="shared" si="18"/>
        <v>0</v>
      </c>
      <c r="S53">
        <f t="shared" si="19"/>
        <v>0</v>
      </c>
      <c r="T53">
        <f t="shared" si="20"/>
        <v>0</v>
      </c>
      <c r="U53">
        <f t="shared" si="21"/>
        <v>0</v>
      </c>
      <c r="V53">
        <f t="shared" si="22"/>
        <v>0</v>
      </c>
      <c r="W53">
        <f t="shared" si="23"/>
        <v>7.0000000000000007E-2</v>
      </c>
      <c r="X53">
        <f t="shared" si="24"/>
        <v>0</v>
      </c>
      <c r="Y53">
        <f t="shared" si="25"/>
        <v>0</v>
      </c>
      <c r="AA53">
        <v>43156991</v>
      </c>
      <c r="AB53">
        <f t="shared" si="26"/>
        <v>15944.29</v>
      </c>
      <c r="AC53">
        <f t="shared" si="27"/>
        <v>15944.29</v>
      </c>
      <c r="AD53">
        <f t="shared" si="28"/>
        <v>0</v>
      </c>
      <c r="AE53">
        <f t="shared" si="29"/>
        <v>0</v>
      </c>
      <c r="AF53">
        <f t="shared" si="30"/>
        <v>0</v>
      </c>
      <c r="AG53">
        <f t="shared" si="31"/>
        <v>0</v>
      </c>
      <c r="AH53">
        <f t="shared" si="32"/>
        <v>0</v>
      </c>
      <c r="AI53">
        <f t="shared" si="33"/>
        <v>0</v>
      </c>
      <c r="AJ53">
        <f t="shared" si="34"/>
        <v>3.46</v>
      </c>
      <c r="AK53">
        <v>15944.29</v>
      </c>
      <c r="AL53">
        <v>15944.29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3.46</v>
      </c>
      <c r="AT53">
        <v>0</v>
      </c>
      <c r="AU53">
        <v>0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2.0499999999999998</v>
      </c>
      <c r="BD53" t="s">
        <v>3</v>
      </c>
      <c r="BE53" t="s">
        <v>3</v>
      </c>
      <c r="BF53" t="s">
        <v>3</v>
      </c>
      <c r="BG53" t="s">
        <v>3</v>
      </c>
      <c r="BH53">
        <v>3</v>
      </c>
      <c r="BI53">
        <v>2</v>
      </c>
      <c r="BJ53" t="s">
        <v>157</v>
      </c>
      <c r="BM53">
        <v>500002</v>
      </c>
      <c r="BN53">
        <v>0</v>
      </c>
      <c r="BO53" t="s">
        <v>158</v>
      </c>
      <c r="BP53">
        <v>1</v>
      </c>
      <c r="BQ53">
        <v>12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0</v>
      </c>
      <c r="CA53">
        <v>0</v>
      </c>
      <c r="CE53">
        <v>0</v>
      </c>
      <c r="CF53">
        <v>0</v>
      </c>
      <c r="CG53">
        <v>0</v>
      </c>
      <c r="CM53">
        <v>0</v>
      </c>
      <c r="CN53" t="s">
        <v>3</v>
      </c>
      <c r="CO53">
        <v>0</v>
      </c>
      <c r="CP53">
        <f t="shared" si="35"/>
        <v>653.72</v>
      </c>
      <c r="CQ53">
        <f t="shared" si="36"/>
        <v>32685.7945</v>
      </c>
      <c r="CR53">
        <f t="shared" si="37"/>
        <v>0</v>
      </c>
      <c r="CS53">
        <f t="shared" si="38"/>
        <v>0</v>
      </c>
      <c r="CT53">
        <f t="shared" si="39"/>
        <v>0</v>
      </c>
      <c r="CU53">
        <f t="shared" si="40"/>
        <v>0</v>
      </c>
      <c r="CV53">
        <f t="shared" si="41"/>
        <v>0</v>
      </c>
      <c r="CW53">
        <f t="shared" si="42"/>
        <v>0</v>
      </c>
      <c r="CX53">
        <f t="shared" si="43"/>
        <v>3.46</v>
      </c>
      <c r="CY53">
        <f t="shared" si="55"/>
        <v>0</v>
      </c>
      <c r="CZ53">
        <f t="shared" si="56"/>
        <v>0</v>
      </c>
      <c r="DC53" t="s">
        <v>3</v>
      </c>
      <c r="DD53" t="s">
        <v>3</v>
      </c>
      <c r="DE53" t="s">
        <v>3</v>
      </c>
      <c r="DF53" t="s">
        <v>3</v>
      </c>
      <c r="DG53" t="s">
        <v>3</v>
      </c>
      <c r="DH53" t="s">
        <v>3</v>
      </c>
      <c r="DI53" t="s">
        <v>3</v>
      </c>
      <c r="DJ53" t="s">
        <v>3</v>
      </c>
      <c r="DK53" t="s">
        <v>3</v>
      </c>
      <c r="DL53" t="s">
        <v>3</v>
      </c>
      <c r="DM53" t="s">
        <v>3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156</v>
      </c>
      <c r="DW53" t="s">
        <v>159</v>
      </c>
      <c r="DX53">
        <v>1</v>
      </c>
      <c r="EE53">
        <v>41318551</v>
      </c>
      <c r="EF53">
        <v>12</v>
      </c>
      <c r="EG53" t="s">
        <v>46</v>
      </c>
      <c r="EH53">
        <v>0</v>
      </c>
      <c r="EI53" t="s">
        <v>3</v>
      </c>
      <c r="EJ53">
        <v>2</v>
      </c>
      <c r="EK53">
        <v>500002</v>
      </c>
      <c r="EL53" t="s">
        <v>47</v>
      </c>
      <c r="EM53" t="s">
        <v>48</v>
      </c>
      <c r="EO53" t="s">
        <v>3</v>
      </c>
      <c r="EQ53">
        <v>0</v>
      </c>
      <c r="ER53">
        <v>15944.29</v>
      </c>
      <c r="ES53">
        <v>15944.29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FQ53">
        <v>0</v>
      </c>
      <c r="FR53">
        <f t="shared" si="44"/>
        <v>0</v>
      </c>
      <c r="FS53">
        <v>0</v>
      </c>
      <c r="FX53">
        <v>0</v>
      </c>
      <c r="FY53">
        <v>0</v>
      </c>
      <c r="GA53" t="s">
        <v>3</v>
      </c>
      <c r="GD53">
        <v>1</v>
      </c>
      <c r="GF53">
        <v>-964094007</v>
      </c>
      <c r="GG53">
        <v>2</v>
      </c>
      <c r="GH53">
        <v>1</v>
      </c>
      <c r="GI53">
        <v>2</v>
      </c>
      <c r="GJ53">
        <v>0</v>
      </c>
      <c r="GK53">
        <v>0</v>
      </c>
      <c r="GL53">
        <f t="shared" si="45"/>
        <v>0</v>
      </c>
      <c r="GM53">
        <f t="shared" si="46"/>
        <v>653.72</v>
      </c>
      <c r="GN53">
        <f t="shared" si="47"/>
        <v>0</v>
      </c>
      <c r="GO53">
        <f t="shared" si="48"/>
        <v>653.72</v>
      </c>
      <c r="GP53">
        <f t="shared" si="49"/>
        <v>0</v>
      </c>
      <c r="GR53">
        <v>0</v>
      </c>
      <c r="GS53">
        <v>3</v>
      </c>
      <c r="GT53">
        <v>0</v>
      </c>
      <c r="GU53" t="s">
        <v>3</v>
      </c>
      <c r="GV53">
        <f t="shared" si="50"/>
        <v>0</v>
      </c>
      <c r="GW53">
        <v>1</v>
      </c>
      <c r="GX53">
        <f t="shared" si="51"/>
        <v>0</v>
      </c>
      <c r="HA53">
        <v>0</v>
      </c>
      <c r="HB53">
        <v>0</v>
      </c>
      <c r="HC53">
        <f t="shared" si="52"/>
        <v>0</v>
      </c>
      <c r="IK53">
        <v>0</v>
      </c>
    </row>
    <row r="54" spans="1:245" x14ac:dyDescent="0.2">
      <c r="A54">
        <v>17</v>
      </c>
      <c r="B54">
        <v>1</v>
      </c>
      <c r="E54" t="s">
        <v>160</v>
      </c>
      <c r="F54" t="s">
        <v>161</v>
      </c>
      <c r="G54" t="s">
        <v>162</v>
      </c>
      <c r="H54" t="s">
        <v>156</v>
      </c>
      <c r="I54">
        <f>ROUND(0.01,2)</f>
        <v>0.01</v>
      </c>
      <c r="J54">
        <v>0</v>
      </c>
      <c r="O54">
        <f t="shared" si="15"/>
        <v>264.58999999999997</v>
      </c>
      <c r="P54">
        <f t="shared" si="16"/>
        <v>264.58999999999997</v>
      </c>
      <c r="Q54">
        <f t="shared" si="17"/>
        <v>0</v>
      </c>
      <c r="R54">
        <f t="shared" si="18"/>
        <v>0</v>
      </c>
      <c r="S54">
        <f t="shared" si="19"/>
        <v>0</v>
      </c>
      <c r="T54">
        <f t="shared" si="20"/>
        <v>0</v>
      </c>
      <c r="U54">
        <f t="shared" si="21"/>
        <v>0</v>
      </c>
      <c r="V54">
        <f t="shared" si="22"/>
        <v>0</v>
      </c>
      <c r="W54">
        <f t="shared" si="23"/>
        <v>0.04</v>
      </c>
      <c r="X54">
        <f t="shared" si="24"/>
        <v>0</v>
      </c>
      <c r="Y54">
        <f t="shared" si="25"/>
        <v>0</v>
      </c>
      <c r="AA54">
        <v>43156991</v>
      </c>
      <c r="AB54">
        <f t="shared" si="26"/>
        <v>3090.95</v>
      </c>
      <c r="AC54">
        <f t="shared" si="27"/>
        <v>3090.95</v>
      </c>
      <c r="AD54">
        <f t="shared" si="28"/>
        <v>0</v>
      </c>
      <c r="AE54">
        <f t="shared" si="29"/>
        <v>0</v>
      </c>
      <c r="AF54">
        <f t="shared" si="30"/>
        <v>0</v>
      </c>
      <c r="AG54">
        <f t="shared" si="31"/>
        <v>0</v>
      </c>
      <c r="AH54">
        <f t="shared" si="32"/>
        <v>0</v>
      </c>
      <c r="AI54">
        <f t="shared" si="33"/>
        <v>0</v>
      </c>
      <c r="AJ54">
        <f t="shared" si="34"/>
        <v>3.91</v>
      </c>
      <c r="AK54">
        <v>3090.95</v>
      </c>
      <c r="AL54">
        <v>3090.95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3.91</v>
      </c>
      <c r="AT54">
        <v>0</v>
      </c>
      <c r="AU54">
        <v>0</v>
      </c>
      <c r="AV54">
        <v>1</v>
      </c>
      <c r="AW54">
        <v>1</v>
      </c>
      <c r="AZ54">
        <v>1</v>
      </c>
      <c r="BA54">
        <v>1</v>
      </c>
      <c r="BB54">
        <v>1</v>
      </c>
      <c r="BC54">
        <v>8.56</v>
      </c>
      <c r="BD54" t="s">
        <v>3</v>
      </c>
      <c r="BE54" t="s">
        <v>3</v>
      </c>
      <c r="BF54" t="s">
        <v>3</v>
      </c>
      <c r="BG54" t="s">
        <v>3</v>
      </c>
      <c r="BH54">
        <v>3</v>
      </c>
      <c r="BI54">
        <v>2</v>
      </c>
      <c r="BJ54" t="s">
        <v>163</v>
      </c>
      <c r="BM54">
        <v>500002</v>
      </c>
      <c r="BN54">
        <v>0</v>
      </c>
      <c r="BO54" t="s">
        <v>161</v>
      </c>
      <c r="BP54">
        <v>1</v>
      </c>
      <c r="BQ54">
        <v>12</v>
      </c>
      <c r="BR54">
        <v>0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 t="s">
        <v>3</v>
      </c>
      <c r="BZ54">
        <v>0</v>
      </c>
      <c r="CA54">
        <v>0</v>
      </c>
      <c r="CE54">
        <v>0</v>
      </c>
      <c r="CF54">
        <v>0</v>
      </c>
      <c r="CG54">
        <v>0</v>
      </c>
      <c r="CM54">
        <v>0</v>
      </c>
      <c r="CN54" t="s">
        <v>3</v>
      </c>
      <c r="CO54">
        <v>0</v>
      </c>
      <c r="CP54">
        <f t="shared" si="35"/>
        <v>264.58999999999997</v>
      </c>
      <c r="CQ54">
        <f t="shared" si="36"/>
        <v>26458.531999999999</v>
      </c>
      <c r="CR54">
        <f t="shared" si="37"/>
        <v>0</v>
      </c>
      <c r="CS54">
        <f t="shared" si="38"/>
        <v>0</v>
      </c>
      <c r="CT54">
        <f t="shared" si="39"/>
        <v>0</v>
      </c>
      <c r="CU54">
        <f t="shared" si="40"/>
        <v>0</v>
      </c>
      <c r="CV54">
        <f t="shared" si="41"/>
        <v>0</v>
      </c>
      <c r="CW54">
        <f t="shared" si="42"/>
        <v>0</v>
      </c>
      <c r="CX54">
        <f t="shared" si="43"/>
        <v>3.91</v>
      </c>
      <c r="CY54">
        <f t="shared" si="55"/>
        <v>0</v>
      </c>
      <c r="CZ54">
        <f t="shared" si="56"/>
        <v>0</v>
      </c>
      <c r="DC54" t="s">
        <v>3</v>
      </c>
      <c r="DD54" t="s">
        <v>3</v>
      </c>
      <c r="DE54" t="s">
        <v>3</v>
      </c>
      <c r="DF54" t="s">
        <v>3</v>
      </c>
      <c r="DG54" t="s">
        <v>3</v>
      </c>
      <c r="DH54" t="s">
        <v>3</v>
      </c>
      <c r="DI54" t="s">
        <v>3</v>
      </c>
      <c r="DJ54" t="s">
        <v>3</v>
      </c>
      <c r="DK54" t="s">
        <v>3</v>
      </c>
      <c r="DL54" t="s">
        <v>3</v>
      </c>
      <c r="DM54" t="s">
        <v>3</v>
      </c>
      <c r="DN54">
        <v>0</v>
      </c>
      <c r="DO54">
        <v>0</v>
      </c>
      <c r="DP54">
        <v>1</v>
      </c>
      <c r="DQ54">
        <v>1</v>
      </c>
      <c r="DU54">
        <v>1013</v>
      </c>
      <c r="DV54" t="s">
        <v>156</v>
      </c>
      <c r="DW54" t="s">
        <v>159</v>
      </c>
      <c r="DX54">
        <v>1</v>
      </c>
      <c r="EE54">
        <v>41318551</v>
      </c>
      <c r="EF54">
        <v>12</v>
      </c>
      <c r="EG54" t="s">
        <v>46</v>
      </c>
      <c r="EH54">
        <v>0</v>
      </c>
      <c r="EI54" t="s">
        <v>3</v>
      </c>
      <c r="EJ54">
        <v>2</v>
      </c>
      <c r="EK54">
        <v>500002</v>
      </c>
      <c r="EL54" t="s">
        <v>47</v>
      </c>
      <c r="EM54" t="s">
        <v>48</v>
      </c>
      <c r="EO54" t="s">
        <v>3</v>
      </c>
      <c r="EQ54">
        <v>131072</v>
      </c>
      <c r="ER54">
        <v>3090.95</v>
      </c>
      <c r="ES54">
        <v>3090.95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FQ54">
        <v>0</v>
      </c>
      <c r="FR54">
        <f t="shared" si="44"/>
        <v>0</v>
      </c>
      <c r="FS54">
        <v>0</v>
      </c>
      <c r="FX54">
        <v>0</v>
      </c>
      <c r="FY54">
        <v>0</v>
      </c>
      <c r="GA54" t="s">
        <v>3</v>
      </c>
      <c r="GD54">
        <v>1</v>
      </c>
      <c r="GF54">
        <v>-533084178</v>
      </c>
      <c r="GG54">
        <v>2</v>
      </c>
      <c r="GH54">
        <v>1</v>
      </c>
      <c r="GI54">
        <v>2</v>
      </c>
      <c r="GJ54">
        <v>0</v>
      </c>
      <c r="GK54">
        <v>0</v>
      </c>
      <c r="GL54">
        <f t="shared" si="45"/>
        <v>0</v>
      </c>
      <c r="GM54">
        <f t="shared" si="46"/>
        <v>264.58999999999997</v>
      </c>
      <c r="GN54">
        <f t="shared" si="47"/>
        <v>0</v>
      </c>
      <c r="GO54">
        <f t="shared" si="48"/>
        <v>264.58999999999997</v>
      </c>
      <c r="GP54">
        <f t="shared" si="49"/>
        <v>0</v>
      </c>
      <c r="GR54">
        <v>0</v>
      </c>
      <c r="GS54">
        <v>3</v>
      </c>
      <c r="GT54">
        <v>0</v>
      </c>
      <c r="GU54" t="s">
        <v>3</v>
      </c>
      <c r="GV54">
        <f t="shared" si="50"/>
        <v>0</v>
      </c>
      <c r="GW54">
        <v>1</v>
      </c>
      <c r="GX54">
        <f t="shared" si="51"/>
        <v>0</v>
      </c>
      <c r="HA54">
        <v>0</v>
      </c>
      <c r="HB54">
        <v>0</v>
      </c>
      <c r="HC54">
        <f t="shared" si="52"/>
        <v>0</v>
      </c>
      <c r="IK54">
        <v>0</v>
      </c>
    </row>
    <row r="55" spans="1:245" x14ac:dyDescent="0.2">
      <c r="A55">
        <v>17</v>
      </c>
      <c r="B55">
        <v>1</v>
      </c>
      <c r="E55" t="s">
        <v>164</v>
      </c>
      <c r="F55" t="s">
        <v>29</v>
      </c>
      <c r="G55" t="s">
        <v>165</v>
      </c>
      <c r="H55" t="s">
        <v>120</v>
      </c>
      <c r="I55">
        <f>ROUND(0.25,3)</f>
        <v>0.25</v>
      </c>
      <c r="J55">
        <v>0</v>
      </c>
      <c r="O55">
        <f t="shared" si="15"/>
        <v>3.77</v>
      </c>
      <c r="P55">
        <f t="shared" si="16"/>
        <v>3.77</v>
      </c>
      <c r="Q55">
        <f t="shared" si="17"/>
        <v>0</v>
      </c>
      <c r="R55">
        <f t="shared" si="18"/>
        <v>0</v>
      </c>
      <c r="S55">
        <f t="shared" si="19"/>
        <v>0</v>
      </c>
      <c r="T55">
        <f t="shared" si="20"/>
        <v>0</v>
      </c>
      <c r="U55">
        <f t="shared" si="21"/>
        <v>0</v>
      </c>
      <c r="V55">
        <f t="shared" si="22"/>
        <v>0</v>
      </c>
      <c r="W55">
        <f t="shared" si="23"/>
        <v>0</v>
      </c>
      <c r="X55">
        <f t="shared" si="24"/>
        <v>0</v>
      </c>
      <c r="Y55">
        <f t="shared" si="25"/>
        <v>0</v>
      </c>
      <c r="AA55">
        <v>43156991</v>
      </c>
      <c r="AB55">
        <f t="shared" si="26"/>
        <v>15.06</v>
      </c>
      <c r="AC55">
        <f t="shared" si="27"/>
        <v>15.06</v>
      </c>
      <c r="AD55">
        <f t="shared" si="28"/>
        <v>0</v>
      </c>
      <c r="AE55">
        <f t="shared" si="29"/>
        <v>0</v>
      </c>
      <c r="AF55">
        <f t="shared" si="30"/>
        <v>0</v>
      </c>
      <c r="AG55">
        <f t="shared" si="31"/>
        <v>0</v>
      </c>
      <c r="AH55">
        <f t="shared" si="32"/>
        <v>0</v>
      </c>
      <c r="AI55">
        <f t="shared" si="33"/>
        <v>0</v>
      </c>
      <c r="AJ55">
        <f t="shared" si="34"/>
        <v>0</v>
      </c>
      <c r="AK55">
        <v>15.06</v>
      </c>
      <c r="AL55">
        <v>15.06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1</v>
      </c>
      <c r="BD55" t="s">
        <v>3</v>
      </c>
      <c r="BE55" t="s">
        <v>3</v>
      </c>
      <c r="BF55" t="s">
        <v>3</v>
      </c>
      <c r="BG55" t="s">
        <v>3</v>
      </c>
      <c r="BH55">
        <v>3</v>
      </c>
      <c r="BI55">
        <v>1</v>
      </c>
      <c r="BJ55" t="s">
        <v>3</v>
      </c>
      <c r="BM55">
        <v>1100</v>
      </c>
      <c r="BN55">
        <v>0</v>
      </c>
      <c r="BO55" t="s">
        <v>3</v>
      </c>
      <c r="BP55">
        <v>0</v>
      </c>
      <c r="BQ55">
        <v>8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0</v>
      </c>
      <c r="CA55">
        <v>0</v>
      </c>
      <c r="CE55">
        <v>0</v>
      </c>
      <c r="CF55">
        <v>0</v>
      </c>
      <c r="CG55">
        <v>0</v>
      </c>
      <c r="CM55">
        <v>0</v>
      </c>
      <c r="CN55" t="s">
        <v>3</v>
      </c>
      <c r="CO55">
        <v>0</v>
      </c>
      <c r="CP55">
        <f t="shared" si="35"/>
        <v>3.77</v>
      </c>
      <c r="CQ55">
        <f t="shared" si="36"/>
        <v>15.06</v>
      </c>
      <c r="CR55">
        <f t="shared" si="37"/>
        <v>0</v>
      </c>
      <c r="CS55">
        <f t="shared" si="38"/>
        <v>0</v>
      </c>
      <c r="CT55">
        <f t="shared" si="39"/>
        <v>0</v>
      </c>
      <c r="CU55">
        <f t="shared" si="40"/>
        <v>0</v>
      </c>
      <c r="CV55">
        <f t="shared" si="41"/>
        <v>0</v>
      </c>
      <c r="CW55">
        <f t="shared" si="42"/>
        <v>0</v>
      </c>
      <c r="CX55">
        <f t="shared" si="43"/>
        <v>0</v>
      </c>
      <c r="CY55">
        <f t="shared" si="55"/>
        <v>0</v>
      </c>
      <c r="CZ55">
        <f t="shared" si="56"/>
        <v>0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0</v>
      </c>
      <c r="DO55">
        <v>0</v>
      </c>
      <c r="DP55">
        <v>1</v>
      </c>
      <c r="DQ55">
        <v>1</v>
      </c>
      <c r="DU55">
        <v>1003</v>
      </c>
      <c r="DV55" t="s">
        <v>120</v>
      </c>
      <c r="DW55" t="s">
        <v>166</v>
      </c>
      <c r="DX55">
        <v>100</v>
      </c>
      <c r="EE55">
        <v>41318348</v>
      </c>
      <c r="EF55">
        <v>8</v>
      </c>
      <c r="EG55" t="s">
        <v>127</v>
      </c>
      <c r="EH55">
        <v>0</v>
      </c>
      <c r="EI55" t="s">
        <v>3</v>
      </c>
      <c r="EJ55">
        <v>1</v>
      </c>
      <c r="EK55">
        <v>1100</v>
      </c>
      <c r="EL55" t="s">
        <v>167</v>
      </c>
      <c r="EM55" t="s">
        <v>168</v>
      </c>
      <c r="EO55" t="s">
        <v>3</v>
      </c>
      <c r="EQ55">
        <v>131072</v>
      </c>
      <c r="ER55">
        <v>1506</v>
      </c>
      <c r="ES55">
        <v>15.06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5</v>
      </c>
      <c r="FC55">
        <v>1</v>
      </c>
      <c r="FD55">
        <v>18</v>
      </c>
      <c r="FF55">
        <v>18.07</v>
      </c>
      <c r="FQ55">
        <v>0</v>
      </c>
      <c r="FR55">
        <f t="shared" si="44"/>
        <v>0</v>
      </c>
      <c r="FS55">
        <v>0</v>
      </c>
      <c r="FX55">
        <v>0</v>
      </c>
      <c r="FY55">
        <v>0</v>
      </c>
      <c r="GA55" t="s">
        <v>169</v>
      </c>
      <c r="GD55">
        <v>1</v>
      </c>
      <c r="GF55">
        <v>138462638</v>
      </c>
      <c r="GG55">
        <v>2</v>
      </c>
      <c r="GH55">
        <v>3</v>
      </c>
      <c r="GI55">
        <v>-2</v>
      </c>
      <c r="GJ55">
        <v>0</v>
      </c>
      <c r="GK55">
        <v>0</v>
      </c>
      <c r="GL55">
        <f t="shared" si="45"/>
        <v>0</v>
      </c>
      <c r="GM55">
        <f t="shared" si="46"/>
        <v>3.77</v>
      </c>
      <c r="GN55">
        <f t="shared" si="47"/>
        <v>3.77</v>
      </c>
      <c r="GO55">
        <f t="shared" si="48"/>
        <v>0</v>
      </c>
      <c r="GP55">
        <f t="shared" si="49"/>
        <v>0</v>
      </c>
      <c r="GR55">
        <v>1</v>
      </c>
      <c r="GS55">
        <v>1</v>
      </c>
      <c r="GT55">
        <v>0</v>
      </c>
      <c r="GU55" t="s">
        <v>3</v>
      </c>
      <c r="GV55">
        <f t="shared" si="50"/>
        <v>0</v>
      </c>
      <c r="GW55">
        <v>1</v>
      </c>
      <c r="GX55">
        <f t="shared" si="51"/>
        <v>0</v>
      </c>
      <c r="HA55">
        <v>0</v>
      </c>
      <c r="HB55">
        <v>0</v>
      </c>
      <c r="HC55">
        <f t="shared" si="52"/>
        <v>0</v>
      </c>
      <c r="IK55">
        <v>0</v>
      </c>
    </row>
    <row r="56" spans="1:245" x14ac:dyDescent="0.2">
      <c r="A56">
        <v>19</v>
      </c>
      <c r="B56">
        <v>1</v>
      </c>
      <c r="F56" t="s">
        <v>3</v>
      </c>
      <c r="G56" t="s">
        <v>170</v>
      </c>
      <c r="H56" t="s">
        <v>3</v>
      </c>
      <c r="AA56">
        <v>1</v>
      </c>
      <c r="IK56">
        <v>0</v>
      </c>
    </row>
    <row r="57" spans="1:245" x14ac:dyDescent="0.2">
      <c r="A57">
        <v>17</v>
      </c>
      <c r="B57">
        <v>1</v>
      </c>
      <c r="C57">
        <f>ROW(SmtRes!A121)</f>
        <v>121</v>
      </c>
      <c r="D57">
        <f>ROW(EtalonRes!A123)</f>
        <v>123</v>
      </c>
      <c r="E57" t="s">
        <v>171</v>
      </c>
      <c r="F57" t="s">
        <v>172</v>
      </c>
      <c r="G57" t="s">
        <v>173</v>
      </c>
      <c r="H57" t="s">
        <v>174</v>
      </c>
      <c r="I57">
        <f>ROUND(1,3)</f>
        <v>1</v>
      </c>
      <c r="J57">
        <v>0</v>
      </c>
      <c r="O57">
        <f>ROUND(CP57,2)</f>
        <v>7948.63</v>
      </c>
      <c r="P57">
        <f>ROUND(CQ57*I57,2)</f>
        <v>0</v>
      </c>
      <c r="Q57">
        <f>ROUND(CR57*I57,2)</f>
        <v>0</v>
      </c>
      <c r="R57">
        <f>ROUND(CS57*I57,2)</f>
        <v>0</v>
      </c>
      <c r="S57">
        <f>ROUND(CT57*I57,2)</f>
        <v>7948.63</v>
      </c>
      <c r="T57">
        <f>ROUND(CU57*I57,2)</f>
        <v>0</v>
      </c>
      <c r="U57">
        <f>CV57*I57</f>
        <v>17.600000000000001</v>
      </c>
      <c r="V57">
        <f>CW57*I57</f>
        <v>0</v>
      </c>
      <c r="W57">
        <f>ROUND(CX57*I57,2)</f>
        <v>0</v>
      </c>
      <c r="X57">
        <f>ROUND(CY57,2)</f>
        <v>5166.6099999999997</v>
      </c>
      <c r="Y57">
        <f>ROUND(CZ57,2)</f>
        <v>3179.45</v>
      </c>
      <c r="AA57">
        <v>43156991</v>
      </c>
      <c r="AB57">
        <f>ROUND((AC57+AD57+AF57),2)</f>
        <v>260.44</v>
      </c>
      <c r="AC57">
        <f>ROUND((ES57),2)</f>
        <v>0</v>
      </c>
      <c r="AD57">
        <f>ROUND((((ET57)-(EU57))+AE57),2)</f>
        <v>0</v>
      </c>
      <c r="AE57">
        <f>ROUND((EU57),2)</f>
        <v>0</v>
      </c>
      <c r="AF57">
        <f>ROUND((EV57),2)</f>
        <v>260.44</v>
      </c>
      <c r="AG57">
        <f>ROUND((AP57),2)</f>
        <v>0</v>
      </c>
      <c r="AH57">
        <f>(EW57)</f>
        <v>17.600000000000001</v>
      </c>
      <c r="AI57">
        <f>(EX57)</f>
        <v>0</v>
      </c>
      <c r="AJ57">
        <f>(AS57)</f>
        <v>0</v>
      </c>
      <c r="AK57">
        <v>260.44</v>
      </c>
      <c r="AL57">
        <v>0</v>
      </c>
      <c r="AM57">
        <v>0</v>
      </c>
      <c r="AN57">
        <v>0</v>
      </c>
      <c r="AO57">
        <v>260.44</v>
      </c>
      <c r="AP57">
        <v>0</v>
      </c>
      <c r="AQ57">
        <v>17.600000000000001</v>
      </c>
      <c r="AR57">
        <v>0</v>
      </c>
      <c r="AS57">
        <v>0</v>
      </c>
      <c r="AT57">
        <v>65</v>
      </c>
      <c r="AU57">
        <v>40</v>
      </c>
      <c r="AV57">
        <v>1</v>
      </c>
      <c r="AW57">
        <v>1</v>
      </c>
      <c r="AZ57">
        <v>1</v>
      </c>
      <c r="BA57">
        <v>30.52</v>
      </c>
      <c r="BB57">
        <v>1</v>
      </c>
      <c r="BC57">
        <v>1</v>
      </c>
      <c r="BD57" t="s">
        <v>3</v>
      </c>
      <c r="BE57" t="s">
        <v>3</v>
      </c>
      <c r="BF57" t="s">
        <v>3</v>
      </c>
      <c r="BG57" t="s">
        <v>3</v>
      </c>
      <c r="BH57">
        <v>0</v>
      </c>
      <c r="BI57">
        <v>4</v>
      </c>
      <c r="BJ57" t="s">
        <v>175</v>
      </c>
      <c r="BM57">
        <v>200001</v>
      </c>
      <c r="BN57">
        <v>0</v>
      </c>
      <c r="BO57" t="s">
        <v>3</v>
      </c>
      <c r="BP57">
        <v>0</v>
      </c>
      <c r="BQ57">
        <v>4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65</v>
      </c>
      <c r="CA57">
        <v>40</v>
      </c>
      <c r="CE57">
        <v>0</v>
      </c>
      <c r="CF57">
        <v>0</v>
      </c>
      <c r="CG57">
        <v>0</v>
      </c>
      <c r="CM57">
        <v>0</v>
      </c>
      <c r="CN57" t="s">
        <v>3</v>
      </c>
      <c r="CO57">
        <v>0</v>
      </c>
      <c r="CP57">
        <f>(P57+Q57+S57)</f>
        <v>7948.63</v>
      </c>
      <c r="CQ57">
        <f>AC57*BC57</f>
        <v>0</v>
      </c>
      <c r="CR57">
        <f>AD57*BB57</f>
        <v>0</v>
      </c>
      <c r="CS57">
        <f>AE57*BS57</f>
        <v>0</v>
      </c>
      <c r="CT57">
        <f>AF57*BA57</f>
        <v>7948.6287999999995</v>
      </c>
      <c r="CU57">
        <f>AG57</f>
        <v>0</v>
      </c>
      <c r="CV57">
        <f>AH57</f>
        <v>17.600000000000001</v>
      </c>
      <c r="CW57">
        <f>AI57</f>
        <v>0</v>
      </c>
      <c r="CX57">
        <f>AJ57</f>
        <v>0</v>
      </c>
      <c r="CY57">
        <f>(((S57+R57)*AT57)/100)</f>
        <v>5166.6095000000005</v>
      </c>
      <c r="CZ57">
        <f>(((S57+R57)*AU57)/100)</f>
        <v>3179.4520000000002</v>
      </c>
      <c r="DC57" t="s">
        <v>3</v>
      </c>
      <c r="DD57" t="s">
        <v>3</v>
      </c>
      <c r="DE57" t="s">
        <v>3</v>
      </c>
      <c r="DF57" t="s">
        <v>3</v>
      </c>
      <c r="DG57" t="s">
        <v>3</v>
      </c>
      <c r="DH57" t="s">
        <v>3</v>
      </c>
      <c r="DI57" t="s">
        <v>3</v>
      </c>
      <c r="DJ57" t="s">
        <v>3</v>
      </c>
      <c r="DK57" t="s">
        <v>3</v>
      </c>
      <c r="DL57" t="s">
        <v>3</v>
      </c>
      <c r="DM57" t="s">
        <v>3</v>
      </c>
      <c r="DN57">
        <v>0</v>
      </c>
      <c r="DO57">
        <v>0</v>
      </c>
      <c r="DP57">
        <v>1</v>
      </c>
      <c r="DQ57">
        <v>1</v>
      </c>
      <c r="DU57">
        <v>1013</v>
      </c>
      <c r="DV57" t="s">
        <v>174</v>
      </c>
      <c r="DW57" t="s">
        <v>174</v>
      </c>
      <c r="DX57">
        <v>1</v>
      </c>
      <c r="EE57">
        <v>41318547</v>
      </c>
      <c r="EF57">
        <v>4</v>
      </c>
      <c r="EG57" t="s">
        <v>176</v>
      </c>
      <c r="EH57">
        <v>0</v>
      </c>
      <c r="EI57" t="s">
        <v>3</v>
      </c>
      <c r="EJ57">
        <v>4</v>
      </c>
      <c r="EK57">
        <v>200001</v>
      </c>
      <c r="EL57" t="s">
        <v>177</v>
      </c>
      <c r="EM57" t="s">
        <v>178</v>
      </c>
      <c r="EO57" t="s">
        <v>3</v>
      </c>
      <c r="EQ57">
        <v>0</v>
      </c>
      <c r="ER57">
        <v>260.44</v>
      </c>
      <c r="ES57">
        <v>0</v>
      </c>
      <c r="ET57">
        <v>0</v>
      </c>
      <c r="EU57">
        <v>0</v>
      </c>
      <c r="EV57">
        <v>260.44</v>
      </c>
      <c r="EW57">
        <v>17.600000000000001</v>
      </c>
      <c r="EX57">
        <v>0</v>
      </c>
      <c r="EY57">
        <v>0</v>
      </c>
      <c r="FQ57">
        <v>0</v>
      </c>
      <c r="FR57">
        <f>ROUND(IF(AND(BH57=3,BI57=3),P57,0),2)</f>
        <v>0</v>
      </c>
      <c r="FS57">
        <v>0</v>
      </c>
      <c r="FX57">
        <v>65</v>
      </c>
      <c r="FY57">
        <v>40</v>
      </c>
      <c r="GA57" t="s">
        <v>3</v>
      </c>
      <c r="GD57">
        <v>1</v>
      </c>
      <c r="GF57">
        <v>-671321182</v>
      </c>
      <c r="GG57">
        <v>2</v>
      </c>
      <c r="GH57">
        <v>1</v>
      </c>
      <c r="GI57">
        <v>2</v>
      </c>
      <c r="GJ57">
        <v>0</v>
      </c>
      <c r="GK57">
        <v>0</v>
      </c>
      <c r="GL57">
        <f>ROUND(IF(AND(BH57=3,BI57=3,FS57&lt;&gt;0),P57,0),2)</f>
        <v>0</v>
      </c>
      <c r="GM57">
        <f>ROUND(O57+X57+Y57,2)+GX57</f>
        <v>16294.69</v>
      </c>
      <c r="GN57">
        <f>IF(OR(BI57=0,BI57=1),ROUND(O57+X57+Y57,2),0)</f>
        <v>0</v>
      </c>
      <c r="GO57">
        <f>IF(BI57=2,ROUND(O57+X57+Y57,2),0)</f>
        <v>0</v>
      </c>
      <c r="GP57">
        <f>IF(BI57=4,ROUND(O57+X57+Y57,2)+GX57,0)</f>
        <v>16294.69</v>
      </c>
      <c r="GR57">
        <v>0</v>
      </c>
      <c r="GS57">
        <v>3</v>
      </c>
      <c r="GT57">
        <v>0</v>
      </c>
      <c r="GU57" t="s">
        <v>3</v>
      </c>
      <c r="GV57">
        <f>ROUND((GT57),2)</f>
        <v>0</v>
      </c>
      <c r="GW57">
        <v>1</v>
      </c>
      <c r="GX57">
        <f>ROUND(HC57*I57,2)</f>
        <v>0</v>
      </c>
      <c r="HA57">
        <v>0</v>
      </c>
      <c r="HB57">
        <v>0</v>
      </c>
      <c r="HC57">
        <f>GV57*GW57</f>
        <v>0</v>
      </c>
      <c r="IK57">
        <v>0</v>
      </c>
    </row>
    <row r="59" spans="1:245" x14ac:dyDescent="0.2">
      <c r="A59" s="2">
        <v>51</v>
      </c>
      <c r="B59" s="2">
        <f>B20</f>
        <v>1</v>
      </c>
      <c r="C59" s="2">
        <f>A20</f>
        <v>3</v>
      </c>
      <c r="D59" s="2">
        <f>ROW(A20)</f>
        <v>20</v>
      </c>
      <c r="E59" s="2"/>
      <c r="F59" s="2" t="str">
        <f>IF(F20&lt;&gt;"",F20,"")</f>
        <v>Новая локальная смета</v>
      </c>
      <c r="G59" s="2" t="str">
        <f>IF(G20&lt;&gt;"",G20,"")</f>
        <v>Новая локальная смета</v>
      </c>
      <c r="H59" s="2">
        <v>0</v>
      </c>
      <c r="I59" s="2"/>
      <c r="J59" s="2"/>
      <c r="K59" s="2"/>
      <c r="L59" s="2"/>
      <c r="M59" s="2"/>
      <c r="N59" s="2"/>
      <c r="O59" s="2">
        <f t="shared" ref="O59:T59" si="57">ROUND(AB59,2)</f>
        <v>55783.12</v>
      </c>
      <c r="P59" s="2">
        <f t="shared" si="57"/>
        <v>31702.06</v>
      </c>
      <c r="Q59" s="2">
        <f t="shared" si="57"/>
        <v>946.59</v>
      </c>
      <c r="R59" s="2">
        <f t="shared" si="57"/>
        <v>291.3</v>
      </c>
      <c r="S59" s="2">
        <f t="shared" si="57"/>
        <v>23134.47</v>
      </c>
      <c r="T59" s="2">
        <f t="shared" si="57"/>
        <v>0</v>
      </c>
      <c r="U59" s="2">
        <f>AH59</f>
        <v>66.72890000000001</v>
      </c>
      <c r="V59" s="2">
        <f>AI59</f>
        <v>0.91800000000000004</v>
      </c>
      <c r="W59" s="2">
        <f>ROUND(AJ59,2)</f>
        <v>0.43</v>
      </c>
      <c r="X59" s="2">
        <f>ROUND(AK59,2)</f>
        <v>18850.759999999998</v>
      </c>
      <c r="Y59" s="2">
        <f>ROUND(AL59,2)</f>
        <v>12960.23</v>
      </c>
      <c r="Z59" s="2"/>
      <c r="AA59" s="2"/>
      <c r="AB59" s="2">
        <f>ROUND(SUMIF(AA24:AA57,"=43156991",O24:O57),2)</f>
        <v>55783.12</v>
      </c>
      <c r="AC59" s="2">
        <f>ROUND(SUMIF(AA24:AA57,"=43156991",P24:P57),2)</f>
        <v>31702.06</v>
      </c>
      <c r="AD59" s="2">
        <f>ROUND(SUMIF(AA24:AA57,"=43156991",Q24:Q57),2)</f>
        <v>946.59</v>
      </c>
      <c r="AE59" s="2">
        <f>ROUND(SUMIF(AA24:AA57,"=43156991",R24:R57),2)</f>
        <v>291.3</v>
      </c>
      <c r="AF59" s="2">
        <f>ROUND(SUMIF(AA24:AA57,"=43156991",S24:S57),2)</f>
        <v>23134.47</v>
      </c>
      <c r="AG59" s="2">
        <f>ROUND(SUMIF(AA24:AA57,"=43156991",T24:T57),2)</f>
        <v>0</v>
      </c>
      <c r="AH59" s="2">
        <f>SUMIF(AA24:AA57,"=43156991",U24:U57)</f>
        <v>66.72890000000001</v>
      </c>
      <c r="AI59" s="2">
        <f>SUMIF(AA24:AA57,"=43156991",V24:V57)</f>
        <v>0.91800000000000004</v>
      </c>
      <c r="AJ59" s="2">
        <f>ROUND(SUMIF(AA24:AA57,"=43156991",W24:W57),2)</f>
        <v>0.43</v>
      </c>
      <c r="AK59" s="2">
        <f>ROUND(SUMIF(AA24:AA57,"=43156991",X24:X57),2)</f>
        <v>18850.759999999998</v>
      </c>
      <c r="AL59" s="2">
        <f>ROUND(SUMIF(AA24:AA57,"=43156991",Y24:Y57),2)</f>
        <v>12960.23</v>
      </c>
      <c r="AM59" s="2"/>
      <c r="AN59" s="2"/>
      <c r="AO59" s="2">
        <f t="shared" ref="AO59:BC59" si="58">ROUND(BX59,2)</f>
        <v>0</v>
      </c>
      <c r="AP59" s="2">
        <f t="shared" si="58"/>
        <v>23518.65</v>
      </c>
      <c r="AQ59" s="2">
        <f t="shared" si="58"/>
        <v>0</v>
      </c>
      <c r="AR59" s="2">
        <f t="shared" si="58"/>
        <v>87594.11</v>
      </c>
      <c r="AS59" s="2">
        <f t="shared" si="58"/>
        <v>284.45999999999998</v>
      </c>
      <c r="AT59" s="2">
        <f t="shared" si="58"/>
        <v>47496.31</v>
      </c>
      <c r="AU59" s="2">
        <f t="shared" si="58"/>
        <v>16294.69</v>
      </c>
      <c r="AV59" s="2">
        <f t="shared" si="58"/>
        <v>31702.06</v>
      </c>
      <c r="AW59" s="2">
        <f t="shared" si="58"/>
        <v>8183.41</v>
      </c>
      <c r="AX59" s="2">
        <f t="shared" si="58"/>
        <v>0</v>
      </c>
      <c r="AY59" s="2">
        <f t="shared" si="58"/>
        <v>8183.41</v>
      </c>
      <c r="AZ59" s="2">
        <f t="shared" si="58"/>
        <v>23518.65</v>
      </c>
      <c r="BA59" s="2">
        <f t="shared" si="58"/>
        <v>0</v>
      </c>
      <c r="BB59" s="2">
        <f t="shared" si="58"/>
        <v>0</v>
      </c>
      <c r="BC59" s="2">
        <f t="shared" si="58"/>
        <v>0</v>
      </c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>
        <f>ROUND(SUMIF(AA24:AA57,"=43156991",FQ24:FQ57),2)</f>
        <v>0</v>
      </c>
      <c r="BY59" s="2">
        <f>ROUND(SUMIF(AA24:AA57,"=43156991",FR24:FR57),2)</f>
        <v>23518.65</v>
      </c>
      <c r="BZ59" s="2">
        <f>ROUND(SUMIF(AA24:AA57,"=43156991",GL24:GL57),2)</f>
        <v>0</v>
      </c>
      <c r="CA59" s="2">
        <f>ROUND(SUMIF(AA24:AA57,"=43156991",GM24:GM57),2)</f>
        <v>87594.11</v>
      </c>
      <c r="CB59" s="2">
        <f>ROUND(SUMIF(AA24:AA57,"=43156991",GN24:GN57),2)</f>
        <v>284.45999999999998</v>
      </c>
      <c r="CC59" s="2">
        <f>ROUND(SUMIF(AA24:AA57,"=43156991",GO24:GO57),2)</f>
        <v>47496.31</v>
      </c>
      <c r="CD59" s="2">
        <f>ROUND(SUMIF(AA24:AA57,"=43156991",GP24:GP57),2)</f>
        <v>16294.69</v>
      </c>
      <c r="CE59" s="2">
        <f>AC59-BX59</f>
        <v>31702.06</v>
      </c>
      <c r="CF59" s="2">
        <f>AC59-BY59</f>
        <v>8183.41</v>
      </c>
      <c r="CG59" s="2">
        <f>BX59-BZ59</f>
        <v>0</v>
      </c>
      <c r="CH59" s="2">
        <f>AC59-BX59-BY59+BZ59</f>
        <v>8183.41</v>
      </c>
      <c r="CI59" s="2">
        <f>BY59-BZ59</f>
        <v>23518.65</v>
      </c>
      <c r="CJ59" s="2">
        <f>ROUND(SUMIF(AA24:AA57,"=43156991",GX24:GX57),2)</f>
        <v>0</v>
      </c>
      <c r="CK59" s="2">
        <f>ROUND(SUMIF(AA24:AA57,"=43156991",GY24:GY57),2)</f>
        <v>0</v>
      </c>
      <c r="CL59" s="2">
        <f>ROUND(SUMIF(AA24:AA57,"=43156991",GZ24:GZ57),2)</f>
        <v>0</v>
      </c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>
        <v>0</v>
      </c>
    </row>
    <row r="61" spans="1:245" x14ac:dyDescent="0.2">
      <c r="A61" s="4">
        <v>50</v>
      </c>
      <c r="B61" s="4">
        <v>0</v>
      </c>
      <c r="C61" s="4">
        <v>0</v>
      </c>
      <c r="D61" s="4">
        <v>1</v>
      </c>
      <c r="E61" s="4">
        <v>201</v>
      </c>
      <c r="F61" s="4">
        <f>ROUND(Source!O59,O61)</f>
        <v>55783.12</v>
      </c>
      <c r="G61" s="4" t="s">
        <v>179</v>
      </c>
      <c r="H61" s="4" t="s">
        <v>180</v>
      </c>
      <c r="I61" s="4"/>
      <c r="J61" s="4"/>
      <c r="K61" s="4">
        <v>201</v>
      </c>
      <c r="L61" s="4">
        <v>1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45" x14ac:dyDescent="0.2">
      <c r="A62" s="4">
        <v>50</v>
      </c>
      <c r="B62" s="4">
        <v>0</v>
      </c>
      <c r="C62" s="4">
        <v>0</v>
      </c>
      <c r="D62" s="4">
        <v>1</v>
      </c>
      <c r="E62" s="4">
        <v>202</v>
      </c>
      <c r="F62" s="4">
        <f>ROUND(Source!P59,O62)</f>
        <v>31702.06</v>
      </c>
      <c r="G62" s="4" t="s">
        <v>181</v>
      </c>
      <c r="H62" s="4" t="s">
        <v>182</v>
      </c>
      <c r="I62" s="4"/>
      <c r="J62" s="4"/>
      <c r="K62" s="4">
        <v>202</v>
      </c>
      <c r="L62" s="4">
        <v>2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45" x14ac:dyDescent="0.2">
      <c r="A63" s="4">
        <v>50</v>
      </c>
      <c r="B63" s="4">
        <v>0</v>
      </c>
      <c r="C63" s="4">
        <v>0</v>
      </c>
      <c r="D63" s="4">
        <v>1</v>
      </c>
      <c r="E63" s="4">
        <v>222</v>
      </c>
      <c r="F63" s="4">
        <f>ROUND(Source!AO59,O63)</f>
        <v>0</v>
      </c>
      <c r="G63" s="4" t="s">
        <v>183</v>
      </c>
      <c r="H63" s="4" t="s">
        <v>184</v>
      </c>
      <c r="I63" s="4"/>
      <c r="J63" s="4"/>
      <c r="K63" s="4">
        <v>222</v>
      </c>
      <c r="L63" s="4">
        <v>3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45" x14ac:dyDescent="0.2">
      <c r="A64" s="4">
        <v>50</v>
      </c>
      <c r="B64" s="4">
        <v>0</v>
      </c>
      <c r="C64" s="4">
        <v>0</v>
      </c>
      <c r="D64" s="4">
        <v>1</v>
      </c>
      <c r="E64" s="4">
        <v>225</v>
      </c>
      <c r="F64" s="4">
        <f>ROUND(Source!AV59,O64)</f>
        <v>31702.06</v>
      </c>
      <c r="G64" s="4" t="s">
        <v>185</v>
      </c>
      <c r="H64" s="4" t="s">
        <v>186</v>
      </c>
      <c r="I64" s="4"/>
      <c r="J64" s="4"/>
      <c r="K64" s="4">
        <v>225</v>
      </c>
      <c r="L64" s="4">
        <v>4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3" x14ac:dyDescent="0.2">
      <c r="A65" s="4">
        <v>50</v>
      </c>
      <c r="B65" s="4">
        <v>0</v>
      </c>
      <c r="C65" s="4">
        <v>0</v>
      </c>
      <c r="D65" s="4">
        <v>1</v>
      </c>
      <c r="E65" s="4">
        <v>226</v>
      </c>
      <c r="F65" s="4">
        <f>ROUND(Source!AW59,O65)</f>
        <v>8183.41</v>
      </c>
      <c r="G65" s="4" t="s">
        <v>187</v>
      </c>
      <c r="H65" s="4" t="s">
        <v>188</v>
      </c>
      <c r="I65" s="4"/>
      <c r="J65" s="4"/>
      <c r="K65" s="4">
        <v>226</v>
      </c>
      <c r="L65" s="4">
        <v>5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3" x14ac:dyDescent="0.2">
      <c r="A66" s="4">
        <v>50</v>
      </c>
      <c r="B66" s="4">
        <v>0</v>
      </c>
      <c r="C66" s="4">
        <v>0</v>
      </c>
      <c r="D66" s="4">
        <v>1</v>
      </c>
      <c r="E66" s="4">
        <v>227</v>
      </c>
      <c r="F66" s="4">
        <f>ROUND(Source!AX59,O66)</f>
        <v>0</v>
      </c>
      <c r="G66" s="4" t="s">
        <v>189</v>
      </c>
      <c r="H66" s="4" t="s">
        <v>190</v>
      </c>
      <c r="I66" s="4"/>
      <c r="J66" s="4"/>
      <c r="K66" s="4">
        <v>227</v>
      </c>
      <c r="L66" s="4">
        <v>6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7" spans="1:23" x14ac:dyDescent="0.2">
      <c r="A67" s="4">
        <v>50</v>
      </c>
      <c r="B67" s="4">
        <v>0</v>
      </c>
      <c r="C67" s="4">
        <v>0</v>
      </c>
      <c r="D67" s="4">
        <v>1</v>
      </c>
      <c r="E67" s="4">
        <v>228</v>
      </c>
      <c r="F67" s="4">
        <f>ROUND(Source!AY59,O67)</f>
        <v>8183.41</v>
      </c>
      <c r="G67" s="4" t="s">
        <v>191</v>
      </c>
      <c r="H67" s="4" t="s">
        <v>192</v>
      </c>
      <c r="I67" s="4"/>
      <c r="J67" s="4"/>
      <c r="K67" s="4">
        <v>228</v>
      </c>
      <c r="L67" s="4">
        <v>7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8" spans="1:23" x14ac:dyDescent="0.2">
      <c r="A68" s="4">
        <v>50</v>
      </c>
      <c r="B68" s="4">
        <v>0</v>
      </c>
      <c r="C68" s="4">
        <v>0</v>
      </c>
      <c r="D68" s="4">
        <v>1</v>
      </c>
      <c r="E68" s="4">
        <v>216</v>
      </c>
      <c r="F68" s="4">
        <f>ROUND(Source!AP59,O68)</f>
        <v>23518.65</v>
      </c>
      <c r="G68" s="4" t="s">
        <v>193</v>
      </c>
      <c r="H68" s="4" t="s">
        <v>194</v>
      </c>
      <c r="I68" s="4"/>
      <c r="J68" s="4"/>
      <c r="K68" s="4">
        <v>216</v>
      </c>
      <c r="L68" s="4">
        <v>8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69" spans="1:23" x14ac:dyDescent="0.2">
      <c r="A69" s="4">
        <v>50</v>
      </c>
      <c r="B69" s="4">
        <v>0</v>
      </c>
      <c r="C69" s="4">
        <v>0</v>
      </c>
      <c r="D69" s="4">
        <v>1</v>
      </c>
      <c r="E69" s="4">
        <v>223</v>
      </c>
      <c r="F69" s="4">
        <f>ROUND(Source!AQ59,O69)</f>
        <v>0</v>
      </c>
      <c r="G69" s="4" t="s">
        <v>195</v>
      </c>
      <c r="H69" s="4" t="s">
        <v>196</v>
      </c>
      <c r="I69" s="4"/>
      <c r="J69" s="4"/>
      <c r="K69" s="4">
        <v>223</v>
      </c>
      <c r="L69" s="4">
        <v>9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/>
    </row>
    <row r="70" spans="1:23" x14ac:dyDescent="0.2">
      <c r="A70" s="4">
        <v>50</v>
      </c>
      <c r="B70" s="4">
        <v>0</v>
      </c>
      <c r="C70" s="4">
        <v>0</v>
      </c>
      <c r="D70" s="4">
        <v>1</v>
      </c>
      <c r="E70" s="4">
        <v>229</v>
      </c>
      <c r="F70" s="4">
        <f>ROUND(Source!AZ59,O70)</f>
        <v>23518.65</v>
      </c>
      <c r="G70" s="4" t="s">
        <v>197</v>
      </c>
      <c r="H70" s="4" t="s">
        <v>198</v>
      </c>
      <c r="I70" s="4"/>
      <c r="J70" s="4"/>
      <c r="K70" s="4">
        <v>229</v>
      </c>
      <c r="L70" s="4">
        <v>10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/>
    </row>
    <row r="71" spans="1:23" x14ac:dyDescent="0.2">
      <c r="A71" s="4">
        <v>50</v>
      </c>
      <c r="B71" s="4">
        <v>0</v>
      </c>
      <c r="C71" s="4">
        <v>0</v>
      </c>
      <c r="D71" s="4">
        <v>1</v>
      </c>
      <c r="E71" s="4">
        <v>203</v>
      </c>
      <c r="F71" s="4">
        <f>ROUND(Source!Q59,O71)</f>
        <v>946.59</v>
      </c>
      <c r="G71" s="4" t="s">
        <v>199</v>
      </c>
      <c r="H71" s="4" t="s">
        <v>200</v>
      </c>
      <c r="I71" s="4"/>
      <c r="J71" s="4"/>
      <c r="K71" s="4">
        <v>203</v>
      </c>
      <c r="L71" s="4">
        <v>11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2" spans="1:23" x14ac:dyDescent="0.2">
      <c r="A72" s="4">
        <v>50</v>
      </c>
      <c r="B72" s="4">
        <v>0</v>
      </c>
      <c r="C72" s="4">
        <v>0</v>
      </c>
      <c r="D72" s="4">
        <v>1</v>
      </c>
      <c r="E72" s="4">
        <v>231</v>
      </c>
      <c r="F72" s="4">
        <f>ROUND(Source!BB59,O72)</f>
        <v>0</v>
      </c>
      <c r="G72" s="4" t="s">
        <v>201</v>
      </c>
      <c r="H72" s="4" t="s">
        <v>202</v>
      </c>
      <c r="I72" s="4"/>
      <c r="J72" s="4"/>
      <c r="K72" s="4">
        <v>231</v>
      </c>
      <c r="L72" s="4">
        <v>12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/>
    </row>
    <row r="73" spans="1:23" x14ac:dyDescent="0.2">
      <c r="A73" s="4">
        <v>50</v>
      </c>
      <c r="B73" s="4">
        <v>0</v>
      </c>
      <c r="C73" s="4">
        <v>0</v>
      </c>
      <c r="D73" s="4">
        <v>1</v>
      </c>
      <c r="E73" s="4">
        <v>204</v>
      </c>
      <c r="F73" s="4">
        <f>ROUND(Source!R59,O73)</f>
        <v>291.3</v>
      </c>
      <c r="G73" s="4" t="s">
        <v>203</v>
      </c>
      <c r="H73" s="4" t="s">
        <v>204</v>
      </c>
      <c r="I73" s="4"/>
      <c r="J73" s="4"/>
      <c r="K73" s="4">
        <v>204</v>
      </c>
      <c r="L73" s="4">
        <v>13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/>
    </row>
    <row r="74" spans="1:23" x14ac:dyDescent="0.2">
      <c r="A74" s="4">
        <v>50</v>
      </c>
      <c r="B74" s="4">
        <v>0</v>
      </c>
      <c r="C74" s="4">
        <v>0</v>
      </c>
      <c r="D74" s="4">
        <v>1</v>
      </c>
      <c r="E74" s="4">
        <v>205</v>
      </c>
      <c r="F74" s="4">
        <f>ROUND(Source!S59,O74)</f>
        <v>23134.47</v>
      </c>
      <c r="G74" s="4" t="s">
        <v>205</v>
      </c>
      <c r="H74" s="4" t="s">
        <v>206</v>
      </c>
      <c r="I74" s="4"/>
      <c r="J74" s="4"/>
      <c r="K74" s="4">
        <v>205</v>
      </c>
      <c r="L74" s="4">
        <v>14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/>
    </row>
    <row r="75" spans="1:23" x14ac:dyDescent="0.2">
      <c r="A75" s="4">
        <v>50</v>
      </c>
      <c r="B75" s="4">
        <v>0</v>
      </c>
      <c r="C75" s="4">
        <v>0</v>
      </c>
      <c r="D75" s="4">
        <v>1</v>
      </c>
      <c r="E75" s="4">
        <v>232</v>
      </c>
      <c r="F75" s="4">
        <f>ROUND(Source!BC59,O75)</f>
        <v>0</v>
      </c>
      <c r="G75" s="4" t="s">
        <v>207</v>
      </c>
      <c r="H75" s="4" t="s">
        <v>208</v>
      </c>
      <c r="I75" s="4"/>
      <c r="J75" s="4"/>
      <c r="K75" s="4">
        <v>232</v>
      </c>
      <c r="L75" s="4">
        <v>15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3" x14ac:dyDescent="0.2">
      <c r="A76" s="4">
        <v>50</v>
      </c>
      <c r="B76" s="4">
        <v>0</v>
      </c>
      <c r="C76" s="4">
        <v>0</v>
      </c>
      <c r="D76" s="4">
        <v>1</v>
      </c>
      <c r="E76" s="4">
        <v>214</v>
      </c>
      <c r="F76" s="4">
        <f>ROUND(Source!AS59,O76)</f>
        <v>284.45999999999998</v>
      </c>
      <c r="G76" s="4" t="s">
        <v>209</v>
      </c>
      <c r="H76" s="4" t="s">
        <v>210</v>
      </c>
      <c r="I76" s="4"/>
      <c r="J76" s="4"/>
      <c r="K76" s="4">
        <v>214</v>
      </c>
      <c r="L76" s="4">
        <v>16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3" x14ac:dyDescent="0.2">
      <c r="A77" s="4">
        <v>50</v>
      </c>
      <c r="B77" s="4">
        <v>0</v>
      </c>
      <c r="C77" s="4">
        <v>0</v>
      </c>
      <c r="D77" s="4">
        <v>1</v>
      </c>
      <c r="E77" s="4">
        <v>215</v>
      </c>
      <c r="F77" s="4">
        <f>ROUND(Source!AT59,O77)</f>
        <v>47496.31</v>
      </c>
      <c r="G77" s="4" t="s">
        <v>211</v>
      </c>
      <c r="H77" s="4" t="s">
        <v>212</v>
      </c>
      <c r="I77" s="4"/>
      <c r="J77" s="4"/>
      <c r="K77" s="4">
        <v>215</v>
      </c>
      <c r="L77" s="4">
        <v>17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3" x14ac:dyDescent="0.2">
      <c r="A78" s="4">
        <v>50</v>
      </c>
      <c r="B78" s="4">
        <v>0</v>
      </c>
      <c r="C78" s="4">
        <v>0</v>
      </c>
      <c r="D78" s="4">
        <v>1</v>
      </c>
      <c r="E78" s="4">
        <v>217</v>
      </c>
      <c r="F78" s="4">
        <f>ROUND(Source!AU59,O78)</f>
        <v>16294.69</v>
      </c>
      <c r="G78" s="4" t="s">
        <v>213</v>
      </c>
      <c r="H78" s="4" t="s">
        <v>214</v>
      </c>
      <c r="I78" s="4"/>
      <c r="J78" s="4"/>
      <c r="K78" s="4">
        <v>217</v>
      </c>
      <c r="L78" s="4">
        <v>18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3" x14ac:dyDescent="0.2">
      <c r="A79" s="4">
        <v>50</v>
      </c>
      <c r="B79" s="4">
        <v>0</v>
      </c>
      <c r="C79" s="4">
        <v>0</v>
      </c>
      <c r="D79" s="4">
        <v>1</v>
      </c>
      <c r="E79" s="4">
        <v>230</v>
      </c>
      <c r="F79" s="4">
        <f>ROUND(Source!BA59,O79)</f>
        <v>0</v>
      </c>
      <c r="G79" s="4" t="s">
        <v>215</v>
      </c>
      <c r="H79" s="4" t="s">
        <v>216</v>
      </c>
      <c r="I79" s="4"/>
      <c r="J79" s="4"/>
      <c r="K79" s="4">
        <v>230</v>
      </c>
      <c r="L79" s="4">
        <v>19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3" x14ac:dyDescent="0.2">
      <c r="A80" s="4">
        <v>50</v>
      </c>
      <c r="B80" s="4">
        <v>0</v>
      </c>
      <c r="C80" s="4">
        <v>0</v>
      </c>
      <c r="D80" s="4">
        <v>1</v>
      </c>
      <c r="E80" s="4">
        <v>206</v>
      </c>
      <c r="F80" s="4">
        <f>ROUND(Source!T59,O80)</f>
        <v>0</v>
      </c>
      <c r="G80" s="4" t="s">
        <v>217</v>
      </c>
      <c r="H80" s="4" t="s">
        <v>218</v>
      </c>
      <c r="I80" s="4"/>
      <c r="J80" s="4"/>
      <c r="K80" s="4">
        <v>206</v>
      </c>
      <c r="L80" s="4">
        <v>20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06" x14ac:dyDescent="0.2">
      <c r="A81" s="4">
        <v>50</v>
      </c>
      <c r="B81" s="4">
        <v>0</v>
      </c>
      <c r="C81" s="4">
        <v>0</v>
      </c>
      <c r="D81" s="4">
        <v>1</v>
      </c>
      <c r="E81" s="4">
        <v>207</v>
      </c>
      <c r="F81" s="4">
        <f>Source!U59</f>
        <v>66.72890000000001</v>
      </c>
      <c r="G81" s="4" t="s">
        <v>219</v>
      </c>
      <c r="H81" s="4" t="s">
        <v>220</v>
      </c>
      <c r="I81" s="4"/>
      <c r="J81" s="4"/>
      <c r="K81" s="4">
        <v>207</v>
      </c>
      <c r="L81" s="4">
        <v>21</v>
      </c>
      <c r="M81" s="4">
        <v>3</v>
      </c>
      <c r="N81" s="4" t="s">
        <v>3</v>
      </c>
      <c r="O81" s="4">
        <v>-1</v>
      </c>
      <c r="P81" s="4"/>
      <c r="Q81" s="4"/>
      <c r="R81" s="4"/>
      <c r="S81" s="4"/>
      <c r="T81" s="4"/>
      <c r="U81" s="4"/>
      <c r="V81" s="4"/>
      <c r="W81" s="4"/>
    </row>
    <row r="82" spans="1:206" x14ac:dyDescent="0.2">
      <c r="A82" s="4">
        <v>50</v>
      </c>
      <c r="B82" s="4">
        <v>0</v>
      </c>
      <c r="C82" s="4">
        <v>0</v>
      </c>
      <c r="D82" s="4">
        <v>1</v>
      </c>
      <c r="E82" s="4">
        <v>208</v>
      </c>
      <c r="F82" s="4">
        <f>Source!V59</f>
        <v>0.91800000000000004</v>
      </c>
      <c r="G82" s="4" t="s">
        <v>221</v>
      </c>
      <c r="H82" s="4" t="s">
        <v>222</v>
      </c>
      <c r="I82" s="4"/>
      <c r="J82" s="4"/>
      <c r="K82" s="4">
        <v>208</v>
      </c>
      <c r="L82" s="4">
        <v>22</v>
      </c>
      <c r="M82" s="4">
        <v>3</v>
      </c>
      <c r="N82" s="4" t="s">
        <v>3</v>
      </c>
      <c r="O82" s="4">
        <v>-1</v>
      </c>
      <c r="P82" s="4"/>
      <c r="Q82" s="4"/>
      <c r="R82" s="4"/>
      <c r="S82" s="4"/>
      <c r="T82" s="4"/>
      <c r="U82" s="4"/>
      <c r="V82" s="4"/>
      <c r="W82" s="4"/>
    </row>
    <row r="83" spans="1:206" x14ac:dyDescent="0.2">
      <c r="A83" s="4">
        <v>50</v>
      </c>
      <c r="B83" s="4">
        <v>0</v>
      </c>
      <c r="C83" s="4">
        <v>0</v>
      </c>
      <c r="D83" s="4">
        <v>1</v>
      </c>
      <c r="E83" s="4">
        <v>209</v>
      </c>
      <c r="F83" s="4">
        <f>ROUND(Source!W59,O83)</f>
        <v>0.43</v>
      </c>
      <c r="G83" s="4" t="s">
        <v>223</v>
      </c>
      <c r="H83" s="4" t="s">
        <v>224</v>
      </c>
      <c r="I83" s="4"/>
      <c r="J83" s="4"/>
      <c r="K83" s="4">
        <v>209</v>
      </c>
      <c r="L83" s="4">
        <v>23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06" x14ac:dyDescent="0.2">
      <c r="A84" s="4">
        <v>50</v>
      </c>
      <c r="B84" s="4">
        <v>0</v>
      </c>
      <c r="C84" s="4">
        <v>0</v>
      </c>
      <c r="D84" s="4">
        <v>1</v>
      </c>
      <c r="E84" s="4">
        <v>210</v>
      </c>
      <c r="F84" s="4">
        <f>ROUND(Source!X59,O84)</f>
        <v>18850.759999999998</v>
      </c>
      <c r="G84" s="4" t="s">
        <v>225</v>
      </c>
      <c r="H84" s="4" t="s">
        <v>226</v>
      </c>
      <c r="I84" s="4"/>
      <c r="J84" s="4"/>
      <c r="K84" s="4">
        <v>210</v>
      </c>
      <c r="L84" s="4">
        <v>24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06" x14ac:dyDescent="0.2">
      <c r="A85" s="4">
        <v>50</v>
      </c>
      <c r="B85" s="4">
        <v>0</v>
      </c>
      <c r="C85" s="4">
        <v>0</v>
      </c>
      <c r="D85" s="4">
        <v>1</v>
      </c>
      <c r="E85" s="4">
        <v>211</v>
      </c>
      <c r="F85" s="4">
        <f>ROUND(Source!Y59,O85)</f>
        <v>12960.23</v>
      </c>
      <c r="G85" s="4" t="s">
        <v>227</v>
      </c>
      <c r="H85" s="4" t="s">
        <v>228</v>
      </c>
      <c r="I85" s="4"/>
      <c r="J85" s="4"/>
      <c r="K85" s="4">
        <v>211</v>
      </c>
      <c r="L85" s="4">
        <v>25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06" x14ac:dyDescent="0.2">
      <c r="A86" s="4">
        <v>50</v>
      </c>
      <c r="B86" s="4">
        <v>0</v>
      </c>
      <c r="C86" s="4">
        <v>0</v>
      </c>
      <c r="D86" s="4">
        <v>1</v>
      </c>
      <c r="E86" s="4">
        <v>224</v>
      </c>
      <c r="F86" s="4">
        <f>ROUND(Source!AR59,O86)</f>
        <v>87594.11</v>
      </c>
      <c r="G86" s="4" t="s">
        <v>229</v>
      </c>
      <c r="H86" s="4" t="s">
        <v>230</v>
      </c>
      <c r="I86" s="4"/>
      <c r="J86" s="4"/>
      <c r="K86" s="4">
        <v>224</v>
      </c>
      <c r="L86" s="4">
        <v>26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06" x14ac:dyDescent="0.2">
      <c r="A87" s="4">
        <v>50</v>
      </c>
      <c r="B87" s="4">
        <v>1</v>
      </c>
      <c r="C87" s="4">
        <v>0</v>
      </c>
      <c r="D87" s="4">
        <v>2</v>
      </c>
      <c r="E87" s="4">
        <v>0</v>
      </c>
      <c r="F87" s="4">
        <f>ROUND(F61+F84+F85,O87)</f>
        <v>87594.11</v>
      </c>
      <c r="G87" s="4" t="s">
        <v>231</v>
      </c>
      <c r="H87" s="4" t="s">
        <v>232</v>
      </c>
      <c r="I87" s="4"/>
      <c r="J87" s="4"/>
      <c r="K87" s="4">
        <v>212</v>
      </c>
      <c r="L87" s="4">
        <v>27</v>
      </c>
      <c r="M87" s="4">
        <v>0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06" x14ac:dyDescent="0.2">
      <c r="A88" s="4">
        <v>50</v>
      </c>
      <c r="B88" s="4">
        <v>1</v>
      </c>
      <c r="C88" s="4">
        <v>0</v>
      </c>
      <c r="D88" s="4">
        <v>2</v>
      </c>
      <c r="E88" s="4">
        <v>0</v>
      </c>
      <c r="F88" s="4">
        <f>ROUND(F87*0.2,O88)</f>
        <v>17518.82</v>
      </c>
      <c r="G88" s="4" t="s">
        <v>233</v>
      </c>
      <c r="H88" s="4" t="s">
        <v>234</v>
      </c>
      <c r="I88" s="4"/>
      <c r="J88" s="4"/>
      <c r="K88" s="4">
        <v>212</v>
      </c>
      <c r="L88" s="4">
        <v>28</v>
      </c>
      <c r="M88" s="4">
        <v>0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06" x14ac:dyDescent="0.2">
      <c r="A89" s="4">
        <v>50</v>
      </c>
      <c r="B89" s="4">
        <v>1</v>
      </c>
      <c r="C89" s="4">
        <v>0</v>
      </c>
      <c r="D89" s="4">
        <v>2</v>
      </c>
      <c r="E89" s="4">
        <v>0</v>
      </c>
      <c r="F89" s="4">
        <f>ROUND(F87+F88,O89)</f>
        <v>105112.93</v>
      </c>
      <c r="G89" s="4" t="s">
        <v>235</v>
      </c>
      <c r="H89" s="4" t="s">
        <v>236</v>
      </c>
      <c r="I89" s="4"/>
      <c r="J89" s="4"/>
      <c r="K89" s="4">
        <v>212</v>
      </c>
      <c r="L89" s="4">
        <v>29</v>
      </c>
      <c r="M89" s="4">
        <v>0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1" spans="1:206" x14ac:dyDescent="0.2">
      <c r="A91" s="2">
        <v>51</v>
      </c>
      <c r="B91" s="2">
        <f>B12</f>
        <v>149</v>
      </c>
      <c r="C91" s="2">
        <f>A12</f>
        <v>1</v>
      </c>
      <c r="D91" s="2">
        <f>ROW(A12)</f>
        <v>12</v>
      </c>
      <c r="E91" s="2"/>
      <c r="F91" s="2">
        <f>IF(F12&lt;&gt;"",F12,"")</f>
        <v>1</v>
      </c>
      <c r="G91" s="2" t="str">
        <f>IF(G12&lt;&gt;"",G12,"")</f>
        <v>монтажные, пусконаладочные работы объектового оборудования радиоканальной системы передачи извещений на прибор пультовой оконечный Программно-аппаратного комплекса системы мониторинга, обработки и передачи данных о параметрах возгорания, угрозах и рисках развития крупных пожаров «Стрелец-Мониторинг»</v>
      </c>
      <c r="H91" s="2">
        <v>0</v>
      </c>
      <c r="I91" s="2"/>
      <c r="J91" s="2"/>
      <c r="K91" s="2"/>
      <c r="L91" s="2"/>
      <c r="M91" s="2"/>
      <c r="N91" s="2"/>
      <c r="O91" s="2">
        <f t="shared" ref="O91:T91" si="59">ROUND(O59,2)</f>
        <v>55783.12</v>
      </c>
      <c r="P91" s="2">
        <f t="shared" si="59"/>
        <v>31702.06</v>
      </c>
      <c r="Q91" s="2">
        <f t="shared" si="59"/>
        <v>946.59</v>
      </c>
      <c r="R91" s="2">
        <f t="shared" si="59"/>
        <v>291.3</v>
      </c>
      <c r="S91" s="2">
        <f t="shared" si="59"/>
        <v>23134.47</v>
      </c>
      <c r="T91" s="2">
        <f t="shared" si="59"/>
        <v>0</v>
      </c>
      <c r="U91" s="2">
        <f>U59</f>
        <v>66.72890000000001</v>
      </c>
      <c r="V91" s="2">
        <f>V59</f>
        <v>0.91800000000000004</v>
      </c>
      <c r="W91" s="2">
        <f>ROUND(W59,2)</f>
        <v>0.43</v>
      </c>
      <c r="X91" s="2">
        <f>ROUND(X59,2)</f>
        <v>18850.759999999998</v>
      </c>
      <c r="Y91" s="2">
        <f>ROUND(Y59,2)</f>
        <v>12960.23</v>
      </c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>
        <f t="shared" ref="AO91:BC91" si="60">ROUND(AO59,2)</f>
        <v>0</v>
      </c>
      <c r="AP91" s="2">
        <f t="shared" si="60"/>
        <v>23518.65</v>
      </c>
      <c r="AQ91" s="2">
        <f t="shared" si="60"/>
        <v>0</v>
      </c>
      <c r="AR91" s="2">
        <f t="shared" si="60"/>
        <v>87594.11</v>
      </c>
      <c r="AS91" s="2">
        <f t="shared" si="60"/>
        <v>284.45999999999998</v>
      </c>
      <c r="AT91" s="2">
        <f t="shared" si="60"/>
        <v>47496.31</v>
      </c>
      <c r="AU91" s="2">
        <f t="shared" si="60"/>
        <v>16294.69</v>
      </c>
      <c r="AV91" s="2">
        <f t="shared" si="60"/>
        <v>31702.06</v>
      </c>
      <c r="AW91" s="2">
        <f t="shared" si="60"/>
        <v>8183.41</v>
      </c>
      <c r="AX91" s="2">
        <f t="shared" si="60"/>
        <v>0</v>
      </c>
      <c r="AY91" s="2">
        <f t="shared" si="60"/>
        <v>8183.41</v>
      </c>
      <c r="AZ91" s="2">
        <f t="shared" si="60"/>
        <v>23518.65</v>
      </c>
      <c r="BA91" s="2">
        <f t="shared" si="60"/>
        <v>0</v>
      </c>
      <c r="BB91" s="2">
        <f t="shared" si="60"/>
        <v>0</v>
      </c>
      <c r="BC91" s="2">
        <f t="shared" si="60"/>
        <v>0</v>
      </c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>
        <v>0</v>
      </c>
    </row>
    <row r="93" spans="1:206" x14ac:dyDescent="0.2">
      <c r="A93" s="4">
        <v>50</v>
      </c>
      <c r="B93" s="4">
        <v>0</v>
      </c>
      <c r="C93" s="4">
        <v>0</v>
      </c>
      <c r="D93" s="4">
        <v>1</v>
      </c>
      <c r="E93" s="4">
        <v>201</v>
      </c>
      <c r="F93" s="4">
        <f>ROUND(Source!O91,O93)</f>
        <v>55783.12</v>
      </c>
      <c r="G93" s="4" t="s">
        <v>179</v>
      </c>
      <c r="H93" s="4" t="s">
        <v>180</v>
      </c>
      <c r="I93" s="4"/>
      <c r="J93" s="4"/>
      <c r="K93" s="4">
        <v>201</v>
      </c>
      <c r="L93" s="4">
        <v>1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06" x14ac:dyDescent="0.2">
      <c r="A94" s="4">
        <v>50</v>
      </c>
      <c r="B94" s="4">
        <v>0</v>
      </c>
      <c r="C94" s="4">
        <v>0</v>
      </c>
      <c r="D94" s="4">
        <v>1</v>
      </c>
      <c r="E94" s="4">
        <v>202</v>
      </c>
      <c r="F94" s="4">
        <f>ROUND(Source!P91,O94)</f>
        <v>31702.06</v>
      </c>
      <c r="G94" s="4" t="s">
        <v>181</v>
      </c>
      <c r="H94" s="4" t="s">
        <v>182</v>
      </c>
      <c r="I94" s="4"/>
      <c r="J94" s="4"/>
      <c r="K94" s="4">
        <v>202</v>
      </c>
      <c r="L94" s="4">
        <v>2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06" x14ac:dyDescent="0.2">
      <c r="A95" s="4">
        <v>50</v>
      </c>
      <c r="B95" s="4">
        <v>0</v>
      </c>
      <c r="C95" s="4">
        <v>0</v>
      </c>
      <c r="D95" s="4">
        <v>1</v>
      </c>
      <c r="E95" s="4">
        <v>222</v>
      </c>
      <c r="F95" s="4">
        <f>ROUND(Source!AO91,O95)</f>
        <v>0</v>
      </c>
      <c r="G95" s="4" t="s">
        <v>183</v>
      </c>
      <c r="H95" s="4" t="s">
        <v>184</v>
      </c>
      <c r="I95" s="4"/>
      <c r="J95" s="4"/>
      <c r="K95" s="4">
        <v>222</v>
      </c>
      <c r="L95" s="4">
        <v>3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06" x14ac:dyDescent="0.2">
      <c r="A96" s="4">
        <v>50</v>
      </c>
      <c r="B96" s="4">
        <v>0</v>
      </c>
      <c r="C96" s="4">
        <v>0</v>
      </c>
      <c r="D96" s="4">
        <v>1</v>
      </c>
      <c r="E96" s="4">
        <v>225</v>
      </c>
      <c r="F96" s="4">
        <f>ROUND(Source!AV91,O96)</f>
        <v>31702.06</v>
      </c>
      <c r="G96" s="4" t="s">
        <v>185</v>
      </c>
      <c r="H96" s="4" t="s">
        <v>186</v>
      </c>
      <c r="I96" s="4"/>
      <c r="J96" s="4"/>
      <c r="K96" s="4">
        <v>225</v>
      </c>
      <c r="L96" s="4">
        <v>4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3" x14ac:dyDescent="0.2">
      <c r="A97" s="4">
        <v>50</v>
      </c>
      <c r="B97" s="4">
        <v>0</v>
      </c>
      <c r="C97" s="4">
        <v>0</v>
      </c>
      <c r="D97" s="4">
        <v>1</v>
      </c>
      <c r="E97" s="4">
        <v>226</v>
      </c>
      <c r="F97" s="4">
        <f>ROUND(Source!AW91,O97)</f>
        <v>8183.41</v>
      </c>
      <c r="G97" s="4" t="s">
        <v>187</v>
      </c>
      <c r="H97" s="4" t="s">
        <v>188</v>
      </c>
      <c r="I97" s="4"/>
      <c r="J97" s="4"/>
      <c r="K97" s="4">
        <v>226</v>
      </c>
      <c r="L97" s="4">
        <v>5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 x14ac:dyDescent="0.2">
      <c r="A98" s="4">
        <v>50</v>
      </c>
      <c r="B98" s="4">
        <v>0</v>
      </c>
      <c r="C98" s="4">
        <v>0</v>
      </c>
      <c r="D98" s="4">
        <v>1</v>
      </c>
      <c r="E98" s="4">
        <v>227</v>
      </c>
      <c r="F98" s="4">
        <f>ROUND(Source!AX91,O98)</f>
        <v>0</v>
      </c>
      <c r="G98" s="4" t="s">
        <v>189</v>
      </c>
      <c r="H98" s="4" t="s">
        <v>190</v>
      </c>
      <c r="I98" s="4"/>
      <c r="J98" s="4"/>
      <c r="K98" s="4">
        <v>227</v>
      </c>
      <c r="L98" s="4">
        <v>6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 x14ac:dyDescent="0.2">
      <c r="A99" s="4">
        <v>50</v>
      </c>
      <c r="B99" s="4">
        <v>0</v>
      </c>
      <c r="C99" s="4">
        <v>0</v>
      </c>
      <c r="D99" s="4">
        <v>1</v>
      </c>
      <c r="E99" s="4">
        <v>228</v>
      </c>
      <c r="F99" s="4">
        <f>ROUND(Source!AY91,O99)</f>
        <v>8183.41</v>
      </c>
      <c r="G99" s="4" t="s">
        <v>191</v>
      </c>
      <c r="H99" s="4" t="s">
        <v>192</v>
      </c>
      <c r="I99" s="4"/>
      <c r="J99" s="4"/>
      <c r="K99" s="4">
        <v>228</v>
      </c>
      <c r="L99" s="4">
        <v>7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3" x14ac:dyDescent="0.2">
      <c r="A100" s="4">
        <v>50</v>
      </c>
      <c r="B100" s="4">
        <v>0</v>
      </c>
      <c r="C100" s="4">
        <v>0</v>
      </c>
      <c r="D100" s="4">
        <v>1</v>
      </c>
      <c r="E100" s="4">
        <v>216</v>
      </c>
      <c r="F100" s="4">
        <f>ROUND(Source!AP91,O100)</f>
        <v>23518.65</v>
      </c>
      <c r="G100" s="4" t="s">
        <v>193</v>
      </c>
      <c r="H100" s="4" t="s">
        <v>194</v>
      </c>
      <c r="I100" s="4"/>
      <c r="J100" s="4"/>
      <c r="K100" s="4">
        <v>216</v>
      </c>
      <c r="L100" s="4">
        <v>8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3" x14ac:dyDescent="0.2">
      <c r="A101" s="4">
        <v>50</v>
      </c>
      <c r="B101" s="4">
        <v>0</v>
      </c>
      <c r="C101" s="4">
        <v>0</v>
      </c>
      <c r="D101" s="4">
        <v>1</v>
      </c>
      <c r="E101" s="4">
        <v>223</v>
      </c>
      <c r="F101" s="4">
        <f>ROUND(Source!AQ91,O101)</f>
        <v>0</v>
      </c>
      <c r="G101" s="4" t="s">
        <v>195</v>
      </c>
      <c r="H101" s="4" t="s">
        <v>196</v>
      </c>
      <c r="I101" s="4"/>
      <c r="J101" s="4"/>
      <c r="K101" s="4">
        <v>223</v>
      </c>
      <c r="L101" s="4">
        <v>9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3" x14ac:dyDescent="0.2">
      <c r="A102" s="4">
        <v>50</v>
      </c>
      <c r="B102" s="4">
        <v>0</v>
      </c>
      <c r="C102" s="4">
        <v>0</v>
      </c>
      <c r="D102" s="4">
        <v>1</v>
      </c>
      <c r="E102" s="4">
        <v>229</v>
      </c>
      <c r="F102" s="4">
        <f>ROUND(Source!AZ91,O102)</f>
        <v>23518.65</v>
      </c>
      <c r="G102" s="4" t="s">
        <v>197</v>
      </c>
      <c r="H102" s="4" t="s">
        <v>198</v>
      </c>
      <c r="I102" s="4"/>
      <c r="J102" s="4"/>
      <c r="K102" s="4">
        <v>229</v>
      </c>
      <c r="L102" s="4">
        <v>10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3" x14ac:dyDescent="0.2">
      <c r="A103" s="4">
        <v>50</v>
      </c>
      <c r="B103" s="4">
        <v>0</v>
      </c>
      <c r="C103" s="4">
        <v>0</v>
      </c>
      <c r="D103" s="4">
        <v>1</v>
      </c>
      <c r="E103" s="4">
        <v>203</v>
      </c>
      <c r="F103" s="4">
        <f>ROUND(Source!Q91,O103)</f>
        <v>946.59</v>
      </c>
      <c r="G103" s="4" t="s">
        <v>199</v>
      </c>
      <c r="H103" s="4" t="s">
        <v>200</v>
      </c>
      <c r="I103" s="4"/>
      <c r="J103" s="4"/>
      <c r="K103" s="4">
        <v>203</v>
      </c>
      <c r="L103" s="4">
        <v>11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4" spans="1:23" x14ac:dyDescent="0.2">
      <c r="A104" s="4">
        <v>50</v>
      </c>
      <c r="B104" s="4">
        <v>0</v>
      </c>
      <c r="C104" s="4">
        <v>0</v>
      </c>
      <c r="D104" s="4">
        <v>1</v>
      </c>
      <c r="E104" s="4">
        <v>231</v>
      </c>
      <c r="F104" s="4">
        <f>ROUND(Source!BB91,O104)</f>
        <v>0</v>
      </c>
      <c r="G104" s="4" t="s">
        <v>201</v>
      </c>
      <c r="H104" s="4" t="s">
        <v>202</v>
      </c>
      <c r="I104" s="4"/>
      <c r="J104" s="4"/>
      <c r="K104" s="4">
        <v>231</v>
      </c>
      <c r="L104" s="4">
        <v>12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/>
    </row>
    <row r="105" spans="1:23" x14ac:dyDescent="0.2">
      <c r="A105" s="4">
        <v>50</v>
      </c>
      <c r="B105" s="4">
        <v>0</v>
      </c>
      <c r="C105" s="4">
        <v>0</v>
      </c>
      <c r="D105" s="4">
        <v>1</v>
      </c>
      <c r="E105" s="4">
        <v>204</v>
      </c>
      <c r="F105" s="4">
        <f>ROUND(Source!R91,O105)</f>
        <v>291.3</v>
      </c>
      <c r="G105" s="4" t="s">
        <v>203</v>
      </c>
      <c r="H105" s="4" t="s">
        <v>204</v>
      </c>
      <c r="I105" s="4"/>
      <c r="J105" s="4"/>
      <c r="K105" s="4">
        <v>204</v>
      </c>
      <c r="L105" s="4">
        <v>13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/>
    </row>
    <row r="106" spans="1:23" x14ac:dyDescent="0.2">
      <c r="A106" s="4">
        <v>50</v>
      </c>
      <c r="B106" s="4">
        <v>0</v>
      </c>
      <c r="C106" s="4">
        <v>0</v>
      </c>
      <c r="D106" s="4">
        <v>1</v>
      </c>
      <c r="E106" s="4">
        <v>205</v>
      </c>
      <c r="F106" s="4">
        <f>ROUND(Source!S91,O106)</f>
        <v>23134.47</v>
      </c>
      <c r="G106" s="4" t="s">
        <v>205</v>
      </c>
      <c r="H106" s="4" t="s">
        <v>206</v>
      </c>
      <c r="I106" s="4"/>
      <c r="J106" s="4"/>
      <c r="K106" s="4">
        <v>205</v>
      </c>
      <c r="L106" s="4">
        <v>14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23" x14ac:dyDescent="0.2">
      <c r="A107" s="4">
        <v>50</v>
      </c>
      <c r="B107" s="4">
        <v>0</v>
      </c>
      <c r="C107" s="4">
        <v>0</v>
      </c>
      <c r="D107" s="4">
        <v>1</v>
      </c>
      <c r="E107" s="4">
        <v>232</v>
      </c>
      <c r="F107" s="4">
        <f>ROUND(Source!BC91,O107)</f>
        <v>0</v>
      </c>
      <c r="G107" s="4" t="s">
        <v>207</v>
      </c>
      <c r="H107" s="4" t="s">
        <v>208</v>
      </c>
      <c r="I107" s="4"/>
      <c r="J107" s="4"/>
      <c r="K107" s="4">
        <v>232</v>
      </c>
      <c r="L107" s="4">
        <v>15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23" x14ac:dyDescent="0.2">
      <c r="A108" s="4">
        <v>50</v>
      </c>
      <c r="B108" s="4">
        <v>0</v>
      </c>
      <c r="C108" s="4">
        <v>0</v>
      </c>
      <c r="D108" s="4">
        <v>1</v>
      </c>
      <c r="E108" s="4">
        <v>214</v>
      </c>
      <c r="F108" s="4">
        <f>ROUND(Source!AS91,O108)</f>
        <v>284.45999999999998</v>
      </c>
      <c r="G108" s="4" t="s">
        <v>209</v>
      </c>
      <c r="H108" s="4" t="s">
        <v>210</v>
      </c>
      <c r="I108" s="4"/>
      <c r="J108" s="4"/>
      <c r="K108" s="4">
        <v>214</v>
      </c>
      <c r="L108" s="4">
        <v>16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23" x14ac:dyDescent="0.2">
      <c r="A109" s="4">
        <v>50</v>
      </c>
      <c r="B109" s="4">
        <v>0</v>
      </c>
      <c r="C109" s="4">
        <v>0</v>
      </c>
      <c r="D109" s="4">
        <v>1</v>
      </c>
      <c r="E109" s="4">
        <v>215</v>
      </c>
      <c r="F109" s="4">
        <f>ROUND(Source!AT91,O109)</f>
        <v>47496.31</v>
      </c>
      <c r="G109" s="4" t="s">
        <v>211</v>
      </c>
      <c r="H109" s="4" t="s">
        <v>212</v>
      </c>
      <c r="I109" s="4"/>
      <c r="J109" s="4"/>
      <c r="K109" s="4">
        <v>215</v>
      </c>
      <c r="L109" s="4">
        <v>17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0" spans="1:23" x14ac:dyDescent="0.2">
      <c r="A110" s="4">
        <v>50</v>
      </c>
      <c r="B110" s="4">
        <v>0</v>
      </c>
      <c r="C110" s="4">
        <v>0</v>
      </c>
      <c r="D110" s="4">
        <v>1</v>
      </c>
      <c r="E110" s="4">
        <v>217</v>
      </c>
      <c r="F110" s="4">
        <f>ROUND(Source!AU91,O110)</f>
        <v>16294.69</v>
      </c>
      <c r="G110" s="4" t="s">
        <v>213</v>
      </c>
      <c r="H110" s="4" t="s">
        <v>214</v>
      </c>
      <c r="I110" s="4"/>
      <c r="J110" s="4"/>
      <c r="K110" s="4">
        <v>217</v>
      </c>
      <c r="L110" s="4">
        <v>18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/>
    </row>
    <row r="111" spans="1:23" x14ac:dyDescent="0.2">
      <c r="A111" s="4">
        <v>50</v>
      </c>
      <c r="B111" s="4">
        <v>0</v>
      </c>
      <c r="C111" s="4">
        <v>0</v>
      </c>
      <c r="D111" s="4">
        <v>1</v>
      </c>
      <c r="E111" s="4">
        <v>230</v>
      </c>
      <c r="F111" s="4">
        <f>ROUND(Source!BA91,O111)</f>
        <v>0</v>
      </c>
      <c r="G111" s="4" t="s">
        <v>215</v>
      </c>
      <c r="H111" s="4" t="s">
        <v>216</v>
      </c>
      <c r="I111" s="4"/>
      <c r="J111" s="4"/>
      <c r="K111" s="4">
        <v>230</v>
      </c>
      <c r="L111" s="4">
        <v>19</v>
      </c>
      <c r="M111" s="4">
        <v>3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/>
    </row>
    <row r="112" spans="1:23" x14ac:dyDescent="0.2">
      <c r="A112" s="4">
        <v>50</v>
      </c>
      <c r="B112" s="4">
        <v>0</v>
      </c>
      <c r="C112" s="4">
        <v>0</v>
      </c>
      <c r="D112" s="4">
        <v>1</v>
      </c>
      <c r="E112" s="4">
        <v>206</v>
      </c>
      <c r="F112" s="4">
        <f>ROUND(Source!T91,O112)</f>
        <v>0</v>
      </c>
      <c r="G112" s="4" t="s">
        <v>217</v>
      </c>
      <c r="H112" s="4" t="s">
        <v>218</v>
      </c>
      <c r="I112" s="4"/>
      <c r="J112" s="4"/>
      <c r="K112" s="4">
        <v>206</v>
      </c>
      <c r="L112" s="4">
        <v>20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/>
    </row>
    <row r="113" spans="1:23" x14ac:dyDescent="0.2">
      <c r="A113" s="4">
        <v>50</v>
      </c>
      <c r="B113" s="4">
        <v>0</v>
      </c>
      <c r="C113" s="4">
        <v>0</v>
      </c>
      <c r="D113" s="4">
        <v>1</v>
      </c>
      <c r="E113" s="4">
        <v>207</v>
      </c>
      <c r="F113" s="4">
        <f>Source!U91</f>
        <v>66.72890000000001</v>
      </c>
      <c r="G113" s="4" t="s">
        <v>219</v>
      </c>
      <c r="H113" s="4" t="s">
        <v>220</v>
      </c>
      <c r="I113" s="4"/>
      <c r="J113" s="4"/>
      <c r="K113" s="4">
        <v>207</v>
      </c>
      <c r="L113" s="4">
        <v>21</v>
      </c>
      <c r="M113" s="4">
        <v>3</v>
      </c>
      <c r="N113" s="4" t="s">
        <v>3</v>
      </c>
      <c r="O113" s="4">
        <v>-1</v>
      </c>
      <c r="P113" s="4"/>
      <c r="Q113" s="4"/>
      <c r="R113" s="4"/>
      <c r="S113" s="4"/>
      <c r="T113" s="4"/>
      <c r="U113" s="4"/>
      <c r="V113" s="4"/>
      <c r="W113" s="4"/>
    </row>
    <row r="114" spans="1:23" x14ac:dyDescent="0.2">
      <c r="A114" s="4">
        <v>50</v>
      </c>
      <c r="B114" s="4">
        <v>0</v>
      </c>
      <c r="C114" s="4">
        <v>0</v>
      </c>
      <c r="D114" s="4">
        <v>1</v>
      </c>
      <c r="E114" s="4">
        <v>208</v>
      </c>
      <c r="F114" s="4">
        <f>Source!V91</f>
        <v>0.91800000000000004</v>
      </c>
      <c r="G114" s="4" t="s">
        <v>221</v>
      </c>
      <c r="H114" s="4" t="s">
        <v>222</v>
      </c>
      <c r="I114" s="4"/>
      <c r="J114" s="4"/>
      <c r="K114" s="4">
        <v>208</v>
      </c>
      <c r="L114" s="4">
        <v>22</v>
      </c>
      <c r="M114" s="4">
        <v>3</v>
      </c>
      <c r="N114" s="4" t="s">
        <v>3</v>
      </c>
      <c r="O114" s="4">
        <v>-1</v>
      </c>
      <c r="P114" s="4"/>
      <c r="Q114" s="4"/>
      <c r="R114" s="4"/>
      <c r="S114" s="4"/>
      <c r="T114" s="4"/>
      <c r="U114" s="4"/>
      <c r="V114" s="4"/>
      <c r="W114" s="4"/>
    </row>
    <row r="115" spans="1:23" x14ac:dyDescent="0.2">
      <c r="A115" s="4">
        <v>50</v>
      </c>
      <c r="B115" s="4">
        <v>0</v>
      </c>
      <c r="C115" s="4">
        <v>0</v>
      </c>
      <c r="D115" s="4">
        <v>1</v>
      </c>
      <c r="E115" s="4">
        <v>209</v>
      </c>
      <c r="F115" s="4">
        <f>ROUND(Source!W91,O115)</f>
        <v>0.43</v>
      </c>
      <c r="G115" s="4" t="s">
        <v>223</v>
      </c>
      <c r="H115" s="4" t="s">
        <v>224</v>
      </c>
      <c r="I115" s="4"/>
      <c r="J115" s="4"/>
      <c r="K115" s="4">
        <v>209</v>
      </c>
      <c r="L115" s="4">
        <v>23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/>
    </row>
    <row r="116" spans="1:23" x14ac:dyDescent="0.2">
      <c r="A116" s="4">
        <v>50</v>
      </c>
      <c r="B116" s="4">
        <v>0</v>
      </c>
      <c r="C116" s="4">
        <v>0</v>
      </c>
      <c r="D116" s="4">
        <v>1</v>
      </c>
      <c r="E116" s="4">
        <v>210</v>
      </c>
      <c r="F116" s="4">
        <f>ROUND(Source!X91,O116)</f>
        <v>18850.759999999998</v>
      </c>
      <c r="G116" s="4" t="s">
        <v>225</v>
      </c>
      <c r="H116" s="4" t="s">
        <v>226</v>
      </c>
      <c r="I116" s="4"/>
      <c r="J116" s="4"/>
      <c r="K116" s="4">
        <v>210</v>
      </c>
      <c r="L116" s="4">
        <v>24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/>
    </row>
    <row r="117" spans="1:23" x14ac:dyDescent="0.2">
      <c r="A117" s="4">
        <v>50</v>
      </c>
      <c r="B117" s="4">
        <v>0</v>
      </c>
      <c r="C117" s="4">
        <v>0</v>
      </c>
      <c r="D117" s="4">
        <v>1</v>
      </c>
      <c r="E117" s="4">
        <v>211</v>
      </c>
      <c r="F117" s="4">
        <f>ROUND(Source!Y91,O117)</f>
        <v>12960.23</v>
      </c>
      <c r="G117" s="4" t="s">
        <v>227</v>
      </c>
      <c r="H117" s="4" t="s">
        <v>228</v>
      </c>
      <c r="I117" s="4"/>
      <c r="J117" s="4"/>
      <c r="K117" s="4">
        <v>211</v>
      </c>
      <c r="L117" s="4">
        <v>25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/>
    </row>
    <row r="118" spans="1:23" x14ac:dyDescent="0.2">
      <c r="A118" s="4">
        <v>50</v>
      </c>
      <c r="B118" s="4">
        <v>0</v>
      </c>
      <c r="C118" s="4">
        <v>0</v>
      </c>
      <c r="D118" s="4">
        <v>1</v>
      </c>
      <c r="E118" s="4">
        <v>224</v>
      </c>
      <c r="F118" s="4">
        <f>ROUND(Source!AR91,O118)</f>
        <v>87594.11</v>
      </c>
      <c r="G118" s="4" t="s">
        <v>229</v>
      </c>
      <c r="H118" s="4" t="s">
        <v>230</v>
      </c>
      <c r="I118" s="4"/>
      <c r="J118" s="4"/>
      <c r="K118" s="4">
        <v>224</v>
      </c>
      <c r="L118" s="4">
        <v>26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/>
    </row>
    <row r="121" spans="1:23" x14ac:dyDescent="0.2">
      <c r="A121">
        <v>70</v>
      </c>
      <c r="B121">
        <v>1</v>
      </c>
      <c r="D121">
        <v>1</v>
      </c>
      <c r="E121" t="s">
        <v>237</v>
      </c>
      <c r="F121" t="s">
        <v>238</v>
      </c>
      <c r="G121">
        <v>0</v>
      </c>
      <c r="H121">
        <v>0</v>
      </c>
      <c r="I121" t="s">
        <v>3</v>
      </c>
      <c r="J121">
        <v>1</v>
      </c>
      <c r="K121">
        <v>0</v>
      </c>
      <c r="L121" t="s">
        <v>3</v>
      </c>
      <c r="M121" t="s">
        <v>3</v>
      </c>
      <c r="N121">
        <v>0</v>
      </c>
    </row>
    <row r="122" spans="1:23" x14ac:dyDescent="0.2">
      <c r="A122">
        <v>70</v>
      </c>
      <c r="B122">
        <v>1</v>
      </c>
      <c r="D122">
        <v>2</v>
      </c>
      <c r="E122" t="s">
        <v>239</v>
      </c>
      <c r="F122" t="s">
        <v>240</v>
      </c>
      <c r="G122">
        <v>1</v>
      </c>
      <c r="H122">
        <v>0</v>
      </c>
      <c r="I122" t="s">
        <v>3</v>
      </c>
      <c r="J122">
        <v>1</v>
      </c>
      <c r="K122">
        <v>0</v>
      </c>
      <c r="L122" t="s">
        <v>3</v>
      </c>
      <c r="M122" t="s">
        <v>3</v>
      </c>
      <c r="N122">
        <v>0</v>
      </c>
    </row>
    <row r="123" spans="1:23" x14ac:dyDescent="0.2">
      <c r="A123">
        <v>70</v>
      </c>
      <c r="B123">
        <v>1</v>
      </c>
      <c r="D123">
        <v>3</v>
      </c>
      <c r="E123" t="s">
        <v>241</v>
      </c>
      <c r="F123" t="s">
        <v>242</v>
      </c>
      <c r="G123">
        <v>0</v>
      </c>
      <c r="H123">
        <v>0</v>
      </c>
      <c r="I123" t="s">
        <v>3</v>
      </c>
      <c r="J123">
        <v>1</v>
      </c>
      <c r="K123">
        <v>0</v>
      </c>
      <c r="L123" t="s">
        <v>3</v>
      </c>
      <c r="M123" t="s">
        <v>3</v>
      </c>
      <c r="N123">
        <v>0</v>
      </c>
    </row>
    <row r="124" spans="1:23" x14ac:dyDescent="0.2">
      <c r="A124">
        <v>70</v>
      </c>
      <c r="B124">
        <v>1</v>
      </c>
      <c r="D124">
        <v>4</v>
      </c>
      <c r="E124" t="s">
        <v>243</v>
      </c>
      <c r="F124" t="s">
        <v>244</v>
      </c>
      <c r="G124">
        <v>0</v>
      </c>
      <c r="H124">
        <v>0</v>
      </c>
      <c r="I124" t="s">
        <v>245</v>
      </c>
      <c r="J124">
        <v>0</v>
      </c>
      <c r="K124">
        <v>0</v>
      </c>
      <c r="L124" t="s">
        <v>3</v>
      </c>
      <c r="M124" t="s">
        <v>3</v>
      </c>
      <c r="N124">
        <v>0</v>
      </c>
    </row>
    <row r="125" spans="1:23" x14ac:dyDescent="0.2">
      <c r="A125">
        <v>70</v>
      </c>
      <c r="B125">
        <v>1</v>
      </c>
      <c r="D125">
        <v>5</v>
      </c>
      <c r="E125" t="s">
        <v>246</v>
      </c>
      <c r="F125" t="s">
        <v>247</v>
      </c>
      <c r="G125">
        <v>0</v>
      </c>
      <c r="H125">
        <v>0</v>
      </c>
      <c r="I125" t="s">
        <v>248</v>
      </c>
      <c r="J125">
        <v>0</v>
      </c>
      <c r="K125">
        <v>0</v>
      </c>
      <c r="L125" t="s">
        <v>3</v>
      </c>
      <c r="M125" t="s">
        <v>3</v>
      </c>
      <c r="N125">
        <v>0</v>
      </c>
    </row>
    <row r="126" spans="1:23" x14ac:dyDescent="0.2">
      <c r="A126">
        <v>70</v>
      </c>
      <c r="B126">
        <v>1</v>
      </c>
      <c r="D126">
        <v>6</v>
      </c>
      <c r="E126" t="s">
        <v>249</v>
      </c>
      <c r="F126" t="s">
        <v>250</v>
      </c>
      <c r="G126">
        <v>0</v>
      </c>
      <c r="H126">
        <v>0</v>
      </c>
      <c r="I126" t="s">
        <v>251</v>
      </c>
      <c r="J126">
        <v>0</v>
      </c>
      <c r="K126">
        <v>0</v>
      </c>
      <c r="L126" t="s">
        <v>3</v>
      </c>
      <c r="M126" t="s">
        <v>3</v>
      </c>
      <c r="N126">
        <v>0</v>
      </c>
    </row>
    <row r="127" spans="1:23" x14ac:dyDescent="0.2">
      <c r="A127">
        <v>70</v>
      </c>
      <c r="B127">
        <v>1</v>
      </c>
      <c r="D127">
        <v>7</v>
      </c>
      <c r="E127" t="s">
        <v>252</v>
      </c>
      <c r="F127" t="s">
        <v>253</v>
      </c>
      <c r="G127">
        <v>0</v>
      </c>
      <c r="H127">
        <v>0</v>
      </c>
      <c r="I127" t="s">
        <v>3</v>
      </c>
      <c r="J127">
        <v>0</v>
      </c>
      <c r="K127">
        <v>0</v>
      </c>
      <c r="L127" t="s">
        <v>3</v>
      </c>
      <c r="M127" t="s">
        <v>3</v>
      </c>
      <c r="N127">
        <v>0</v>
      </c>
    </row>
    <row r="128" spans="1:23" x14ac:dyDescent="0.2">
      <c r="A128">
        <v>70</v>
      </c>
      <c r="B128">
        <v>1</v>
      </c>
      <c r="D128">
        <v>8</v>
      </c>
      <c r="E128" t="s">
        <v>254</v>
      </c>
      <c r="F128" t="s">
        <v>255</v>
      </c>
      <c r="G128">
        <v>0</v>
      </c>
      <c r="H128">
        <v>0</v>
      </c>
      <c r="I128" t="s">
        <v>256</v>
      </c>
      <c r="J128">
        <v>0</v>
      </c>
      <c r="K128">
        <v>0</v>
      </c>
      <c r="L128" t="s">
        <v>3</v>
      </c>
      <c r="M128" t="s">
        <v>3</v>
      </c>
      <c r="N128">
        <v>0</v>
      </c>
    </row>
    <row r="129" spans="1:14" x14ac:dyDescent="0.2">
      <c r="A129">
        <v>70</v>
      </c>
      <c r="B129">
        <v>1</v>
      </c>
      <c r="D129">
        <v>9</v>
      </c>
      <c r="E129" t="s">
        <v>257</v>
      </c>
      <c r="F129" t="s">
        <v>258</v>
      </c>
      <c r="G129">
        <v>0</v>
      </c>
      <c r="H129">
        <v>0</v>
      </c>
      <c r="I129" t="s">
        <v>259</v>
      </c>
      <c r="J129">
        <v>0</v>
      </c>
      <c r="K129">
        <v>0</v>
      </c>
      <c r="L129" t="s">
        <v>3</v>
      </c>
      <c r="M129" t="s">
        <v>3</v>
      </c>
      <c r="N129">
        <v>0</v>
      </c>
    </row>
    <row r="130" spans="1:14" x14ac:dyDescent="0.2">
      <c r="A130">
        <v>70</v>
      </c>
      <c r="B130">
        <v>1</v>
      </c>
      <c r="D130">
        <v>10</v>
      </c>
      <c r="E130" t="s">
        <v>260</v>
      </c>
      <c r="F130" t="s">
        <v>261</v>
      </c>
      <c r="G130">
        <v>0</v>
      </c>
      <c r="H130">
        <v>0</v>
      </c>
      <c r="I130" t="s">
        <v>262</v>
      </c>
      <c r="J130">
        <v>0</v>
      </c>
      <c r="K130">
        <v>0</v>
      </c>
      <c r="L130" t="s">
        <v>3</v>
      </c>
      <c r="M130" t="s">
        <v>3</v>
      </c>
      <c r="N130">
        <v>0</v>
      </c>
    </row>
    <row r="131" spans="1:14" x14ac:dyDescent="0.2">
      <c r="A131">
        <v>70</v>
      </c>
      <c r="B131">
        <v>1</v>
      </c>
      <c r="D131">
        <v>11</v>
      </c>
      <c r="E131" t="s">
        <v>263</v>
      </c>
      <c r="F131" t="s">
        <v>264</v>
      </c>
      <c r="G131">
        <v>0</v>
      </c>
      <c r="H131">
        <v>0</v>
      </c>
      <c r="I131" t="s">
        <v>265</v>
      </c>
      <c r="J131">
        <v>0</v>
      </c>
      <c r="K131">
        <v>0</v>
      </c>
      <c r="L131" t="s">
        <v>3</v>
      </c>
      <c r="M131" t="s">
        <v>3</v>
      </c>
      <c r="N131">
        <v>0</v>
      </c>
    </row>
    <row r="132" spans="1:14" x14ac:dyDescent="0.2">
      <c r="A132">
        <v>70</v>
      </c>
      <c r="B132">
        <v>1</v>
      </c>
      <c r="D132">
        <v>12</v>
      </c>
      <c r="E132" t="s">
        <v>266</v>
      </c>
      <c r="F132" t="s">
        <v>267</v>
      </c>
      <c r="G132">
        <v>0</v>
      </c>
      <c r="H132">
        <v>0</v>
      </c>
      <c r="I132" t="s">
        <v>3</v>
      </c>
      <c r="J132">
        <v>0</v>
      </c>
      <c r="K132">
        <v>0</v>
      </c>
      <c r="L132" t="s">
        <v>3</v>
      </c>
      <c r="M132" t="s">
        <v>3</v>
      </c>
      <c r="N132">
        <v>0</v>
      </c>
    </row>
    <row r="133" spans="1:14" x14ac:dyDescent="0.2">
      <c r="A133">
        <v>70</v>
      </c>
      <c r="B133">
        <v>1</v>
      </c>
      <c r="D133">
        <v>1</v>
      </c>
      <c r="E133" t="s">
        <v>268</v>
      </c>
      <c r="F133" t="s">
        <v>269</v>
      </c>
      <c r="G133">
        <v>0.9</v>
      </c>
      <c r="H133">
        <v>1</v>
      </c>
      <c r="I133" t="s">
        <v>270</v>
      </c>
      <c r="J133">
        <v>0</v>
      </c>
      <c r="K133">
        <v>0</v>
      </c>
      <c r="L133" t="s">
        <v>3</v>
      </c>
      <c r="M133" t="s">
        <v>3</v>
      </c>
      <c r="N133">
        <v>0</v>
      </c>
    </row>
    <row r="134" spans="1:14" x14ac:dyDescent="0.2">
      <c r="A134">
        <v>70</v>
      </c>
      <c r="B134">
        <v>1</v>
      </c>
      <c r="D134">
        <v>2</v>
      </c>
      <c r="E134" t="s">
        <v>271</v>
      </c>
      <c r="F134" t="s">
        <v>272</v>
      </c>
      <c r="G134">
        <v>0.85</v>
      </c>
      <c r="H134">
        <v>1</v>
      </c>
      <c r="I134" t="s">
        <v>273</v>
      </c>
      <c r="J134">
        <v>0</v>
      </c>
      <c r="K134">
        <v>0</v>
      </c>
      <c r="L134" t="s">
        <v>3</v>
      </c>
      <c r="M134" t="s">
        <v>3</v>
      </c>
      <c r="N134">
        <v>0</v>
      </c>
    </row>
    <row r="135" spans="1:14" x14ac:dyDescent="0.2">
      <c r="A135">
        <v>70</v>
      </c>
      <c r="B135">
        <v>1</v>
      </c>
      <c r="D135">
        <v>3</v>
      </c>
      <c r="E135" t="s">
        <v>274</v>
      </c>
      <c r="F135" t="s">
        <v>275</v>
      </c>
      <c r="G135">
        <v>1</v>
      </c>
      <c r="H135">
        <v>0.85</v>
      </c>
      <c r="I135" t="s">
        <v>276</v>
      </c>
      <c r="J135">
        <v>0</v>
      </c>
      <c r="K135">
        <v>0</v>
      </c>
      <c r="L135" t="s">
        <v>3</v>
      </c>
      <c r="M135" t="s">
        <v>3</v>
      </c>
      <c r="N135">
        <v>0</v>
      </c>
    </row>
    <row r="136" spans="1:14" x14ac:dyDescent="0.2">
      <c r="A136">
        <v>70</v>
      </c>
      <c r="B136">
        <v>1</v>
      </c>
      <c r="D136">
        <v>4</v>
      </c>
      <c r="E136" t="s">
        <v>277</v>
      </c>
      <c r="F136" t="s">
        <v>278</v>
      </c>
      <c r="G136">
        <v>1</v>
      </c>
      <c r="H136">
        <v>0</v>
      </c>
      <c r="I136" t="s">
        <v>3</v>
      </c>
      <c r="J136">
        <v>0</v>
      </c>
      <c r="K136">
        <v>0</v>
      </c>
      <c r="L136" t="s">
        <v>3</v>
      </c>
      <c r="M136" t="s">
        <v>3</v>
      </c>
      <c r="N136">
        <v>0</v>
      </c>
    </row>
    <row r="137" spans="1:14" x14ac:dyDescent="0.2">
      <c r="A137">
        <v>70</v>
      </c>
      <c r="B137">
        <v>1</v>
      </c>
      <c r="D137">
        <v>5</v>
      </c>
      <c r="E137" t="s">
        <v>279</v>
      </c>
      <c r="F137" t="s">
        <v>280</v>
      </c>
      <c r="G137">
        <v>1</v>
      </c>
      <c r="H137">
        <v>0.8</v>
      </c>
      <c r="I137" t="s">
        <v>281</v>
      </c>
      <c r="J137">
        <v>0</v>
      </c>
      <c r="K137">
        <v>0</v>
      </c>
      <c r="L137" t="s">
        <v>3</v>
      </c>
      <c r="M137" t="s">
        <v>3</v>
      </c>
      <c r="N137">
        <v>0</v>
      </c>
    </row>
    <row r="138" spans="1:14" x14ac:dyDescent="0.2">
      <c r="A138">
        <v>70</v>
      </c>
      <c r="B138">
        <v>1</v>
      </c>
      <c r="D138">
        <v>6</v>
      </c>
      <c r="E138" t="s">
        <v>282</v>
      </c>
      <c r="F138" t="s">
        <v>283</v>
      </c>
      <c r="G138">
        <v>1</v>
      </c>
      <c r="H138">
        <v>0</v>
      </c>
      <c r="I138" t="s">
        <v>3</v>
      </c>
      <c r="J138">
        <v>0</v>
      </c>
      <c r="K138">
        <v>0</v>
      </c>
      <c r="L138" t="s">
        <v>3</v>
      </c>
      <c r="M138" t="s">
        <v>3</v>
      </c>
      <c r="N138">
        <v>0</v>
      </c>
    </row>
    <row r="139" spans="1:14" x14ac:dyDescent="0.2">
      <c r="A139">
        <v>70</v>
      </c>
      <c r="B139">
        <v>1</v>
      </c>
      <c r="D139">
        <v>7</v>
      </c>
      <c r="E139" t="s">
        <v>284</v>
      </c>
      <c r="F139" t="s">
        <v>285</v>
      </c>
      <c r="G139">
        <v>1</v>
      </c>
      <c r="H139">
        <v>0</v>
      </c>
      <c r="I139" t="s">
        <v>3</v>
      </c>
      <c r="J139">
        <v>0</v>
      </c>
      <c r="K139">
        <v>0</v>
      </c>
      <c r="L139" t="s">
        <v>3</v>
      </c>
      <c r="M139" t="s">
        <v>3</v>
      </c>
      <c r="N139">
        <v>0</v>
      </c>
    </row>
    <row r="140" spans="1:14" x14ac:dyDescent="0.2">
      <c r="A140">
        <v>70</v>
      </c>
      <c r="B140">
        <v>1</v>
      </c>
      <c r="D140">
        <v>8</v>
      </c>
      <c r="E140" t="s">
        <v>286</v>
      </c>
      <c r="F140" t="s">
        <v>287</v>
      </c>
      <c r="G140">
        <v>0.94</v>
      </c>
      <c r="H140">
        <v>0</v>
      </c>
      <c r="I140" t="s">
        <v>3</v>
      </c>
      <c r="J140">
        <v>0</v>
      </c>
      <c r="K140">
        <v>0</v>
      </c>
      <c r="L140" t="s">
        <v>3</v>
      </c>
      <c r="M140" t="s">
        <v>3</v>
      </c>
      <c r="N140">
        <v>0</v>
      </c>
    </row>
    <row r="141" spans="1:14" x14ac:dyDescent="0.2">
      <c r="A141">
        <v>70</v>
      </c>
      <c r="B141">
        <v>1</v>
      </c>
      <c r="D141">
        <v>9</v>
      </c>
      <c r="E141" t="s">
        <v>288</v>
      </c>
      <c r="F141" t="s">
        <v>289</v>
      </c>
      <c r="G141">
        <v>0.9</v>
      </c>
      <c r="H141">
        <v>0</v>
      </c>
      <c r="I141" t="s">
        <v>3</v>
      </c>
      <c r="J141">
        <v>0</v>
      </c>
      <c r="K141">
        <v>0</v>
      </c>
      <c r="L141" t="s">
        <v>3</v>
      </c>
      <c r="M141" t="s">
        <v>3</v>
      </c>
      <c r="N141">
        <v>0</v>
      </c>
    </row>
    <row r="142" spans="1:14" x14ac:dyDescent="0.2">
      <c r="A142">
        <v>70</v>
      </c>
      <c r="B142">
        <v>1</v>
      </c>
      <c r="D142">
        <v>10</v>
      </c>
      <c r="E142" t="s">
        <v>290</v>
      </c>
      <c r="F142" t="s">
        <v>291</v>
      </c>
      <c r="G142">
        <v>0.6</v>
      </c>
      <c r="H142">
        <v>0</v>
      </c>
      <c r="I142" t="s">
        <v>3</v>
      </c>
      <c r="J142">
        <v>0</v>
      </c>
      <c r="K142">
        <v>0</v>
      </c>
      <c r="L142" t="s">
        <v>3</v>
      </c>
      <c r="M142" t="s">
        <v>3</v>
      </c>
      <c r="N142">
        <v>0</v>
      </c>
    </row>
    <row r="143" spans="1:14" x14ac:dyDescent="0.2">
      <c r="A143">
        <v>70</v>
      </c>
      <c r="B143">
        <v>1</v>
      </c>
      <c r="D143">
        <v>11</v>
      </c>
      <c r="E143" t="s">
        <v>292</v>
      </c>
      <c r="F143" t="s">
        <v>293</v>
      </c>
      <c r="G143">
        <v>1.2</v>
      </c>
      <c r="H143">
        <v>0</v>
      </c>
      <c r="I143" t="s">
        <v>3</v>
      </c>
      <c r="J143">
        <v>0</v>
      </c>
      <c r="K143">
        <v>0</v>
      </c>
      <c r="L143" t="s">
        <v>3</v>
      </c>
      <c r="M143" t="s">
        <v>3</v>
      </c>
      <c r="N143">
        <v>0</v>
      </c>
    </row>
    <row r="144" spans="1:14" x14ac:dyDescent="0.2">
      <c r="A144">
        <v>70</v>
      </c>
      <c r="B144">
        <v>1</v>
      </c>
      <c r="D144">
        <v>12</v>
      </c>
      <c r="E144" t="s">
        <v>294</v>
      </c>
      <c r="F144" t="s">
        <v>295</v>
      </c>
      <c r="G144">
        <v>0</v>
      </c>
      <c r="H144">
        <v>0</v>
      </c>
      <c r="I144" t="s">
        <v>3</v>
      </c>
      <c r="J144">
        <v>0</v>
      </c>
      <c r="K144">
        <v>0</v>
      </c>
      <c r="L144" t="s">
        <v>3</v>
      </c>
      <c r="M144" t="s">
        <v>3</v>
      </c>
      <c r="N144">
        <v>0</v>
      </c>
    </row>
    <row r="145" spans="1:27" x14ac:dyDescent="0.2">
      <c r="A145">
        <v>70</v>
      </c>
      <c r="B145">
        <v>1</v>
      </c>
      <c r="D145">
        <v>13</v>
      </c>
      <c r="E145" t="s">
        <v>296</v>
      </c>
      <c r="F145" t="s">
        <v>297</v>
      </c>
      <c r="G145">
        <v>0.94</v>
      </c>
      <c r="H145">
        <v>0</v>
      </c>
      <c r="I145" t="s">
        <v>3</v>
      </c>
      <c r="J145">
        <v>0</v>
      </c>
      <c r="K145">
        <v>0</v>
      </c>
      <c r="L145" t="s">
        <v>3</v>
      </c>
      <c r="M145" t="s">
        <v>3</v>
      </c>
      <c r="N145">
        <v>0</v>
      </c>
    </row>
    <row r="147" spans="1:27" x14ac:dyDescent="0.2">
      <c r="A147">
        <v>-1</v>
      </c>
    </row>
    <row r="149" spans="1:27" x14ac:dyDescent="0.2">
      <c r="A149" s="3">
        <v>75</v>
      </c>
      <c r="B149" s="3" t="s">
        <v>298</v>
      </c>
      <c r="C149" s="3">
        <v>2020</v>
      </c>
      <c r="D149" s="3">
        <v>0</v>
      </c>
      <c r="E149" s="3">
        <v>3</v>
      </c>
      <c r="F149" s="3"/>
      <c r="G149" s="3">
        <v>0</v>
      </c>
      <c r="H149" s="3">
        <v>1</v>
      </c>
      <c r="I149" s="3">
        <v>0</v>
      </c>
      <c r="J149" s="3">
        <v>1</v>
      </c>
      <c r="K149" s="3">
        <v>0</v>
      </c>
      <c r="L149" s="3">
        <v>0</v>
      </c>
      <c r="M149" s="3">
        <v>0</v>
      </c>
      <c r="N149" s="3">
        <v>43156991</v>
      </c>
      <c r="O149" s="3">
        <v>1</v>
      </c>
    </row>
    <row r="150" spans="1:27" x14ac:dyDescent="0.2">
      <c r="A150" s="5">
        <v>1</v>
      </c>
      <c r="B150" s="5" t="s">
        <v>299</v>
      </c>
      <c r="C150" s="5" t="s">
        <v>300</v>
      </c>
      <c r="D150" s="5">
        <v>2020</v>
      </c>
      <c r="E150" s="5">
        <v>3</v>
      </c>
      <c r="F150" s="5">
        <v>1</v>
      </c>
      <c r="G150" s="5">
        <v>1</v>
      </c>
      <c r="H150" s="5">
        <v>0</v>
      </c>
      <c r="I150" s="5">
        <v>2</v>
      </c>
      <c r="J150" s="5">
        <v>1</v>
      </c>
      <c r="K150" s="5">
        <v>1</v>
      </c>
      <c r="L150" s="5">
        <v>1</v>
      </c>
      <c r="M150" s="5">
        <v>1</v>
      </c>
      <c r="N150" s="5">
        <v>1</v>
      </c>
      <c r="O150" s="5">
        <v>1</v>
      </c>
      <c r="P150" s="5">
        <v>1</v>
      </c>
      <c r="Q150" s="5">
        <v>1</v>
      </c>
      <c r="R150" s="5" t="s">
        <v>3</v>
      </c>
      <c r="S150" s="5" t="s">
        <v>3</v>
      </c>
      <c r="T150" s="5" t="s">
        <v>3</v>
      </c>
      <c r="U150" s="5" t="s">
        <v>3</v>
      </c>
      <c r="V150" s="5" t="s">
        <v>3</v>
      </c>
      <c r="W150" s="5" t="s">
        <v>3</v>
      </c>
      <c r="X150" s="5" t="s">
        <v>3</v>
      </c>
      <c r="Y150" s="5" t="s">
        <v>3</v>
      </c>
      <c r="Z150" s="5" t="s">
        <v>3</v>
      </c>
      <c r="AA150" s="5" t="s">
        <v>3</v>
      </c>
    </row>
    <row r="154" spans="1:27" x14ac:dyDescent="0.2">
      <c r="A154">
        <v>65</v>
      </c>
      <c r="C154">
        <v>1</v>
      </c>
      <c r="D154">
        <v>0</v>
      </c>
      <c r="E154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C51"/>
  <sheetViews>
    <sheetView workbookViewId="0"/>
  </sheetViews>
  <sheetFormatPr defaultRowHeight="12.75" x14ac:dyDescent="0.2"/>
  <sheetData>
    <row r="1" spans="1:133" x14ac:dyDescent="0.2">
      <c r="A1">
        <v>0</v>
      </c>
      <c r="B1" t="s">
        <v>0</v>
      </c>
      <c r="D1" t="s">
        <v>301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33899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50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/>
      <c r="U12" s="1" t="s">
        <v>3</v>
      </c>
      <c r="V12" s="1">
        <v>0</v>
      </c>
      <c r="W12" s="1" t="s">
        <v>6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7</v>
      </c>
      <c r="AI12" s="1" t="s">
        <v>8</v>
      </c>
      <c r="AJ12" s="1" t="s">
        <v>9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10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11</v>
      </c>
      <c r="BI12" s="1" t="s">
        <v>12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13</v>
      </c>
      <c r="BZ12" s="1" t="s">
        <v>14</v>
      </c>
      <c r="CA12" s="1" t="s">
        <v>15</v>
      </c>
      <c r="CB12" s="1" t="s">
        <v>15</v>
      </c>
      <c r="CC12" s="1" t="s">
        <v>15</v>
      </c>
      <c r="CD12" s="1" t="s">
        <v>15</v>
      </c>
      <c r="CE12" s="1" t="s">
        <v>16</v>
      </c>
      <c r="CF12" s="1">
        <v>0</v>
      </c>
      <c r="CG12" s="1">
        <v>0</v>
      </c>
      <c r="CH12" s="1">
        <v>270344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43156991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1</v>
      </c>
      <c r="C16" s="6" t="s">
        <v>17</v>
      </c>
      <c r="D16" s="6" t="s">
        <v>17</v>
      </c>
      <c r="E16" s="7">
        <f>(Source!F76)/1000</f>
        <v>0.28445999999999999</v>
      </c>
      <c r="F16" s="7">
        <f>(Source!F77)/1000</f>
        <v>47.496310000000001</v>
      </c>
      <c r="G16" s="7">
        <f>(Source!F68)/1000</f>
        <v>23.518650000000001</v>
      </c>
      <c r="H16" s="7">
        <f>(Source!F78)/1000+(Source!F79)/1000</f>
        <v>16.294689999999999</v>
      </c>
      <c r="I16" s="7">
        <f>E16+F16+G16+H16</f>
        <v>87.594110000000001</v>
      </c>
      <c r="J16" s="7">
        <f>(Source!F74)/1000</f>
        <v>23.13447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55783.12</v>
      </c>
      <c r="AU16" s="7">
        <v>31702.06</v>
      </c>
      <c r="AV16" s="7">
        <v>0</v>
      </c>
      <c r="AW16" s="7">
        <v>23518.65</v>
      </c>
      <c r="AX16" s="7">
        <v>0</v>
      </c>
      <c r="AY16" s="7">
        <v>946.59</v>
      </c>
      <c r="AZ16" s="7">
        <v>291.3</v>
      </c>
      <c r="BA16" s="7">
        <v>23134.47</v>
      </c>
      <c r="BB16" s="7">
        <v>284.45999999999998</v>
      </c>
      <c r="BC16" s="7">
        <v>47496.31</v>
      </c>
      <c r="BD16" s="7">
        <v>16294.69</v>
      </c>
      <c r="BE16" s="7">
        <v>0</v>
      </c>
      <c r="BF16" s="7">
        <v>66.72890000000001</v>
      </c>
      <c r="BG16" s="7">
        <v>0.91800000000000004</v>
      </c>
      <c r="BH16" s="7">
        <v>0.43</v>
      </c>
      <c r="BI16" s="7">
        <v>18850.759999999998</v>
      </c>
      <c r="BJ16" s="7">
        <v>12960.23</v>
      </c>
      <c r="BK16" s="7">
        <v>87594.11</v>
      </c>
    </row>
    <row r="18" spans="1:19" x14ac:dyDescent="0.2">
      <c r="A18">
        <v>51</v>
      </c>
      <c r="E18" s="8">
        <f>SUMIF(A16:A17,3,E16:E17)</f>
        <v>0.28445999999999999</v>
      </c>
      <c r="F18" s="8">
        <f>SUMIF(A16:A17,3,F16:F17)</f>
        <v>47.496310000000001</v>
      </c>
      <c r="G18" s="8">
        <f>SUMIF(A16:A17,3,G16:G17)</f>
        <v>23.518650000000001</v>
      </c>
      <c r="H18" s="8">
        <f>SUMIF(A16:A17,3,H16:H17)</f>
        <v>16.294689999999999</v>
      </c>
      <c r="I18" s="8">
        <f>SUMIF(A16:A17,3,I16:I17)</f>
        <v>87.594110000000001</v>
      </c>
      <c r="J18" s="8">
        <f>SUMIF(A16:A17,3,J16:J17)</f>
        <v>23.13447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55783.12</v>
      </c>
      <c r="G20" s="4" t="s">
        <v>179</v>
      </c>
      <c r="H20" s="4" t="s">
        <v>180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31702.06</v>
      </c>
      <c r="G21" s="4" t="s">
        <v>181</v>
      </c>
      <c r="H21" s="4" t="s">
        <v>182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183</v>
      </c>
      <c r="H22" s="4" t="s">
        <v>184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31702.06</v>
      </c>
      <c r="G23" s="4" t="s">
        <v>185</v>
      </c>
      <c r="H23" s="4" t="s">
        <v>186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8183.41</v>
      </c>
      <c r="G24" s="4" t="s">
        <v>187</v>
      </c>
      <c r="H24" s="4" t="s">
        <v>188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189</v>
      </c>
      <c r="H25" s="4" t="s">
        <v>190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8183.41</v>
      </c>
      <c r="G26" s="4" t="s">
        <v>191</v>
      </c>
      <c r="H26" s="4" t="s">
        <v>192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23518.65</v>
      </c>
      <c r="G27" s="4" t="s">
        <v>193</v>
      </c>
      <c r="H27" s="4" t="s">
        <v>194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195</v>
      </c>
      <c r="H28" s="4" t="s">
        <v>196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23518.65</v>
      </c>
      <c r="G29" s="4" t="s">
        <v>197</v>
      </c>
      <c r="H29" s="4" t="s">
        <v>198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946.59</v>
      </c>
      <c r="G30" s="4" t="s">
        <v>199</v>
      </c>
      <c r="H30" s="4" t="s">
        <v>200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201</v>
      </c>
      <c r="H31" s="4" t="s">
        <v>202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291.3</v>
      </c>
      <c r="G32" s="4" t="s">
        <v>203</v>
      </c>
      <c r="H32" s="4" t="s">
        <v>204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23134.47</v>
      </c>
      <c r="G33" s="4" t="s">
        <v>205</v>
      </c>
      <c r="H33" s="4" t="s">
        <v>206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207</v>
      </c>
      <c r="H34" s="4" t="s">
        <v>208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284.45999999999998</v>
      </c>
      <c r="G35" s="4" t="s">
        <v>209</v>
      </c>
      <c r="H35" s="4" t="s">
        <v>210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47496.31</v>
      </c>
      <c r="G36" s="4" t="s">
        <v>211</v>
      </c>
      <c r="H36" s="4" t="s">
        <v>212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16294.69</v>
      </c>
      <c r="G37" s="4" t="s">
        <v>213</v>
      </c>
      <c r="H37" s="4" t="s">
        <v>214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215</v>
      </c>
      <c r="H38" s="4" t="s">
        <v>216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217</v>
      </c>
      <c r="H39" s="4" t="s">
        <v>218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66.72890000000001</v>
      </c>
      <c r="G40" s="4" t="s">
        <v>219</v>
      </c>
      <c r="H40" s="4" t="s">
        <v>220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0.91800000000000004</v>
      </c>
      <c r="G41" s="4" t="s">
        <v>221</v>
      </c>
      <c r="H41" s="4" t="s">
        <v>222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0.43</v>
      </c>
      <c r="G42" s="4" t="s">
        <v>223</v>
      </c>
      <c r="H42" s="4" t="s">
        <v>224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210</v>
      </c>
      <c r="F43" s="4">
        <v>18850.759999999998</v>
      </c>
      <c r="G43" s="4" t="s">
        <v>225</v>
      </c>
      <c r="H43" s="4" t="s">
        <v>226</v>
      </c>
      <c r="I43" s="4"/>
      <c r="J43" s="4"/>
      <c r="K43" s="4">
        <v>210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211</v>
      </c>
      <c r="F44" s="4">
        <v>12960.23</v>
      </c>
      <c r="G44" s="4" t="s">
        <v>227</v>
      </c>
      <c r="H44" s="4" t="s">
        <v>228</v>
      </c>
      <c r="I44" s="4"/>
      <c r="J44" s="4"/>
      <c r="K44" s="4">
        <v>211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224</v>
      </c>
      <c r="F45" s="4">
        <v>87594.11</v>
      </c>
      <c r="G45" s="4" t="s">
        <v>229</v>
      </c>
      <c r="H45" s="4" t="s">
        <v>230</v>
      </c>
      <c r="I45" s="4"/>
      <c r="J45" s="4"/>
      <c r="K45" s="4">
        <v>224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7" spans="1:16" x14ac:dyDescent="0.2">
      <c r="A47">
        <v>-1</v>
      </c>
    </row>
    <row r="50" spans="1:27" x14ac:dyDescent="0.2">
      <c r="A50" s="3">
        <v>75</v>
      </c>
      <c r="B50" s="3" t="s">
        <v>298</v>
      </c>
      <c r="C50" s="3">
        <v>2020</v>
      </c>
      <c r="D50" s="3">
        <v>0</v>
      </c>
      <c r="E50" s="3">
        <v>3</v>
      </c>
      <c r="F50" s="3"/>
      <c r="G50" s="3">
        <v>0</v>
      </c>
      <c r="H50" s="3">
        <v>1</v>
      </c>
      <c r="I50" s="3">
        <v>0</v>
      </c>
      <c r="J50" s="3">
        <v>1</v>
      </c>
      <c r="K50" s="3">
        <v>0</v>
      </c>
      <c r="L50" s="3">
        <v>0</v>
      </c>
      <c r="M50" s="3">
        <v>0</v>
      </c>
      <c r="N50" s="3">
        <v>43156991</v>
      </c>
      <c r="O50" s="3">
        <v>1</v>
      </c>
    </row>
    <row r="51" spans="1:27" x14ac:dyDescent="0.2">
      <c r="A51" s="5">
        <v>1</v>
      </c>
      <c r="B51" s="5" t="s">
        <v>299</v>
      </c>
      <c r="C51" s="5" t="s">
        <v>300</v>
      </c>
      <c r="D51" s="5">
        <v>2020</v>
      </c>
      <c r="E51" s="5">
        <v>3</v>
      </c>
      <c r="F51" s="5">
        <v>1</v>
      </c>
      <c r="G51" s="5">
        <v>1</v>
      </c>
      <c r="H51" s="5">
        <v>0</v>
      </c>
      <c r="I51" s="5">
        <v>2</v>
      </c>
      <c r="J51" s="5">
        <v>1</v>
      </c>
      <c r="K51" s="5">
        <v>1</v>
      </c>
      <c r="L51" s="5">
        <v>1</v>
      </c>
      <c r="M51" s="5">
        <v>1</v>
      </c>
      <c r="N51" s="5">
        <v>1</v>
      </c>
      <c r="O51" s="5">
        <v>1</v>
      </c>
      <c r="P51" s="5">
        <v>1</v>
      </c>
      <c r="Q51" s="5">
        <v>1</v>
      </c>
      <c r="R51" s="5" t="s">
        <v>3</v>
      </c>
      <c r="S51" s="5" t="s">
        <v>3</v>
      </c>
      <c r="T51" s="5" t="s">
        <v>3</v>
      </c>
      <c r="U51" s="5" t="s">
        <v>3</v>
      </c>
      <c r="V51" s="5" t="s">
        <v>3</v>
      </c>
      <c r="W51" s="5" t="s">
        <v>3</v>
      </c>
      <c r="X51" s="5" t="s">
        <v>3</v>
      </c>
      <c r="Y51" s="5" t="s">
        <v>3</v>
      </c>
      <c r="Z51" s="5" t="s">
        <v>3</v>
      </c>
      <c r="AA51" s="5" t="s">
        <v>3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C121"/>
  <sheetViews>
    <sheetView workbookViewId="0"/>
  </sheetViews>
  <sheetFormatPr defaultRowHeight="12.75" x14ac:dyDescent="0.2"/>
  <sheetData>
    <row r="1" spans="1:107" x14ac:dyDescent="0.2">
      <c r="A1">
        <f>ROW(Source!A25)</f>
        <v>25</v>
      </c>
      <c r="B1">
        <v>43156991</v>
      </c>
      <c r="C1">
        <v>43157054</v>
      </c>
      <c r="D1">
        <v>29362762</v>
      </c>
      <c r="E1">
        <v>1</v>
      </c>
      <c r="F1">
        <v>1</v>
      </c>
      <c r="G1">
        <v>1</v>
      </c>
      <c r="H1">
        <v>1</v>
      </c>
      <c r="I1" t="s">
        <v>302</v>
      </c>
      <c r="J1" t="s">
        <v>3</v>
      </c>
      <c r="K1" t="s">
        <v>303</v>
      </c>
      <c r="L1">
        <v>1369</v>
      </c>
      <c r="N1">
        <v>1013</v>
      </c>
      <c r="O1" t="s">
        <v>304</v>
      </c>
      <c r="P1" t="s">
        <v>304</v>
      </c>
      <c r="Q1">
        <v>1</v>
      </c>
      <c r="W1">
        <v>0</v>
      </c>
      <c r="X1">
        <v>604758886</v>
      </c>
      <c r="Y1">
        <v>10</v>
      </c>
      <c r="AA1">
        <v>0</v>
      </c>
      <c r="AB1">
        <v>0</v>
      </c>
      <c r="AC1">
        <v>0</v>
      </c>
      <c r="AD1">
        <v>9.6199999999999992</v>
      </c>
      <c r="AE1">
        <v>0</v>
      </c>
      <c r="AF1">
        <v>0</v>
      </c>
      <c r="AG1">
        <v>0</v>
      </c>
      <c r="AH1">
        <v>9.6199999999999992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10</v>
      </c>
      <c r="AU1" t="s">
        <v>3</v>
      </c>
      <c r="AV1">
        <v>1</v>
      </c>
      <c r="AW1">
        <v>2</v>
      </c>
      <c r="AX1">
        <v>43157066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Y1*Source!I25</f>
        <v>10</v>
      </c>
      <c r="CY1">
        <f>AD1</f>
        <v>9.6199999999999992</v>
      </c>
      <c r="CZ1">
        <f>AH1</f>
        <v>9.6199999999999992</v>
      </c>
      <c r="DA1">
        <f>AL1</f>
        <v>1</v>
      </c>
      <c r="DB1">
        <f t="shared" ref="DB1:DB32" si="0">ROUND(ROUND(AT1*CZ1,2),2)</f>
        <v>96.2</v>
      </c>
      <c r="DC1">
        <f t="shared" ref="DC1:DC32" si="1">ROUND(ROUND(AT1*AG1,2),2)</f>
        <v>0</v>
      </c>
    </row>
    <row r="2" spans="1:107" x14ac:dyDescent="0.2">
      <c r="A2">
        <f>ROW(Source!A25)</f>
        <v>25</v>
      </c>
      <c r="B2">
        <v>43156991</v>
      </c>
      <c r="C2">
        <v>43157054</v>
      </c>
      <c r="D2">
        <v>29110522</v>
      </c>
      <c r="E2">
        <v>1</v>
      </c>
      <c r="F2">
        <v>1</v>
      </c>
      <c r="G2">
        <v>1</v>
      </c>
      <c r="H2">
        <v>3</v>
      </c>
      <c r="I2" t="s">
        <v>305</v>
      </c>
      <c r="J2" t="s">
        <v>306</v>
      </c>
      <c r="K2" t="s">
        <v>307</v>
      </c>
      <c r="L2">
        <v>1348</v>
      </c>
      <c r="N2">
        <v>1009</v>
      </c>
      <c r="O2" t="s">
        <v>308</v>
      </c>
      <c r="P2" t="s">
        <v>308</v>
      </c>
      <c r="Q2">
        <v>1000</v>
      </c>
      <c r="W2">
        <v>0</v>
      </c>
      <c r="X2">
        <v>-2016732880</v>
      </c>
      <c r="Y2">
        <v>2.0000000000000002E-5</v>
      </c>
      <c r="AA2">
        <v>164974.66</v>
      </c>
      <c r="AB2">
        <v>0</v>
      </c>
      <c r="AC2">
        <v>0</v>
      </c>
      <c r="AD2">
        <v>0</v>
      </c>
      <c r="AE2">
        <v>52539.7</v>
      </c>
      <c r="AF2">
        <v>0</v>
      </c>
      <c r="AG2">
        <v>0</v>
      </c>
      <c r="AH2">
        <v>0</v>
      </c>
      <c r="AI2">
        <v>3.14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2.0000000000000002E-5</v>
      </c>
      <c r="AU2" t="s">
        <v>3</v>
      </c>
      <c r="AV2">
        <v>0</v>
      </c>
      <c r="AW2">
        <v>2</v>
      </c>
      <c r="AX2">
        <v>43157067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Y2*Source!I25</f>
        <v>2.0000000000000002E-5</v>
      </c>
      <c r="CY2">
        <f t="shared" ref="CY2:CY11" si="2">AA2</f>
        <v>164974.66</v>
      </c>
      <c r="CZ2">
        <f t="shared" ref="CZ2:CZ11" si="3">AE2</f>
        <v>52539.7</v>
      </c>
      <c r="DA2">
        <f t="shared" ref="DA2:DA11" si="4">AI2</f>
        <v>3.14</v>
      </c>
      <c r="DB2">
        <f t="shared" si="0"/>
        <v>1.05</v>
      </c>
      <c r="DC2">
        <f t="shared" si="1"/>
        <v>0</v>
      </c>
    </row>
    <row r="3" spans="1:107" x14ac:dyDescent="0.2">
      <c r="A3">
        <f>ROW(Source!A25)</f>
        <v>25</v>
      </c>
      <c r="B3">
        <v>43156991</v>
      </c>
      <c r="C3">
        <v>43157054</v>
      </c>
      <c r="D3">
        <v>29112716</v>
      </c>
      <c r="E3">
        <v>1</v>
      </c>
      <c r="F3">
        <v>1</v>
      </c>
      <c r="G3">
        <v>1</v>
      </c>
      <c r="H3">
        <v>3</v>
      </c>
      <c r="I3" t="s">
        <v>309</v>
      </c>
      <c r="J3" t="s">
        <v>310</v>
      </c>
      <c r="K3" t="s">
        <v>311</v>
      </c>
      <c r="L3">
        <v>1348</v>
      </c>
      <c r="N3">
        <v>1009</v>
      </c>
      <c r="O3" t="s">
        <v>308</v>
      </c>
      <c r="P3" t="s">
        <v>308</v>
      </c>
      <c r="Q3">
        <v>1000</v>
      </c>
      <c r="W3">
        <v>0</v>
      </c>
      <c r="X3">
        <v>-1874800538</v>
      </c>
      <c r="Y3">
        <v>2.0000000000000001E-4</v>
      </c>
      <c r="AA3">
        <v>51278.45</v>
      </c>
      <c r="AB3">
        <v>0</v>
      </c>
      <c r="AC3">
        <v>0</v>
      </c>
      <c r="AD3">
        <v>0</v>
      </c>
      <c r="AE3">
        <v>11003.96</v>
      </c>
      <c r="AF3">
        <v>0</v>
      </c>
      <c r="AG3">
        <v>0</v>
      </c>
      <c r="AH3">
        <v>0</v>
      </c>
      <c r="AI3">
        <v>4.66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2.0000000000000001E-4</v>
      </c>
      <c r="AU3" t="s">
        <v>3</v>
      </c>
      <c r="AV3">
        <v>0</v>
      </c>
      <c r="AW3">
        <v>2</v>
      </c>
      <c r="AX3">
        <v>43157068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Y3*Source!I25</f>
        <v>2.0000000000000001E-4</v>
      </c>
      <c r="CY3">
        <f t="shared" si="2"/>
        <v>51278.45</v>
      </c>
      <c r="CZ3">
        <f t="shared" si="3"/>
        <v>11003.96</v>
      </c>
      <c r="DA3">
        <f t="shared" si="4"/>
        <v>4.66</v>
      </c>
      <c r="DB3">
        <f t="shared" si="0"/>
        <v>2.2000000000000002</v>
      </c>
      <c r="DC3">
        <f t="shared" si="1"/>
        <v>0</v>
      </c>
    </row>
    <row r="4" spans="1:107" x14ac:dyDescent="0.2">
      <c r="A4">
        <f>ROW(Source!A25)</f>
        <v>25</v>
      </c>
      <c r="B4">
        <v>43156991</v>
      </c>
      <c r="C4">
        <v>43157054</v>
      </c>
      <c r="D4">
        <v>29107468</v>
      </c>
      <c r="E4">
        <v>1</v>
      </c>
      <c r="F4">
        <v>1</v>
      </c>
      <c r="G4">
        <v>1</v>
      </c>
      <c r="H4">
        <v>3</v>
      </c>
      <c r="I4" t="s">
        <v>312</v>
      </c>
      <c r="J4" t="s">
        <v>313</v>
      </c>
      <c r="K4" t="s">
        <v>314</v>
      </c>
      <c r="L4">
        <v>1346</v>
      </c>
      <c r="N4">
        <v>1009</v>
      </c>
      <c r="O4" t="s">
        <v>315</v>
      </c>
      <c r="P4" t="s">
        <v>315</v>
      </c>
      <c r="Q4">
        <v>1</v>
      </c>
      <c r="W4">
        <v>0</v>
      </c>
      <c r="X4">
        <v>-1457260288</v>
      </c>
      <c r="Y4">
        <v>0.05</v>
      </c>
      <c r="AA4">
        <v>204.57</v>
      </c>
      <c r="AB4">
        <v>0</v>
      </c>
      <c r="AC4">
        <v>0</v>
      </c>
      <c r="AD4">
        <v>0</v>
      </c>
      <c r="AE4">
        <v>12.62</v>
      </c>
      <c r="AF4">
        <v>0</v>
      </c>
      <c r="AG4">
        <v>0</v>
      </c>
      <c r="AH4">
        <v>0</v>
      </c>
      <c r="AI4">
        <v>16.21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0.05</v>
      </c>
      <c r="AU4" t="s">
        <v>3</v>
      </c>
      <c r="AV4">
        <v>0</v>
      </c>
      <c r="AW4">
        <v>2</v>
      </c>
      <c r="AX4">
        <v>43157069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Y4*Source!I25</f>
        <v>0.05</v>
      </c>
      <c r="CY4">
        <f t="shared" si="2"/>
        <v>204.57</v>
      </c>
      <c r="CZ4">
        <f t="shared" si="3"/>
        <v>12.62</v>
      </c>
      <c r="DA4">
        <f t="shared" si="4"/>
        <v>16.21</v>
      </c>
      <c r="DB4">
        <f t="shared" si="0"/>
        <v>0.63</v>
      </c>
      <c r="DC4">
        <f t="shared" si="1"/>
        <v>0</v>
      </c>
    </row>
    <row r="5" spans="1:107" x14ac:dyDescent="0.2">
      <c r="A5">
        <f>ROW(Source!A25)</f>
        <v>25</v>
      </c>
      <c r="B5">
        <v>43156991</v>
      </c>
      <c r="C5">
        <v>43157054</v>
      </c>
      <c r="D5">
        <v>29107959</v>
      </c>
      <c r="E5">
        <v>1</v>
      </c>
      <c r="F5">
        <v>1</v>
      </c>
      <c r="G5">
        <v>1</v>
      </c>
      <c r="H5">
        <v>3</v>
      </c>
      <c r="I5" t="s">
        <v>316</v>
      </c>
      <c r="J5" t="s">
        <v>317</v>
      </c>
      <c r="K5" t="s">
        <v>318</v>
      </c>
      <c r="L5">
        <v>1346</v>
      </c>
      <c r="N5">
        <v>1009</v>
      </c>
      <c r="O5" t="s">
        <v>315</v>
      </c>
      <c r="P5" t="s">
        <v>315</v>
      </c>
      <c r="Q5">
        <v>1</v>
      </c>
      <c r="W5">
        <v>0</v>
      </c>
      <c r="X5">
        <v>-1808187047</v>
      </c>
      <c r="Y5">
        <v>0.1</v>
      </c>
      <c r="AA5">
        <v>336.37</v>
      </c>
      <c r="AB5">
        <v>0</v>
      </c>
      <c r="AC5">
        <v>0</v>
      </c>
      <c r="AD5">
        <v>0</v>
      </c>
      <c r="AE5">
        <v>155.01</v>
      </c>
      <c r="AF5">
        <v>0</v>
      </c>
      <c r="AG5">
        <v>0</v>
      </c>
      <c r="AH5">
        <v>0</v>
      </c>
      <c r="AI5">
        <v>2.17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0.1</v>
      </c>
      <c r="AU5" t="s">
        <v>3</v>
      </c>
      <c r="AV5">
        <v>0</v>
      </c>
      <c r="AW5">
        <v>2</v>
      </c>
      <c r="AX5">
        <v>43157070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Y5*Source!I25</f>
        <v>0.1</v>
      </c>
      <c r="CY5">
        <f t="shared" si="2"/>
        <v>336.37</v>
      </c>
      <c r="CZ5">
        <f t="shared" si="3"/>
        <v>155.01</v>
      </c>
      <c r="DA5">
        <f t="shared" si="4"/>
        <v>2.17</v>
      </c>
      <c r="DB5">
        <f t="shared" si="0"/>
        <v>15.5</v>
      </c>
      <c r="DC5">
        <f t="shared" si="1"/>
        <v>0</v>
      </c>
    </row>
    <row r="6" spans="1:107" x14ac:dyDescent="0.2">
      <c r="A6">
        <f>ROW(Source!A25)</f>
        <v>25</v>
      </c>
      <c r="B6">
        <v>43156991</v>
      </c>
      <c r="C6">
        <v>43157054</v>
      </c>
      <c r="D6">
        <v>29107501</v>
      </c>
      <c r="E6">
        <v>1</v>
      </c>
      <c r="F6">
        <v>1</v>
      </c>
      <c r="G6">
        <v>1</v>
      </c>
      <c r="H6">
        <v>3</v>
      </c>
      <c r="I6" t="s">
        <v>319</v>
      </c>
      <c r="J6" t="s">
        <v>320</v>
      </c>
      <c r="K6" t="s">
        <v>321</v>
      </c>
      <c r="L6">
        <v>1348</v>
      </c>
      <c r="N6">
        <v>1009</v>
      </c>
      <c r="O6" t="s">
        <v>308</v>
      </c>
      <c r="P6" t="s">
        <v>308</v>
      </c>
      <c r="Q6">
        <v>1000</v>
      </c>
      <c r="W6">
        <v>0</v>
      </c>
      <c r="X6">
        <v>-392080426</v>
      </c>
      <c r="Y6">
        <v>1.0000000000000001E-5</v>
      </c>
      <c r="AA6">
        <v>22582.95</v>
      </c>
      <c r="AB6">
        <v>0</v>
      </c>
      <c r="AC6">
        <v>0</v>
      </c>
      <c r="AD6">
        <v>0</v>
      </c>
      <c r="AE6">
        <v>1205.71</v>
      </c>
      <c r="AF6">
        <v>0</v>
      </c>
      <c r="AG6">
        <v>0</v>
      </c>
      <c r="AH6">
        <v>0</v>
      </c>
      <c r="AI6">
        <v>18.73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1.0000000000000001E-5</v>
      </c>
      <c r="AU6" t="s">
        <v>3</v>
      </c>
      <c r="AV6">
        <v>0</v>
      </c>
      <c r="AW6">
        <v>2</v>
      </c>
      <c r="AX6">
        <v>43157071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Y6*Source!I25</f>
        <v>1.0000000000000001E-5</v>
      </c>
      <c r="CY6">
        <f t="shared" si="2"/>
        <v>22582.95</v>
      </c>
      <c r="CZ6">
        <f t="shared" si="3"/>
        <v>1205.71</v>
      </c>
      <c r="DA6">
        <f t="shared" si="4"/>
        <v>18.73</v>
      </c>
      <c r="DB6">
        <f t="shared" si="0"/>
        <v>0.01</v>
      </c>
      <c r="DC6">
        <f t="shared" si="1"/>
        <v>0</v>
      </c>
    </row>
    <row r="7" spans="1:107" x14ac:dyDescent="0.2">
      <c r="A7">
        <f>ROW(Source!A25)</f>
        <v>25</v>
      </c>
      <c r="B7">
        <v>43156991</v>
      </c>
      <c r="C7">
        <v>43157054</v>
      </c>
      <c r="D7">
        <v>29110831</v>
      </c>
      <c r="E7">
        <v>1</v>
      </c>
      <c r="F7">
        <v>1</v>
      </c>
      <c r="G7">
        <v>1</v>
      </c>
      <c r="H7">
        <v>3</v>
      </c>
      <c r="I7" t="s">
        <v>322</v>
      </c>
      <c r="J7" t="s">
        <v>323</v>
      </c>
      <c r="K7" t="s">
        <v>324</v>
      </c>
      <c r="L7">
        <v>1346</v>
      </c>
      <c r="N7">
        <v>1009</v>
      </c>
      <c r="O7" t="s">
        <v>315</v>
      </c>
      <c r="P7" t="s">
        <v>315</v>
      </c>
      <c r="Q7">
        <v>1</v>
      </c>
      <c r="W7">
        <v>0</v>
      </c>
      <c r="X7">
        <v>986031574</v>
      </c>
      <c r="Y7">
        <v>0.04</v>
      </c>
      <c r="AA7">
        <v>160.66999999999999</v>
      </c>
      <c r="AB7">
        <v>0</v>
      </c>
      <c r="AC7">
        <v>0</v>
      </c>
      <c r="AD7">
        <v>0</v>
      </c>
      <c r="AE7">
        <v>91.29</v>
      </c>
      <c r="AF7">
        <v>0</v>
      </c>
      <c r="AG7">
        <v>0</v>
      </c>
      <c r="AH7">
        <v>0</v>
      </c>
      <c r="AI7">
        <v>1.76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0.04</v>
      </c>
      <c r="AU7" t="s">
        <v>3</v>
      </c>
      <c r="AV7">
        <v>0</v>
      </c>
      <c r="AW7">
        <v>2</v>
      </c>
      <c r="AX7">
        <v>43157072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Y7*Source!I25</f>
        <v>0.04</v>
      </c>
      <c r="CY7">
        <f t="shared" si="2"/>
        <v>160.66999999999999</v>
      </c>
      <c r="CZ7">
        <f t="shared" si="3"/>
        <v>91.29</v>
      </c>
      <c r="DA7">
        <f t="shared" si="4"/>
        <v>1.76</v>
      </c>
      <c r="DB7">
        <f t="shared" si="0"/>
        <v>3.65</v>
      </c>
      <c r="DC7">
        <f t="shared" si="1"/>
        <v>0</v>
      </c>
    </row>
    <row r="8" spans="1:107" x14ac:dyDescent="0.2">
      <c r="A8">
        <f>ROW(Source!A25)</f>
        <v>25</v>
      </c>
      <c r="B8">
        <v>43156991</v>
      </c>
      <c r="C8">
        <v>43157054</v>
      </c>
      <c r="D8">
        <v>29122886</v>
      </c>
      <c r="E8">
        <v>1</v>
      </c>
      <c r="F8">
        <v>1</v>
      </c>
      <c r="G8">
        <v>1</v>
      </c>
      <c r="H8">
        <v>3</v>
      </c>
      <c r="I8" t="s">
        <v>325</v>
      </c>
      <c r="J8" t="s">
        <v>326</v>
      </c>
      <c r="K8" t="s">
        <v>327</v>
      </c>
      <c r="L8">
        <v>1346</v>
      </c>
      <c r="N8">
        <v>1009</v>
      </c>
      <c r="O8" t="s">
        <v>315</v>
      </c>
      <c r="P8" t="s">
        <v>315</v>
      </c>
      <c r="Q8">
        <v>1</v>
      </c>
      <c r="W8">
        <v>0</v>
      </c>
      <c r="X8">
        <v>-712732664</v>
      </c>
      <c r="Y8">
        <v>0.5</v>
      </c>
      <c r="AA8">
        <v>100.3</v>
      </c>
      <c r="AB8">
        <v>0</v>
      </c>
      <c r="AC8">
        <v>0</v>
      </c>
      <c r="AD8">
        <v>0</v>
      </c>
      <c r="AE8">
        <v>31.15</v>
      </c>
      <c r="AF8">
        <v>0</v>
      </c>
      <c r="AG8">
        <v>0</v>
      </c>
      <c r="AH8">
        <v>0</v>
      </c>
      <c r="AI8">
        <v>3.22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0.5</v>
      </c>
      <c r="AU8" t="s">
        <v>3</v>
      </c>
      <c r="AV8">
        <v>0</v>
      </c>
      <c r="AW8">
        <v>2</v>
      </c>
      <c r="AX8">
        <v>43157073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Y8*Source!I25</f>
        <v>0.5</v>
      </c>
      <c r="CY8">
        <f t="shared" si="2"/>
        <v>100.3</v>
      </c>
      <c r="CZ8">
        <f t="shared" si="3"/>
        <v>31.15</v>
      </c>
      <c r="DA8">
        <f t="shared" si="4"/>
        <v>3.22</v>
      </c>
      <c r="DB8">
        <f t="shared" si="0"/>
        <v>15.58</v>
      </c>
      <c r="DC8">
        <f t="shared" si="1"/>
        <v>0</v>
      </c>
    </row>
    <row r="9" spans="1:107" x14ac:dyDescent="0.2">
      <c r="A9">
        <f>ROW(Source!A25)</f>
        <v>25</v>
      </c>
      <c r="B9">
        <v>43156991</v>
      </c>
      <c r="C9">
        <v>43157054</v>
      </c>
      <c r="D9">
        <v>29158010</v>
      </c>
      <c r="E9">
        <v>1</v>
      </c>
      <c r="F9">
        <v>1</v>
      </c>
      <c r="G9">
        <v>1</v>
      </c>
      <c r="H9">
        <v>3</v>
      </c>
      <c r="I9" t="s">
        <v>328</v>
      </c>
      <c r="J9" t="s">
        <v>329</v>
      </c>
      <c r="K9" t="s">
        <v>330</v>
      </c>
      <c r="L9">
        <v>1346</v>
      </c>
      <c r="N9">
        <v>1009</v>
      </c>
      <c r="O9" t="s">
        <v>315</v>
      </c>
      <c r="P9" t="s">
        <v>315</v>
      </c>
      <c r="Q9">
        <v>1</v>
      </c>
      <c r="W9">
        <v>0</v>
      </c>
      <c r="X9">
        <v>-191194106</v>
      </c>
      <c r="Y9">
        <v>0.2</v>
      </c>
      <c r="AA9">
        <v>621.05999999999995</v>
      </c>
      <c r="AB9">
        <v>0</v>
      </c>
      <c r="AC9">
        <v>0</v>
      </c>
      <c r="AD9">
        <v>0</v>
      </c>
      <c r="AE9">
        <v>65.930000000000007</v>
      </c>
      <c r="AF9">
        <v>0</v>
      </c>
      <c r="AG9">
        <v>0</v>
      </c>
      <c r="AH9">
        <v>0</v>
      </c>
      <c r="AI9">
        <v>9.42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0.2</v>
      </c>
      <c r="AU9" t="s">
        <v>3</v>
      </c>
      <c r="AV9">
        <v>0</v>
      </c>
      <c r="AW9">
        <v>2</v>
      </c>
      <c r="AX9">
        <v>43157074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Y9*Source!I25</f>
        <v>0.2</v>
      </c>
      <c r="CY9">
        <f t="shared" si="2"/>
        <v>621.05999999999995</v>
      </c>
      <c r="CZ9">
        <f t="shared" si="3"/>
        <v>65.930000000000007</v>
      </c>
      <c r="DA9">
        <f t="shared" si="4"/>
        <v>9.42</v>
      </c>
      <c r="DB9">
        <f t="shared" si="0"/>
        <v>13.19</v>
      </c>
      <c r="DC9">
        <f t="shared" si="1"/>
        <v>0</v>
      </c>
    </row>
    <row r="10" spans="1:107" x14ac:dyDescent="0.2">
      <c r="A10">
        <f>ROW(Source!A25)</f>
        <v>25</v>
      </c>
      <c r="B10">
        <v>43156991</v>
      </c>
      <c r="C10">
        <v>43157054</v>
      </c>
      <c r="D10">
        <v>29171488</v>
      </c>
      <c r="E10">
        <v>1</v>
      </c>
      <c r="F10">
        <v>1</v>
      </c>
      <c r="G10">
        <v>1</v>
      </c>
      <c r="H10">
        <v>3</v>
      </c>
      <c r="I10" t="s">
        <v>331</v>
      </c>
      <c r="J10" t="s">
        <v>332</v>
      </c>
      <c r="K10" t="s">
        <v>333</v>
      </c>
      <c r="L10">
        <v>1346</v>
      </c>
      <c r="N10">
        <v>1009</v>
      </c>
      <c r="O10" t="s">
        <v>315</v>
      </c>
      <c r="P10" t="s">
        <v>315</v>
      </c>
      <c r="Q10">
        <v>1</v>
      </c>
      <c r="W10">
        <v>0</v>
      </c>
      <c r="X10">
        <v>-1165154911</v>
      </c>
      <c r="Y10">
        <v>0.2</v>
      </c>
      <c r="AA10">
        <v>87.05</v>
      </c>
      <c r="AB10">
        <v>0</v>
      </c>
      <c r="AC10">
        <v>0</v>
      </c>
      <c r="AD10">
        <v>0</v>
      </c>
      <c r="AE10">
        <v>47.57</v>
      </c>
      <c r="AF10">
        <v>0</v>
      </c>
      <c r="AG10">
        <v>0</v>
      </c>
      <c r="AH10">
        <v>0</v>
      </c>
      <c r="AI10">
        <v>1.83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0.2</v>
      </c>
      <c r="AU10" t="s">
        <v>3</v>
      </c>
      <c r="AV10">
        <v>0</v>
      </c>
      <c r="AW10">
        <v>2</v>
      </c>
      <c r="AX10">
        <v>43157075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Y10*Source!I25</f>
        <v>0.2</v>
      </c>
      <c r="CY10">
        <f t="shared" si="2"/>
        <v>87.05</v>
      </c>
      <c r="CZ10">
        <f t="shared" si="3"/>
        <v>47.57</v>
      </c>
      <c r="DA10">
        <f t="shared" si="4"/>
        <v>1.83</v>
      </c>
      <c r="DB10">
        <f t="shared" si="0"/>
        <v>9.51</v>
      </c>
      <c r="DC10">
        <f t="shared" si="1"/>
        <v>0</v>
      </c>
    </row>
    <row r="11" spans="1:107" x14ac:dyDescent="0.2">
      <c r="A11">
        <f>ROW(Source!A25)</f>
        <v>25</v>
      </c>
      <c r="B11">
        <v>43156991</v>
      </c>
      <c r="C11">
        <v>43157054</v>
      </c>
      <c r="D11">
        <v>29171808</v>
      </c>
      <c r="E11">
        <v>1</v>
      </c>
      <c r="F11">
        <v>1</v>
      </c>
      <c r="G11">
        <v>1</v>
      </c>
      <c r="H11">
        <v>3</v>
      </c>
      <c r="I11" t="s">
        <v>334</v>
      </c>
      <c r="J11" t="s">
        <v>335</v>
      </c>
      <c r="K11" t="s">
        <v>336</v>
      </c>
      <c r="L11">
        <v>1374</v>
      </c>
      <c r="N11">
        <v>1013</v>
      </c>
      <c r="O11" t="s">
        <v>337</v>
      </c>
      <c r="P11" t="s">
        <v>337</v>
      </c>
      <c r="Q11">
        <v>1</v>
      </c>
      <c r="W11">
        <v>0</v>
      </c>
      <c r="X11">
        <v>-915781824</v>
      </c>
      <c r="Y11">
        <v>1.92</v>
      </c>
      <c r="AA11">
        <v>1</v>
      </c>
      <c r="AB11">
        <v>0</v>
      </c>
      <c r="AC11">
        <v>0</v>
      </c>
      <c r="AD11">
        <v>0</v>
      </c>
      <c r="AE11">
        <v>1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1.92</v>
      </c>
      <c r="AU11" t="s">
        <v>3</v>
      </c>
      <c r="AV11">
        <v>0</v>
      </c>
      <c r="AW11">
        <v>2</v>
      </c>
      <c r="AX11">
        <v>43157077</v>
      </c>
      <c r="AY11">
        <v>1</v>
      </c>
      <c r="AZ11">
        <v>0</v>
      </c>
      <c r="BA11">
        <v>12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Y11*Source!I25</f>
        <v>1.92</v>
      </c>
      <c r="CY11">
        <f t="shared" si="2"/>
        <v>1</v>
      </c>
      <c r="CZ11">
        <f t="shared" si="3"/>
        <v>1</v>
      </c>
      <c r="DA11">
        <f t="shared" si="4"/>
        <v>1</v>
      </c>
      <c r="DB11">
        <f t="shared" si="0"/>
        <v>1.92</v>
      </c>
      <c r="DC11">
        <f t="shared" si="1"/>
        <v>0</v>
      </c>
    </row>
    <row r="12" spans="1:107" x14ac:dyDescent="0.2">
      <c r="A12">
        <f>ROW(Source!A27)</f>
        <v>27</v>
      </c>
      <c r="B12">
        <v>43156991</v>
      </c>
      <c r="C12">
        <v>43157079</v>
      </c>
      <c r="D12">
        <v>29364928</v>
      </c>
      <c r="E12">
        <v>1</v>
      </c>
      <c r="F12">
        <v>1</v>
      </c>
      <c r="G12">
        <v>1</v>
      </c>
      <c r="H12">
        <v>1</v>
      </c>
      <c r="I12" t="s">
        <v>338</v>
      </c>
      <c r="J12" t="s">
        <v>3</v>
      </c>
      <c r="K12" t="s">
        <v>339</v>
      </c>
      <c r="L12">
        <v>1369</v>
      </c>
      <c r="N12">
        <v>1013</v>
      </c>
      <c r="O12" t="s">
        <v>304</v>
      </c>
      <c r="P12" t="s">
        <v>304</v>
      </c>
      <c r="Q12">
        <v>1</v>
      </c>
      <c r="W12">
        <v>0</v>
      </c>
      <c r="X12">
        <v>-576258877</v>
      </c>
      <c r="Y12">
        <v>2.4</v>
      </c>
      <c r="AA12">
        <v>0</v>
      </c>
      <c r="AB12">
        <v>0</v>
      </c>
      <c r="AC12">
        <v>0</v>
      </c>
      <c r="AD12">
        <v>10.5</v>
      </c>
      <c r="AE12">
        <v>0</v>
      </c>
      <c r="AF12">
        <v>0</v>
      </c>
      <c r="AG12">
        <v>0</v>
      </c>
      <c r="AH12">
        <v>10.5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3</v>
      </c>
      <c r="AT12">
        <v>2.4</v>
      </c>
      <c r="AU12" t="s">
        <v>3</v>
      </c>
      <c r="AV12">
        <v>1</v>
      </c>
      <c r="AW12">
        <v>2</v>
      </c>
      <c r="AX12">
        <v>43157087</v>
      </c>
      <c r="AY12">
        <v>1</v>
      </c>
      <c r="AZ12">
        <v>0</v>
      </c>
      <c r="BA12">
        <v>13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Y12*Source!I27</f>
        <v>2.4</v>
      </c>
      <c r="CY12">
        <f>AD12</f>
        <v>10.5</v>
      </c>
      <c r="CZ12">
        <f>AH12</f>
        <v>10.5</v>
      </c>
      <c r="DA12">
        <f>AL12</f>
        <v>1</v>
      </c>
      <c r="DB12">
        <f t="shared" si="0"/>
        <v>25.2</v>
      </c>
      <c r="DC12">
        <f t="shared" si="1"/>
        <v>0</v>
      </c>
    </row>
    <row r="13" spans="1:107" x14ac:dyDescent="0.2">
      <c r="A13">
        <f>ROW(Source!A27)</f>
        <v>27</v>
      </c>
      <c r="B13">
        <v>43156991</v>
      </c>
      <c r="C13">
        <v>43157079</v>
      </c>
      <c r="D13">
        <v>29174500</v>
      </c>
      <c r="E13">
        <v>1</v>
      </c>
      <c r="F13">
        <v>1</v>
      </c>
      <c r="G13">
        <v>1</v>
      </c>
      <c r="H13">
        <v>2</v>
      </c>
      <c r="I13" t="s">
        <v>340</v>
      </c>
      <c r="J13" t="s">
        <v>341</v>
      </c>
      <c r="K13" t="s">
        <v>342</v>
      </c>
      <c r="L13">
        <v>1368</v>
      </c>
      <c r="N13">
        <v>1011</v>
      </c>
      <c r="O13" t="s">
        <v>343</v>
      </c>
      <c r="P13" t="s">
        <v>343</v>
      </c>
      <c r="Q13">
        <v>1</v>
      </c>
      <c r="W13">
        <v>0</v>
      </c>
      <c r="X13">
        <v>-1867053656</v>
      </c>
      <c r="Y13">
        <v>0.13</v>
      </c>
      <c r="AA13">
        <v>0</v>
      </c>
      <c r="AB13">
        <v>7.25</v>
      </c>
      <c r="AC13">
        <v>0</v>
      </c>
      <c r="AD13">
        <v>0</v>
      </c>
      <c r="AE13">
        <v>0</v>
      </c>
      <c r="AF13">
        <v>1.95</v>
      </c>
      <c r="AG13">
        <v>0</v>
      </c>
      <c r="AH13">
        <v>0</v>
      </c>
      <c r="AI13">
        <v>1</v>
      </c>
      <c r="AJ13">
        <v>3.72</v>
      </c>
      <c r="AK13">
        <v>30.52</v>
      </c>
      <c r="AL13">
        <v>1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0.13</v>
      </c>
      <c r="AU13" t="s">
        <v>3</v>
      </c>
      <c r="AV13">
        <v>0</v>
      </c>
      <c r="AW13">
        <v>2</v>
      </c>
      <c r="AX13">
        <v>43157088</v>
      </c>
      <c r="AY13">
        <v>1</v>
      </c>
      <c r="AZ13">
        <v>0</v>
      </c>
      <c r="BA13">
        <v>14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Y13*Source!I27</f>
        <v>0.13</v>
      </c>
      <c r="CY13">
        <f>AB13</f>
        <v>7.25</v>
      </c>
      <c r="CZ13">
        <f>AF13</f>
        <v>1.95</v>
      </c>
      <c r="DA13">
        <f>AJ13</f>
        <v>3.72</v>
      </c>
      <c r="DB13">
        <f t="shared" si="0"/>
        <v>0.25</v>
      </c>
      <c r="DC13">
        <f t="shared" si="1"/>
        <v>0</v>
      </c>
    </row>
    <row r="14" spans="1:107" x14ac:dyDescent="0.2">
      <c r="A14">
        <f>ROW(Source!A27)</f>
        <v>27</v>
      </c>
      <c r="B14">
        <v>43156991</v>
      </c>
      <c r="C14">
        <v>43157079</v>
      </c>
      <c r="D14">
        <v>29107468</v>
      </c>
      <c r="E14">
        <v>1</v>
      </c>
      <c r="F14">
        <v>1</v>
      </c>
      <c r="G14">
        <v>1</v>
      </c>
      <c r="H14">
        <v>3</v>
      </c>
      <c r="I14" t="s">
        <v>312</v>
      </c>
      <c r="J14" t="s">
        <v>313</v>
      </c>
      <c r="K14" t="s">
        <v>314</v>
      </c>
      <c r="L14">
        <v>1346</v>
      </c>
      <c r="N14">
        <v>1009</v>
      </c>
      <c r="O14" t="s">
        <v>315</v>
      </c>
      <c r="P14" t="s">
        <v>315</v>
      </c>
      <c r="Q14">
        <v>1</v>
      </c>
      <c r="W14">
        <v>0</v>
      </c>
      <c r="X14">
        <v>-1457260288</v>
      </c>
      <c r="Y14">
        <v>1.8E-3</v>
      </c>
      <c r="AA14">
        <v>204.57</v>
      </c>
      <c r="AB14">
        <v>0</v>
      </c>
      <c r="AC14">
        <v>0</v>
      </c>
      <c r="AD14">
        <v>0</v>
      </c>
      <c r="AE14">
        <v>12.62</v>
      </c>
      <c r="AF14">
        <v>0</v>
      </c>
      <c r="AG14">
        <v>0</v>
      </c>
      <c r="AH14">
        <v>0</v>
      </c>
      <c r="AI14">
        <v>16.21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1.8E-3</v>
      </c>
      <c r="AU14" t="s">
        <v>3</v>
      </c>
      <c r="AV14">
        <v>0</v>
      </c>
      <c r="AW14">
        <v>2</v>
      </c>
      <c r="AX14">
        <v>43157089</v>
      </c>
      <c r="AY14">
        <v>1</v>
      </c>
      <c r="AZ14">
        <v>0</v>
      </c>
      <c r="BA14">
        <v>15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Y14*Source!I27</f>
        <v>1.8E-3</v>
      </c>
      <c r="CY14">
        <f>AA14</f>
        <v>204.57</v>
      </c>
      <c r="CZ14">
        <f>AE14</f>
        <v>12.62</v>
      </c>
      <c r="DA14">
        <f>AI14</f>
        <v>16.21</v>
      </c>
      <c r="DB14">
        <f t="shared" si="0"/>
        <v>0.02</v>
      </c>
      <c r="DC14">
        <f t="shared" si="1"/>
        <v>0</v>
      </c>
    </row>
    <row r="15" spans="1:107" x14ac:dyDescent="0.2">
      <c r="A15">
        <f>ROW(Source!A27)</f>
        <v>27</v>
      </c>
      <c r="B15">
        <v>43156991</v>
      </c>
      <c r="C15">
        <v>43157079</v>
      </c>
      <c r="D15">
        <v>29114480</v>
      </c>
      <c r="E15">
        <v>1</v>
      </c>
      <c r="F15">
        <v>1</v>
      </c>
      <c r="G15">
        <v>1</v>
      </c>
      <c r="H15">
        <v>3</v>
      </c>
      <c r="I15" t="s">
        <v>344</v>
      </c>
      <c r="J15" t="s">
        <v>345</v>
      </c>
      <c r="K15" t="s">
        <v>346</v>
      </c>
      <c r="L15">
        <v>1355</v>
      </c>
      <c r="N15">
        <v>1010</v>
      </c>
      <c r="O15" t="s">
        <v>347</v>
      </c>
      <c r="P15" t="s">
        <v>347</v>
      </c>
      <c r="Q15">
        <v>100</v>
      </c>
      <c r="W15">
        <v>0</v>
      </c>
      <c r="X15">
        <v>-1517924343</v>
      </c>
      <c r="Y15">
        <v>0.03</v>
      </c>
      <c r="AA15">
        <v>287.18</v>
      </c>
      <c r="AB15">
        <v>0</v>
      </c>
      <c r="AC15">
        <v>0</v>
      </c>
      <c r="AD15">
        <v>0</v>
      </c>
      <c r="AE15">
        <v>83</v>
      </c>
      <c r="AF15">
        <v>0</v>
      </c>
      <c r="AG15">
        <v>0</v>
      </c>
      <c r="AH15">
        <v>0</v>
      </c>
      <c r="AI15">
        <v>3.46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0.03</v>
      </c>
      <c r="AU15" t="s">
        <v>3</v>
      </c>
      <c r="AV15">
        <v>0</v>
      </c>
      <c r="AW15">
        <v>2</v>
      </c>
      <c r="AX15">
        <v>43157090</v>
      </c>
      <c r="AY15">
        <v>1</v>
      </c>
      <c r="AZ15">
        <v>0</v>
      </c>
      <c r="BA15">
        <v>16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Y15*Source!I27</f>
        <v>0.03</v>
      </c>
      <c r="CY15">
        <f>AA15</f>
        <v>287.18</v>
      </c>
      <c r="CZ15">
        <f>AE15</f>
        <v>83</v>
      </c>
      <c r="DA15">
        <f>AI15</f>
        <v>3.46</v>
      </c>
      <c r="DB15">
        <f t="shared" si="0"/>
        <v>2.4900000000000002</v>
      </c>
      <c r="DC15">
        <f t="shared" si="1"/>
        <v>0</v>
      </c>
    </row>
    <row r="16" spans="1:107" x14ac:dyDescent="0.2">
      <c r="A16">
        <f>ROW(Source!A27)</f>
        <v>27</v>
      </c>
      <c r="B16">
        <v>43156991</v>
      </c>
      <c r="C16">
        <v>43157079</v>
      </c>
      <c r="D16">
        <v>29149204</v>
      </c>
      <c r="E16">
        <v>1</v>
      </c>
      <c r="F16">
        <v>1</v>
      </c>
      <c r="G16">
        <v>1</v>
      </c>
      <c r="H16">
        <v>3</v>
      </c>
      <c r="I16" t="s">
        <v>348</v>
      </c>
      <c r="J16" t="s">
        <v>349</v>
      </c>
      <c r="K16" t="s">
        <v>350</v>
      </c>
      <c r="L16">
        <v>1348</v>
      </c>
      <c r="N16">
        <v>1009</v>
      </c>
      <c r="O16" t="s">
        <v>308</v>
      </c>
      <c r="P16" t="s">
        <v>308</v>
      </c>
      <c r="Q16">
        <v>1000</v>
      </c>
      <c r="W16">
        <v>0</v>
      </c>
      <c r="X16">
        <v>-601557392</v>
      </c>
      <c r="Y16">
        <v>2.0000000000000002E-5</v>
      </c>
      <c r="AA16">
        <v>4963.8599999999997</v>
      </c>
      <c r="AB16">
        <v>0</v>
      </c>
      <c r="AC16">
        <v>0</v>
      </c>
      <c r="AD16">
        <v>0</v>
      </c>
      <c r="AE16">
        <v>729.98</v>
      </c>
      <c r="AF16">
        <v>0</v>
      </c>
      <c r="AG16">
        <v>0</v>
      </c>
      <c r="AH16">
        <v>0</v>
      </c>
      <c r="AI16">
        <v>6.8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2.0000000000000002E-5</v>
      </c>
      <c r="AU16" t="s">
        <v>3</v>
      </c>
      <c r="AV16">
        <v>0</v>
      </c>
      <c r="AW16">
        <v>2</v>
      </c>
      <c r="AX16">
        <v>43157091</v>
      </c>
      <c r="AY16">
        <v>1</v>
      </c>
      <c r="AZ16">
        <v>0</v>
      </c>
      <c r="BA16">
        <v>17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Y16*Source!I27</f>
        <v>2.0000000000000002E-5</v>
      </c>
      <c r="CY16">
        <f>AA16</f>
        <v>4963.8599999999997</v>
      </c>
      <c r="CZ16">
        <f>AE16</f>
        <v>729.98</v>
      </c>
      <c r="DA16">
        <f>AI16</f>
        <v>6.8</v>
      </c>
      <c r="DB16">
        <f t="shared" si="0"/>
        <v>0.01</v>
      </c>
      <c r="DC16">
        <f t="shared" si="1"/>
        <v>0</v>
      </c>
    </row>
    <row r="17" spans="1:107" x14ac:dyDescent="0.2">
      <c r="A17">
        <f>ROW(Source!A27)</f>
        <v>27</v>
      </c>
      <c r="B17">
        <v>43156991</v>
      </c>
      <c r="C17">
        <v>43157079</v>
      </c>
      <c r="D17">
        <v>29158010</v>
      </c>
      <c r="E17">
        <v>1</v>
      </c>
      <c r="F17">
        <v>1</v>
      </c>
      <c r="G17">
        <v>1</v>
      </c>
      <c r="H17">
        <v>3</v>
      </c>
      <c r="I17" t="s">
        <v>328</v>
      </c>
      <c r="J17" t="s">
        <v>329</v>
      </c>
      <c r="K17" t="s">
        <v>330</v>
      </c>
      <c r="L17">
        <v>1346</v>
      </c>
      <c r="N17">
        <v>1009</v>
      </c>
      <c r="O17" t="s">
        <v>315</v>
      </c>
      <c r="P17" t="s">
        <v>315</v>
      </c>
      <c r="Q17">
        <v>1</v>
      </c>
      <c r="W17">
        <v>0</v>
      </c>
      <c r="X17">
        <v>-191194106</v>
      </c>
      <c r="Y17">
        <v>1.7999999999999999E-2</v>
      </c>
      <c r="AA17">
        <v>621.05999999999995</v>
      </c>
      <c r="AB17">
        <v>0</v>
      </c>
      <c r="AC17">
        <v>0</v>
      </c>
      <c r="AD17">
        <v>0</v>
      </c>
      <c r="AE17">
        <v>65.930000000000007</v>
      </c>
      <c r="AF17">
        <v>0</v>
      </c>
      <c r="AG17">
        <v>0</v>
      </c>
      <c r="AH17">
        <v>0</v>
      </c>
      <c r="AI17">
        <v>9.42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1.7999999999999999E-2</v>
      </c>
      <c r="AU17" t="s">
        <v>3</v>
      </c>
      <c r="AV17">
        <v>0</v>
      </c>
      <c r="AW17">
        <v>2</v>
      </c>
      <c r="AX17">
        <v>43157092</v>
      </c>
      <c r="AY17">
        <v>1</v>
      </c>
      <c r="AZ17">
        <v>0</v>
      </c>
      <c r="BA17">
        <v>18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Y17*Source!I27</f>
        <v>1.7999999999999999E-2</v>
      </c>
      <c r="CY17">
        <f>AA17</f>
        <v>621.05999999999995</v>
      </c>
      <c r="CZ17">
        <f>AE17</f>
        <v>65.930000000000007</v>
      </c>
      <c r="DA17">
        <f>AI17</f>
        <v>9.42</v>
      </c>
      <c r="DB17">
        <f t="shared" si="0"/>
        <v>1.19</v>
      </c>
      <c r="DC17">
        <f t="shared" si="1"/>
        <v>0</v>
      </c>
    </row>
    <row r="18" spans="1:107" x14ac:dyDescent="0.2">
      <c r="A18">
        <f>ROW(Source!A27)</f>
        <v>27</v>
      </c>
      <c r="B18">
        <v>43156991</v>
      </c>
      <c r="C18">
        <v>43157079</v>
      </c>
      <c r="D18">
        <v>29171808</v>
      </c>
      <c r="E18">
        <v>1</v>
      </c>
      <c r="F18">
        <v>1</v>
      </c>
      <c r="G18">
        <v>1</v>
      </c>
      <c r="H18">
        <v>3</v>
      </c>
      <c r="I18" t="s">
        <v>334</v>
      </c>
      <c r="J18" t="s">
        <v>335</v>
      </c>
      <c r="K18" t="s">
        <v>336</v>
      </c>
      <c r="L18">
        <v>1374</v>
      </c>
      <c r="N18">
        <v>1013</v>
      </c>
      <c r="O18" t="s">
        <v>337</v>
      </c>
      <c r="P18" t="s">
        <v>337</v>
      </c>
      <c r="Q18">
        <v>1</v>
      </c>
      <c r="W18">
        <v>0</v>
      </c>
      <c r="X18">
        <v>-915781824</v>
      </c>
      <c r="Y18">
        <v>0.5</v>
      </c>
      <c r="AA18">
        <v>1</v>
      </c>
      <c r="AB18">
        <v>0</v>
      </c>
      <c r="AC18">
        <v>0</v>
      </c>
      <c r="AD18">
        <v>0</v>
      </c>
      <c r="AE18">
        <v>1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0.5</v>
      </c>
      <c r="AU18" t="s">
        <v>3</v>
      </c>
      <c r="AV18">
        <v>0</v>
      </c>
      <c r="AW18">
        <v>2</v>
      </c>
      <c r="AX18">
        <v>43157093</v>
      </c>
      <c r="AY18">
        <v>1</v>
      </c>
      <c r="AZ18">
        <v>0</v>
      </c>
      <c r="BA18">
        <v>19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Y18*Source!I27</f>
        <v>0.5</v>
      </c>
      <c r="CY18">
        <f>AA18</f>
        <v>1</v>
      </c>
      <c r="CZ18">
        <f>AE18</f>
        <v>1</v>
      </c>
      <c r="DA18">
        <f>AI18</f>
        <v>1</v>
      </c>
      <c r="DB18">
        <f t="shared" si="0"/>
        <v>0.5</v>
      </c>
      <c r="DC18">
        <f t="shared" si="1"/>
        <v>0</v>
      </c>
    </row>
    <row r="19" spans="1:107" x14ac:dyDescent="0.2">
      <c r="A19">
        <f>ROW(Source!A29)</f>
        <v>29</v>
      </c>
      <c r="B19">
        <v>43156991</v>
      </c>
      <c r="C19">
        <v>43157095</v>
      </c>
      <c r="D19">
        <v>29364679</v>
      </c>
      <c r="E19">
        <v>1</v>
      </c>
      <c r="F19">
        <v>1</v>
      </c>
      <c r="G19">
        <v>1</v>
      </c>
      <c r="H19">
        <v>1</v>
      </c>
      <c r="I19" t="s">
        <v>351</v>
      </c>
      <c r="J19" t="s">
        <v>3</v>
      </c>
      <c r="K19" t="s">
        <v>352</v>
      </c>
      <c r="L19">
        <v>1369</v>
      </c>
      <c r="N19">
        <v>1013</v>
      </c>
      <c r="O19" t="s">
        <v>304</v>
      </c>
      <c r="P19" t="s">
        <v>304</v>
      </c>
      <c r="Q19">
        <v>1</v>
      </c>
      <c r="W19">
        <v>0</v>
      </c>
      <c r="X19">
        <v>931378261</v>
      </c>
      <c r="Y19">
        <v>2.37</v>
      </c>
      <c r="AA19">
        <v>0</v>
      </c>
      <c r="AB19">
        <v>0</v>
      </c>
      <c r="AC19">
        <v>0</v>
      </c>
      <c r="AD19">
        <v>9.92</v>
      </c>
      <c r="AE19">
        <v>0</v>
      </c>
      <c r="AF19">
        <v>0</v>
      </c>
      <c r="AG19">
        <v>0</v>
      </c>
      <c r="AH19">
        <v>9.92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2.37</v>
      </c>
      <c r="AU19" t="s">
        <v>3</v>
      </c>
      <c r="AV19">
        <v>1</v>
      </c>
      <c r="AW19">
        <v>2</v>
      </c>
      <c r="AX19">
        <v>43157107</v>
      </c>
      <c r="AY19">
        <v>1</v>
      </c>
      <c r="AZ19">
        <v>0</v>
      </c>
      <c r="BA19">
        <v>20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Y19*Source!I29</f>
        <v>2.37</v>
      </c>
      <c r="CY19">
        <f>AD19</f>
        <v>9.92</v>
      </c>
      <c r="CZ19">
        <f>AH19</f>
        <v>9.92</v>
      </c>
      <c r="DA19">
        <f>AL19</f>
        <v>1</v>
      </c>
      <c r="DB19">
        <f t="shared" si="0"/>
        <v>23.51</v>
      </c>
      <c r="DC19">
        <f t="shared" si="1"/>
        <v>0</v>
      </c>
    </row>
    <row r="20" spans="1:107" x14ac:dyDescent="0.2">
      <c r="A20">
        <f>ROW(Source!A29)</f>
        <v>29</v>
      </c>
      <c r="B20">
        <v>43156991</v>
      </c>
      <c r="C20">
        <v>43157095</v>
      </c>
      <c r="D20">
        <v>121548</v>
      </c>
      <c r="E20">
        <v>1</v>
      </c>
      <c r="F20">
        <v>1</v>
      </c>
      <c r="G20">
        <v>1</v>
      </c>
      <c r="H20">
        <v>1</v>
      </c>
      <c r="I20" t="s">
        <v>28</v>
      </c>
      <c r="J20" t="s">
        <v>3</v>
      </c>
      <c r="K20" t="s">
        <v>353</v>
      </c>
      <c r="L20">
        <v>608254</v>
      </c>
      <c r="N20">
        <v>1013</v>
      </c>
      <c r="O20" t="s">
        <v>354</v>
      </c>
      <c r="P20" t="s">
        <v>354</v>
      </c>
      <c r="Q20">
        <v>1</v>
      </c>
      <c r="W20">
        <v>0</v>
      </c>
      <c r="X20">
        <v>-185737400</v>
      </c>
      <c r="Y20">
        <v>0.28999999999999998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0.28999999999999998</v>
      </c>
      <c r="AU20" t="s">
        <v>3</v>
      </c>
      <c r="AV20">
        <v>2</v>
      </c>
      <c r="AW20">
        <v>2</v>
      </c>
      <c r="AX20">
        <v>43157108</v>
      </c>
      <c r="AY20">
        <v>1</v>
      </c>
      <c r="AZ20">
        <v>0</v>
      </c>
      <c r="BA20">
        <v>21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Y20*Source!I29</f>
        <v>0.28999999999999998</v>
      </c>
      <c r="CY20">
        <f>AD20</f>
        <v>0</v>
      </c>
      <c r="CZ20">
        <f>AH20</f>
        <v>0</v>
      </c>
      <c r="DA20">
        <f>AL20</f>
        <v>1</v>
      </c>
      <c r="DB20">
        <f t="shared" si="0"/>
        <v>0</v>
      </c>
      <c r="DC20">
        <f t="shared" si="1"/>
        <v>0</v>
      </c>
    </row>
    <row r="21" spans="1:107" x14ac:dyDescent="0.2">
      <c r="A21">
        <f>ROW(Source!A29)</f>
        <v>29</v>
      </c>
      <c r="B21">
        <v>43156991</v>
      </c>
      <c r="C21">
        <v>43157095</v>
      </c>
      <c r="D21">
        <v>29172362</v>
      </c>
      <c r="E21">
        <v>1</v>
      </c>
      <c r="F21">
        <v>1</v>
      </c>
      <c r="G21">
        <v>1</v>
      </c>
      <c r="H21">
        <v>2</v>
      </c>
      <c r="I21" t="s">
        <v>355</v>
      </c>
      <c r="J21" t="s">
        <v>356</v>
      </c>
      <c r="K21" t="s">
        <v>357</v>
      </c>
      <c r="L21">
        <v>1368</v>
      </c>
      <c r="N21">
        <v>1011</v>
      </c>
      <c r="O21" t="s">
        <v>343</v>
      </c>
      <c r="P21" t="s">
        <v>343</v>
      </c>
      <c r="Q21">
        <v>1</v>
      </c>
      <c r="W21">
        <v>0</v>
      </c>
      <c r="X21">
        <v>783836208</v>
      </c>
      <c r="Y21">
        <v>7.0000000000000007E-2</v>
      </c>
      <c r="AA21">
        <v>0</v>
      </c>
      <c r="AB21">
        <v>1067.77</v>
      </c>
      <c r="AC21">
        <v>412.02</v>
      </c>
      <c r="AD21">
        <v>0</v>
      </c>
      <c r="AE21">
        <v>0</v>
      </c>
      <c r="AF21">
        <v>134.65</v>
      </c>
      <c r="AG21">
        <v>13.5</v>
      </c>
      <c r="AH21">
        <v>0</v>
      </c>
      <c r="AI21">
        <v>1</v>
      </c>
      <c r="AJ21">
        <v>7.93</v>
      </c>
      <c r="AK21">
        <v>30.52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7.0000000000000007E-2</v>
      </c>
      <c r="AU21" t="s">
        <v>3</v>
      </c>
      <c r="AV21">
        <v>0</v>
      </c>
      <c r="AW21">
        <v>2</v>
      </c>
      <c r="AX21">
        <v>43157109</v>
      </c>
      <c r="AY21">
        <v>1</v>
      </c>
      <c r="AZ21">
        <v>0</v>
      </c>
      <c r="BA21">
        <v>22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Y21*Source!I29</f>
        <v>7.0000000000000007E-2</v>
      </c>
      <c r="CY21">
        <f>AB21</f>
        <v>1067.77</v>
      </c>
      <c r="CZ21">
        <f>AF21</f>
        <v>134.65</v>
      </c>
      <c r="DA21">
        <f>AJ21</f>
        <v>7.93</v>
      </c>
      <c r="DB21">
        <f t="shared" si="0"/>
        <v>9.43</v>
      </c>
      <c r="DC21">
        <f t="shared" si="1"/>
        <v>0.95</v>
      </c>
    </row>
    <row r="22" spans="1:107" x14ac:dyDescent="0.2">
      <c r="A22">
        <f>ROW(Source!A29)</f>
        <v>29</v>
      </c>
      <c r="B22">
        <v>43156991</v>
      </c>
      <c r="C22">
        <v>43157095</v>
      </c>
      <c r="D22">
        <v>29172657</v>
      </c>
      <c r="E22">
        <v>1</v>
      </c>
      <c r="F22">
        <v>1</v>
      </c>
      <c r="G22">
        <v>1</v>
      </c>
      <c r="H22">
        <v>2</v>
      </c>
      <c r="I22" t="s">
        <v>358</v>
      </c>
      <c r="J22" t="s">
        <v>359</v>
      </c>
      <c r="K22" t="s">
        <v>360</v>
      </c>
      <c r="L22">
        <v>1368</v>
      </c>
      <c r="N22">
        <v>1011</v>
      </c>
      <c r="O22" t="s">
        <v>343</v>
      </c>
      <c r="P22" t="s">
        <v>343</v>
      </c>
      <c r="Q22">
        <v>1</v>
      </c>
      <c r="W22">
        <v>0</v>
      </c>
      <c r="X22">
        <v>1474986261</v>
      </c>
      <c r="Y22">
        <v>0.71</v>
      </c>
      <c r="AA22">
        <v>0</v>
      </c>
      <c r="AB22">
        <v>58.48</v>
      </c>
      <c r="AC22">
        <v>0</v>
      </c>
      <c r="AD22">
        <v>0</v>
      </c>
      <c r="AE22">
        <v>0</v>
      </c>
      <c r="AF22">
        <v>8.1</v>
      </c>
      <c r="AG22">
        <v>0</v>
      </c>
      <c r="AH22">
        <v>0</v>
      </c>
      <c r="AI22">
        <v>1</v>
      </c>
      <c r="AJ22">
        <v>7.22</v>
      </c>
      <c r="AK22">
        <v>30.52</v>
      </c>
      <c r="AL22">
        <v>1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0.71</v>
      </c>
      <c r="AU22" t="s">
        <v>3</v>
      </c>
      <c r="AV22">
        <v>0</v>
      </c>
      <c r="AW22">
        <v>2</v>
      </c>
      <c r="AX22">
        <v>43157110</v>
      </c>
      <c r="AY22">
        <v>1</v>
      </c>
      <c r="AZ22">
        <v>0</v>
      </c>
      <c r="BA22">
        <v>23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Y22*Source!I29</f>
        <v>0.71</v>
      </c>
      <c r="CY22">
        <f>AB22</f>
        <v>58.48</v>
      </c>
      <c r="CZ22">
        <f>AF22</f>
        <v>8.1</v>
      </c>
      <c r="DA22">
        <f>AJ22</f>
        <v>7.22</v>
      </c>
      <c r="DB22">
        <f t="shared" si="0"/>
        <v>5.75</v>
      </c>
      <c r="DC22">
        <f t="shared" si="1"/>
        <v>0</v>
      </c>
    </row>
    <row r="23" spans="1:107" x14ac:dyDescent="0.2">
      <c r="A23">
        <f>ROW(Source!A29)</f>
        <v>29</v>
      </c>
      <c r="B23">
        <v>43156991</v>
      </c>
      <c r="C23">
        <v>43157095</v>
      </c>
      <c r="D23">
        <v>29172710</v>
      </c>
      <c r="E23">
        <v>1</v>
      </c>
      <c r="F23">
        <v>1</v>
      </c>
      <c r="G23">
        <v>1</v>
      </c>
      <c r="H23">
        <v>2</v>
      </c>
      <c r="I23" t="s">
        <v>361</v>
      </c>
      <c r="J23" t="s">
        <v>362</v>
      </c>
      <c r="K23" t="s">
        <v>363</v>
      </c>
      <c r="L23">
        <v>1368</v>
      </c>
      <c r="N23">
        <v>1011</v>
      </c>
      <c r="O23" t="s">
        <v>343</v>
      </c>
      <c r="P23" t="s">
        <v>343</v>
      </c>
      <c r="Q23">
        <v>1</v>
      </c>
      <c r="W23">
        <v>0</v>
      </c>
      <c r="X23">
        <v>315863809</v>
      </c>
      <c r="Y23">
        <v>0.22</v>
      </c>
      <c r="AA23">
        <v>0</v>
      </c>
      <c r="AB23">
        <v>510.3</v>
      </c>
      <c r="AC23">
        <v>307.02999999999997</v>
      </c>
      <c r="AD23">
        <v>0</v>
      </c>
      <c r="AE23">
        <v>0</v>
      </c>
      <c r="AF23">
        <v>46.56</v>
      </c>
      <c r="AG23">
        <v>10.06</v>
      </c>
      <c r="AH23">
        <v>0</v>
      </c>
      <c r="AI23">
        <v>1</v>
      </c>
      <c r="AJ23">
        <v>10.96</v>
      </c>
      <c r="AK23">
        <v>30.52</v>
      </c>
      <c r="AL23">
        <v>1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3</v>
      </c>
      <c r="AT23">
        <v>0.22</v>
      </c>
      <c r="AU23" t="s">
        <v>3</v>
      </c>
      <c r="AV23">
        <v>0</v>
      </c>
      <c r="AW23">
        <v>2</v>
      </c>
      <c r="AX23">
        <v>43157111</v>
      </c>
      <c r="AY23">
        <v>1</v>
      </c>
      <c r="AZ23">
        <v>0</v>
      </c>
      <c r="BA23">
        <v>24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Y23*Source!I29</f>
        <v>0.22</v>
      </c>
      <c r="CY23">
        <f>AB23</f>
        <v>510.3</v>
      </c>
      <c r="CZ23">
        <f>AF23</f>
        <v>46.56</v>
      </c>
      <c r="DA23">
        <f>AJ23</f>
        <v>10.96</v>
      </c>
      <c r="DB23">
        <f t="shared" si="0"/>
        <v>10.24</v>
      </c>
      <c r="DC23">
        <f t="shared" si="1"/>
        <v>2.21</v>
      </c>
    </row>
    <row r="24" spans="1:107" x14ac:dyDescent="0.2">
      <c r="A24">
        <f>ROW(Source!A29)</f>
        <v>29</v>
      </c>
      <c r="B24">
        <v>43156991</v>
      </c>
      <c r="C24">
        <v>43157095</v>
      </c>
      <c r="D24">
        <v>29173040</v>
      </c>
      <c r="E24">
        <v>1</v>
      </c>
      <c r="F24">
        <v>1</v>
      </c>
      <c r="G24">
        <v>1</v>
      </c>
      <c r="H24">
        <v>2</v>
      </c>
      <c r="I24" t="s">
        <v>364</v>
      </c>
      <c r="J24" t="s">
        <v>365</v>
      </c>
      <c r="K24" t="s">
        <v>366</v>
      </c>
      <c r="L24">
        <v>1368</v>
      </c>
      <c r="N24">
        <v>1011</v>
      </c>
      <c r="O24" t="s">
        <v>343</v>
      </c>
      <c r="P24" t="s">
        <v>343</v>
      </c>
      <c r="Q24">
        <v>1</v>
      </c>
      <c r="W24">
        <v>0</v>
      </c>
      <c r="X24">
        <v>786036725</v>
      </c>
      <c r="Y24">
        <v>0.22</v>
      </c>
      <c r="AA24">
        <v>0</v>
      </c>
      <c r="AB24">
        <v>13.99</v>
      </c>
      <c r="AC24">
        <v>0</v>
      </c>
      <c r="AD24">
        <v>0</v>
      </c>
      <c r="AE24">
        <v>0</v>
      </c>
      <c r="AF24">
        <v>2.99</v>
      </c>
      <c r="AG24">
        <v>0</v>
      </c>
      <c r="AH24">
        <v>0</v>
      </c>
      <c r="AI24">
        <v>1</v>
      </c>
      <c r="AJ24">
        <v>4.68</v>
      </c>
      <c r="AK24">
        <v>30.52</v>
      </c>
      <c r="AL24">
        <v>1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3</v>
      </c>
      <c r="AT24">
        <v>0.22</v>
      </c>
      <c r="AU24" t="s">
        <v>3</v>
      </c>
      <c r="AV24">
        <v>0</v>
      </c>
      <c r="AW24">
        <v>2</v>
      </c>
      <c r="AX24">
        <v>43157112</v>
      </c>
      <c r="AY24">
        <v>1</v>
      </c>
      <c r="AZ24">
        <v>0</v>
      </c>
      <c r="BA24">
        <v>25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Y24*Source!I29</f>
        <v>0.22</v>
      </c>
      <c r="CY24">
        <f>AB24</f>
        <v>13.99</v>
      </c>
      <c r="CZ24">
        <f>AF24</f>
        <v>2.99</v>
      </c>
      <c r="DA24">
        <f>AJ24</f>
        <v>4.68</v>
      </c>
      <c r="DB24">
        <f t="shared" si="0"/>
        <v>0.66</v>
      </c>
      <c r="DC24">
        <f t="shared" si="1"/>
        <v>0</v>
      </c>
    </row>
    <row r="25" spans="1:107" x14ac:dyDescent="0.2">
      <c r="A25">
        <f>ROW(Source!A29)</f>
        <v>29</v>
      </c>
      <c r="B25">
        <v>43156991</v>
      </c>
      <c r="C25">
        <v>43157095</v>
      </c>
      <c r="D25">
        <v>29174913</v>
      </c>
      <c r="E25">
        <v>1</v>
      </c>
      <c r="F25">
        <v>1</v>
      </c>
      <c r="G25">
        <v>1</v>
      </c>
      <c r="H25">
        <v>2</v>
      </c>
      <c r="I25" t="s">
        <v>367</v>
      </c>
      <c r="J25" t="s">
        <v>368</v>
      </c>
      <c r="K25" t="s">
        <v>369</v>
      </c>
      <c r="L25">
        <v>1368</v>
      </c>
      <c r="N25">
        <v>1011</v>
      </c>
      <c r="O25" t="s">
        <v>343</v>
      </c>
      <c r="P25" t="s">
        <v>343</v>
      </c>
      <c r="Q25">
        <v>1</v>
      </c>
      <c r="W25">
        <v>0</v>
      </c>
      <c r="X25">
        <v>1230759911</v>
      </c>
      <c r="Y25">
        <v>7.0000000000000007E-2</v>
      </c>
      <c r="AA25">
        <v>0</v>
      </c>
      <c r="AB25">
        <v>894.36</v>
      </c>
      <c r="AC25">
        <v>354.03</v>
      </c>
      <c r="AD25">
        <v>0</v>
      </c>
      <c r="AE25">
        <v>0</v>
      </c>
      <c r="AF25">
        <v>87.17</v>
      </c>
      <c r="AG25">
        <v>11.6</v>
      </c>
      <c r="AH25">
        <v>0</v>
      </c>
      <c r="AI25">
        <v>1</v>
      </c>
      <c r="AJ25">
        <v>10.26</v>
      </c>
      <c r="AK25">
        <v>30.52</v>
      </c>
      <c r="AL25">
        <v>1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3</v>
      </c>
      <c r="AT25">
        <v>7.0000000000000007E-2</v>
      </c>
      <c r="AU25" t="s">
        <v>3</v>
      </c>
      <c r="AV25">
        <v>0</v>
      </c>
      <c r="AW25">
        <v>2</v>
      </c>
      <c r="AX25">
        <v>43157113</v>
      </c>
      <c r="AY25">
        <v>1</v>
      </c>
      <c r="AZ25">
        <v>0</v>
      </c>
      <c r="BA25">
        <v>26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Y25*Source!I29</f>
        <v>7.0000000000000007E-2</v>
      </c>
      <c r="CY25">
        <f>AB25</f>
        <v>894.36</v>
      </c>
      <c r="CZ25">
        <f>AF25</f>
        <v>87.17</v>
      </c>
      <c r="DA25">
        <f>AJ25</f>
        <v>10.26</v>
      </c>
      <c r="DB25">
        <f t="shared" si="0"/>
        <v>6.1</v>
      </c>
      <c r="DC25">
        <f t="shared" si="1"/>
        <v>0.81</v>
      </c>
    </row>
    <row r="26" spans="1:107" x14ac:dyDescent="0.2">
      <c r="A26">
        <f>ROW(Source!A29)</f>
        <v>29</v>
      </c>
      <c r="B26">
        <v>43156991</v>
      </c>
      <c r="C26">
        <v>43157095</v>
      </c>
      <c r="D26">
        <v>29113980</v>
      </c>
      <c r="E26">
        <v>1</v>
      </c>
      <c r="F26">
        <v>1</v>
      </c>
      <c r="G26">
        <v>1</v>
      </c>
      <c r="H26">
        <v>3</v>
      </c>
      <c r="I26" t="s">
        <v>370</v>
      </c>
      <c r="J26" t="s">
        <v>371</v>
      </c>
      <c r="K26" t="s">
        <v>372</v>
      </c>
      <c r="L26">
        <v>1346</v>
      </c>
      <c r="N26">
        <v>1009</v>
      </c>
      <c r="O26" t="s">
        <v>315</v>
      </c>
      <c r="P26" t="s">
        <v>315</v>
      </c>
      <c r="Q26">
        <v>1</v>
      </c>
      <c r="W26">
        <v>0</v>
      </c>
      <c r="X26">
        <v>-1805966371</v>
      </c>
      <c r="Y26">
        <v>0.1</v>
      </c>
      <c r="AA26">
        <v>93.59</v>
      </c>
      <c r="AB26">
        <v>0</v>
      </c>
      <c r="AC26">
        <v>0</v>
      </c>
      <c r="AD26">
        <v>0</v>
      </c>
      <c r="AE26">
        <v>14.31</v>
      </c>
      <c r="AF26">
        <v>0</v>
      </c>
      <c r="AG26">
        <v>0</v>
      </c>
      <c r="AH26">
        <v>0</v>
      </c>
      <c r="AI26">
        <v>6.54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0.1</v>
      </c>
      <c r="AU26" t="s">
        <v>3</v>
      </c>
      <c r="AV26">
        <v>0</v>
      </c>
      <c r="AW26">
        <v>2</v>
      </c>
      <c r="AX26">
        <v>43157114</v>
      </c>
      <c r="AY26">
        <v>1</v>
      </c>
      <c r="AZ26">
        <v>0</v>
      </c>
      <c r="BA26">
        <v>27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Y26*Source!I29</f>
        <v>0.1</v>
      </c>
      <c r="CY26">
        <f>AA26</f>
        <v>93.59</v>
      </c>
      <c r="CZ26">
        <f>AE26</f>
        <v>14.31</v>
      </c>
      <c r="DA26">
        <f>AI26</f>
        <v>6.54</v>
      </c>
      <c r="DB26">
        <f t="shared" si="0"/>
        <v>1.43</v>
      </c>
      <c r="DC26">
        <f t="shared" si="1"/>
        <v>0</v>
      </c>
    </row>
    <row r="27" spans="1:107" x14ac:dyDescent="0.2">
      <c r="A27">
        <f>ROW(Source!A29)</f>
        <v>29</v>
      </c>
      <c r="B27">
        <v>43156991</v>
      </c>
      <c r="C27">
        <v>43157095</v>
      </c>
      <c r="D27">
        <v>29114246</v>
      </c>
      <c r="E27">
        <v>1</v>
      </c>
      <c r="F27">
        <v>1</v>
      </c>
      <c r="G27">
        <v>1</v>
      </c>
      <c r="H27">
        <v>3</v>
      </c>
      <c r="I27" t="s">
        <v>373</v>
      </c>
      <c r="J27" t="s">
        <v>374</v>
      </c>
      <c r="K27" t="s">
        <v>375</v>
      </c>
      <c r="L27">
        <v>1346</v>
      </c>
      <c r="N27">
        <v>1009</v>
      </c>
      <c r="O27" t="s">
        <v>315</v>
      </c>
      <c r="P27" t="s">
        <v>315</v>
      </c>
      <c r="Q27">
        <v>1</v>
      </c>
      <c r="W27">
        <v>0</v>
      </c>
      <c r="X27">
        <v>30920770</v>
      </c>
      <c r="Y27">
        <v>0.1</v>
      </c>
      <c r="AA27">
        <v>79.64</v>
      </c>
      <c r="AB27">
        <v>0</v>
      </c>
      <c r="AC27">
        <v>0</v>
      </c>
      <c r="AD27">
        <v>0</v>
      </c>
      <c r="AE27">
        <v>9.0399999999999991</v>
      </c>
      <c r="AF27">
        <v>0</v>
      </c>
      <c r="AG27">
        <v>0</v>
      </c>
      <c r="AH27">
        <v>0</v>
      </c>
      <c r="AI27">
        <v>8.81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0.1</v>
      </c>
      <c r="AU27" t="s">
        <v>3</v>
      </c>
      <c r="AV27">
        <v>0</v>
      </c>
      <c r="AW27">
        <v>2</v>
      </c>
      <c r="AX27">
        <v>43157115</v>
      </c>
      <c r="AY27">
        <v>1</v>
      </c>
      <c r="AZ27">
        <v>0</v>
      </c>
      <c r="BA27">
        <v>28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Y27*Source!I29</f>
        <v>0.1</v>
      </c>
      <c r="CY27">
        <f>AA27</f>
        <v>79.64</v>
      </c>
      <c r="CZ27">
        <f>AE27</f>
        <v>9.0399999999999991</v>
      </c>
      <c r="DA27">
        <f>AI27</f>
        <v>8.81</v>
      </c>
      <c r="DB27">
        <f t="shared" si="0"/>
        <v>0.9</v>
      </c>
      <c r="DC27">
        <f t="shared" si="1"/>
        <v>0</v>
      </c>
    </row>
    <row r="28" spans="1:107" x14ac:dyDescent="0.2">
      <c r="A28">
        <f>ROW(Source!A29)</f>
        <v>29</v>
      </c>
      <c r="B28">
        <v>43156991</v>
      </c>
      <c r="C28">
        <v>43157095</v>
      </c>
      <c r="D28">
        <v>29110426</v>
      </c>
      <c r="E28">
        <v>1</v>
      </c>
      <c r="F28">
        <v>1</v>
      </c>
      <c r="G28">
        <v>1</v>
      </c>
      <c r="H28">
        <v>3</v>
      </c>
      <c r="I28" t="s">
        <v>376</v>
      </c>
      <c r="J28" t="s">
        <v>377</v>
      </c>
      <c r="K28" t="s">
        <v>378</v>
      </c>
      <c r="L28">
        <v>1346</v>
      </c>
      <c r="N28">
        <v>1009</v>
      </c>
      <c r="O28" t="s">
        <v>315</v>
      </c>
      <c r="P28" t="s">
        <v>315</v>
      </c>
      <c r="Q28">
        <v>1</v>
      </c>
      <c r="W28">
        <v>0</v>
      </c>
      <c r="X28">
        <v>-1768004575</v>
      </c>
      <c r="Y28">
        <v>0.02</v>
      </c>
      <c r="AA28">
        <v>63.36</v>
      </c>
      <c r="AB28">
        <v>0</v>
      </c>
      <c r="AC28">
        <v>0</v>
      </c>
      <c r="AD28">
        <v>0</v>
      </c>
      <c r="AE28">
        <v>28.67</v>
      </c>
      <c r="AF28">
        <v>0</v>
      </c>
      <c r="AG28">
        <v>0</v>
      </c>
      <c r="AH28">
        <v>0</v>
      </c>
      <c r="AI28">
        <v>2.21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0.02</v>
      </c>
      <c r="AU28" t="s">
        <v>3</v>
      </c>
      <c r="AV28">
        <v>0</v>
      </c>
      <c r="AW28">
        <v>2</v>
      </c>
      <c r="AX28">
        <v>43157116</v>
      </c>
      <c r="AY28">
        <v>1</v>
      </c>
      <c r="AZ28">
        <v>0</v>
      </c>
      <c r="BA28">
        <v>29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Y28*Source!I29</f>
        <v>0.02</v>
      </c>
      <c r="CY28">
        <f>AA28</f>
        <v>63.36</v>
      </c>
      <c r="CZ28">
        <f>AE28</f>
        <v>28.67</v>
      </c>
      <c r="DA28">
        <f>AI28</f>
        <v>2.21</v>
      </c>
      <c r="DB28">
        <f t="shared" si="0"/>
        <v>0.56999999999999995</v>
      </c>
      <c r="DC28">
        <f t="shared" si="1"/>
        <v>0</v>
      </c>
    </row>
    <row r="29" spans="1:107" x14ac:dyDescent="0.2">
      <c r="A29">
        <f>ROW(Source!A29)</f>
        <v>29</v>
      </c>
      <c r="B29">
        <v>43156991</v>
      </c>
      <c r="C29">
        <v>43157095</v>
      </c>
      <c r="D29">
        <v>29171808</v>
      </c>
      <c r="E29">
        <v>1</v>
      </c>
      <c r="F29">
        <v>1</v>
      </c>
      <c r="G29">
        <v>1</v>
      </c>
      <c r="H29">
        <v>3</v>
      </c>
      <c r="I29" t="s">
        <v>334</v>
      </c>
      <c r="J29" t="s">
        <v>335</v>
      </c>
      <c r="K29" t="s">
        <v>336</v>
      </c>
      <c r="L29">
        <v>1374</v>
      </c>
      <c r="N29">
        <v>1013</v>
      </c>
      <c r="O29" t="s">
        <v>337</v>
      </c>
      <c r="P29" t="s">
        <v>337</v>
      </c>
      <c r="Q29">
        <v>1</v>
      </c>
      <c r="W29">
        <v>0</v>
      </c>
      <c r="X29">
        <v>-915781824</v>
      </c>
      <c r="Y29">
        <v>0.47</v>
      </c>
      <c r="AA29">
        <v>1</v>
      </c>
      <c r="AB29">
        <v>0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0.47</v>
      </c>
      <c r="AU29" t="s">
        <v>3</v>
      </c>
      <c r="AV29">
        <v>0</v>
      </c>
      <c r="AW29">
        <v>2</v>
      </c>
      <c r="AX29">
        <v>43157117</v>
      </c>
      <c r="AY29">
        <v>1</v>
      </c>
      <c r="AZ29">
        <v>0</v>
      </c>
      <c r="BA29">
        <v>30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Y29*Source!I29</f>
        <v>0.47</v>
      </c>
      <c r="CY29">
        <f>AA29</f>
        <v>1</v>
      </c>
      <c r="CZ29">
        <f>AE29</f>
        <v>1</v>
      </c>
      <c r="DA29">
        <f>AI29</f>
        <v>1</v>
      </c>
      <c r="DB29">
        <f t="shared" si="0"/>
        <v>0.47</v>
      </c>
      <c r="DC29">
        <f t="shared" si="1"/>
        <v>0</v>
      </c>
    </row>
    <row r="30" spans="1:107" x14ac:dyDescent="0.2">
      <c r="A30">
        <f>ROW(Source!A31)</f>
        <v>31</v>
      </c>
      <c r="B30">
        <v>43156991</v>
      </c>
      <c r="C30">
        <v>43157119</v>
      </c>
      <c r="D30">
        <v>29372988</v>
      </c>
      <c r="E30">
        <v>1</v>
      </c>
      <c r="F30">
        <v>1</v>
      </c>
      <c r="G30">
        <v>1</v>
      </c>
      <c r="H30">
        <v>1</v>
      </c>
      <c r="I30" t="s">
        <v>379</v>
      </c>
      <c r="J30" t="s">
        <v>3</v>
      </c>
      <c r="K30" t="s">
        <v>380</v>
      </c>
      <c r="L30">
        <v>1369</v>
      </c>
      <c r="N30">
        <v>1013</v>
      </c>
      <c r="O30" t="s">
        <v>304</v>
      </c>
      <c r="P30" t="s">
        <v>304</v>
      </c>
      <c r="Q30">
        <v>1</v>
      </c>
      <c r="W30">
        <v>0</v>
      </c>
      <c r="X30">
        <v>-1569667371</v>
      </c>
      <c r="Y30">
        <v>10.1</v>
      </c>
      <c r="AA30">
        <v>0</v>
      </c>
      <c r="AB30">
        <v>0</v>
      </c>
      <c r="AC30">
        <v>0</v>
      </c>
      <c r="AD30">
        <v>11.09</v>
      </c>
      <c r="AE30">
        <v>0</v>
      </c>
      <c r="AF30">
        <v>0</v>
      </c>
      <c r="AG30">
        <v>0</v>
      </c>
      <c r="AH30">
        <v>11.09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3</v>
      </c>
      <c r="AT30">
        <v>10.1</v>
      </c>
      <c r="AU30" t="s">
        <v>3</v>
      </c>
      <c r="AV30">
        <v>1</v>
      </c>
      <c r="AW30">
        <v>2</v>
      </c>
      <c r="AX30">
        <v>43157136</v>
      </c>
      <c r="AY30">
        <v>1</v>
      </c>
      <c r="AZ30">
        <v>0</v>
      </c>
      <c r="BA30">
        <v>31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Y30*Source!I31</f>
        <v>10.1</v>
      </c>
      <c r="CY30">
        <f>AD30</f>
        <v>11.09</v>
      </c>
      <c r="CZ30">
        <f>AH30</f>
        <v>11.09</v>
      </c>
      <c r="DA30">
        <f>AL30</f>
        <v>1</v>
      </c>
      <c r="DB30">
        <f t="shared" si="0"/>
        <v>112.01</v>
      </c>
      <c r="DC30">
        <f t="shared" si="1"/>
        <v>0</v>
      </c>
    </row>
    <row r="31" spans="1:107" x14ac:dyDescent="0.2">
      <c r="A31">
        <f>ROW(Source!A31)</f>
        <v>31</v>
      </c>
      <c r="B31">
        <v>43156991</v>
      </c>
      <c r="C31">
        <v>43157119</v>
      </c>
      <c r="D31">
        <v>121548</v>
      </c>
      <c r="E31">
        <v>1</v>
      </c>
      <c r="F31">
        <v>1</v>
      </c>
      <c r="G31">
        <v>1</v>
      </c>
      <c r="H31">
        <v>1</v>
      </c>
      <c r="I31" t="s">
        <v>28</v>
      </c>
      <c r="J31" t="s">
        <v>3</v>
      </c>
      <c r="K31" t="s">
        <v>353</v>
      </c>
      <c r="L31">
        <v>608254</v>
      </c>
      <c r="N31">
        <v>1013</v>
      </c>
      <c r="O31" t="s">
        <v>354</v>
      </c>
      <c r="P31" t="s">
        <v>354</v>
      </c>
      <c r="Q31">
        <v>1</v>
      </c>
      <c r="W31">
        <v>0</v>
      </c>
      <c r="X31">
        <v>-185737400</v>
      </c>
      <c r="Y31">
        <v>0.44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3</v>
      </c>
      <c r="AT31">
        <v>0.44</v>
      </c>
      <c r="AU31" t="s">
        <v>3</v>
      </c>
      <c r="AV31">
        <v>2</v>
      </c>
      <c r="AW31">
        <v>2</v>
      </c>
      <c r="AX31">
        <v>43157137</v>
      </c>
      <c r="AY31">
        <v>1</v>
      </c>
      <c r="AZ31">
        <v>0</v>
      </c>
      <c r="BA31">
        <v>32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Y31*Source!I31</f>
        <v>0.44</v>
      </c>
      <c r="CY31">
        <f>AD31</f>
        <v>0</v>
      </c>
      <c r="CZ31">
        <f>AH31</f>
        <v>0</v>
      </c>
      <c r="DA31">
        <f>AL31</f>
        <v>1</v>
      </c>
      <c r="DB31">
        <f t="shared" si="0"/>
        <v>0</v>
      </c>
      <c r="DC31">
        <f t="shared" si="1"/>
        <v>0</v>
      </c>
    </row>
    <row r="32" spans="1:107" x14ac:dyDescent="0.2">
      <c r="A32">
        <f>ROW(Source!A31)</f>
        <v>31</v>
      </c>
      <c r="B32">
        <v>43156991</v>
      </c>
      <c r="C32">
        <v>43157119</v>
      </c>
      <c r="D32">
        <v>29172479</v>
      </c>
      <c r="E32">
        <v>1</v>
      </c>
      <c r="F32">
        <v>1</v>
      </c>
      <c r="G32">
        <v>1</v>
      </c>
      <c r="H32">
        <v>2</v>
      </c>
      <c r="I32" t="s">
        <v>381</v>
      </c>
      <c r="J32" t="s">
        <v>382</v>
      </c>
      <c r="K32" t="s">
        <v>383</v>
      </c>
      <c r="L32">
        <v>1368</v>
      </c>
      <c r="N32">
        <v>1011</v>
      </c>
      <c r="O32" t="s">
        <v>343</v>
      </c>
      <c r="P32" t="s">
        <v>343</v>
      </c>
      <c r="Q32">
        <v>1</v>
      </c>
      <c r="W32">
        <v>0</v>
      </c>
      <c r="X32">
        <v>1549832887</v>
      </c>
      <c r="Y32">
        <v>0.44</v>
      </c>
      <c r="AA32">
        <v>0</v>
      </c>
      <c r="AB32">
        <v>850.06</v>
      </c>
      <c r="AC32">
        <v>307.02999999999997</v>
      </c>
      <c r="AD32">
        <v>0</v>
      </c>
      <c r="AE32">
        <v>0</v>
      </c>
      <c r="AF32">
        <v>99.89</v>
      </c>
      <c r="AG32">
        <v>10.06</v>
      </c>
      <c r="AH32">
        <v>0</v>
      </c>
      <c r="AI32">
        <v>1</v>
      </c>
      <c r="AJ32">
        <v>8.51</v>
      </c>
      <c r="AK32">
        <v>30.52</v>
      </c>
      <c r="AL32">
        <v>1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3</v>
      </c>
      <c r="AT32">
        <v>0.44</v>
      </c>
      <c r="AU32" t="s">
        <v>3</v>
      </c>
      <c r="AV32">
        <v>0</v>
      </c>
      <c r="AW32">
        <v>2</v>
      </c>
      <c r="AX32">
        <v>43157138</v>
      </c>
      <c r="AY32">
        <v>1</v>
      </c>
      <c r="AZ32">
        <v>0</v>
      </c>
      <c r="BA32">
        <v>33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Y32*Source!I31</f>
        <v>0.44</v>
      </c>
      <c r="CY32">
        <f>AB32</f>
        <v>850.06</v>
      </c>
      <c r="CZ32">
        <f>AF32</f>
        <v>99.89</v>
      </c>
      <c r="DA32">
        <f>AJ32</f>
        <v>8.51</v>
      </c>
      <c r="DB32">
        <f t="shared" si="0"/>
        <v>43.95</v>
      </c>
      <c r="DC32">
        <f t="shared" si="1"/>
        <v>4.43</v>
      </c>
    </row>
    <row r="33" spans="1:107" x14ac:dyDescent="0.2">
      <c r="A33">
        <f>ROW(Source!A31)</f>
        <v>31</v>
      </c>
      <c r="B33">
        <v>43156991</v>
      </c>
      <c r="C33">
        <v>43157119</v>
      </c>
      <c r="D33">
        <v>29110546</v>
      </c>
      <c r="E33">
        <v>1</v>
      </c>
      <c r="F33">
        <v>1</v>
      </c>
      <c r="G33">
        <v>1</v>
      </c>
      <c r="H33">
        <v>3</v>
      </c>
      <c r="I33" t="s">
        <v>384</v>
      </c>
      <c r="J33" t="s">
        <v>385</v>
      </c>
      <c r="K33" t="s">
        <v>386</v>
      </c>
      <c r="L33">
        <v>1346</v>
      </c>
      <c r="N33">
        <v>1009</v>
      </c>
      <c r="O33" t="s">
        <v>315</v>
      </c>
      <c r="P33" t="s">
        <v>315</v>
      </c>
      <c r="Q33">
        <v>1</v>
      </c>
      <c r="W33">
        <v>0</v>
      </c>
      <c r="X33">
        <v>2102179917</v>
      </c>
      <c r="Y33">
        <v>0.03</v>
      </c>
      <c r="AA33">
        <v>137.88999999999999</v>
      </c>
      <c r="AB33">
        <v>0</v>
      </c>
      <c r="AC33">
        <v>0</v>
      </c>
      <c r="AD33">
        <v>0</v>
      </c>
      <c r="AE33">
        <v>35.630000000000003</v>
      </c>
      <c r="AF33">
        <v>0</v>
      </c>
      <c r="AG33">
        <v>0</v>
      </c>
      <c r="AH33">
        <v>0</v>
      </c>
      <c r="AI33">
        <v>3.87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0.03</v>
      </c>
      <c r="AU33" t="s">
        <v>3</v>
      </c>
      <c r="AV33">
        <v>0</v>
      </c>
      <c r="AW33">
        <v>2</v>
      </c>
      <c r="AX33">
        <v>43157139</v>
      </c>
      <c r="AY33">
        <v>1</v>
      </c>
      <c r="AZ33">
        <v>0</v>
      </c>
      <c r="BA33">
        <v>34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Y33*Source!I31</f>
        <v>0.03</v>
      </c>
      <c r="CY33">
        <f t="shared" ref="CY33:CY45" si="5">AA33</f>
        <v>137.88999999999999</v>
      </c>
      <c r="CZ33">
        <f t="shared" ref="CZ33:CZ45" si="6">AE33</f>
        <v>35.630000000000003</v>
      </c>
      <c r="DA33">
        <f t="shared" ref="DA33:DA45" si="7">AI33</f>
        <v>3.87</v>
      </c>
      <c r="DB33">
        <f t="shared" ref="DB33:DB64" si="8">ROUND(ROUND(AT33*CZ33,2),2)</f>
        <v>1.07</v>
      </c>
      <c r="DC33">
        <f t="shared" ref="DC33:DC64" si="9">ROUND(ROUND(AT33*AG33,2),2)</f>
        <v>0</v>
      </c>
    </row>
    <row r="34" spans="1:107" x14ac:dyDescent="0.2">
      <c r="A34">
        <f>ROW(Source!A31)</f>
        <v>31</v>
      </c>
      <c r="B34">
        <v>43156991</v>
      </c>
      <c r="C34">
        <v>43157119</v>
      </c>
      <c r="D34">
        <v>29110439</v>
      </c>
      <c r="E34">
        <v>1</v>
      </c>
      <c r="F34">
        <v>1</v>
      </c>
      <c r="G34">
        <v>1</v>
      </c>
      <c r="H34">
        <v>3</v>
      </c>
      <c r="I34" t="s">
        <v>387</v>
      </c>
      <c r="J34" t="s">
        <v>388</v>
      </c>
      <c r="K34" t="s">
        <v>389</v>
      </c>
      <c r="L34">
        <v>1348</v>
      </c>
      <c r="N34">
        <v>1009</v>
      </c>
      <c r="O34" t="s">
        <v>308</v>
      </c>
      <c r="P34" t="s">
        <v>308</v>
      </c>
      <c r="Q34">
        <v>1000</v>
      </c>
      <c r="W34">
        <v>0</v>
      </c>
      <c r="X34">
        <v>-764270001</v>
      </c>
      <c r="Y34">
        <v>2.0000000000000002E-5</v>
      </c>
      <c r="AA34">
        <v>52325.81</v>
      </c>
      <c r="AB34">
        <v>0</v>
      </c>
      <c r="AC34">
        <v>0</v>
      </c>
      <c r="AD34">
        <v>0</v>
      </c>
      <c r="AE34">
        <v>15481.01</v>
      </c>
      <c r="AF34">
        <v>0</v>
      </c>
      <c r="AG34">
        <v>0</v>
      </c>
      <c r="AH34">
        <v>0</v>
      </c>
      <c r="AI34">
        <v>3.38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2.0000000000000002E-5</v>
      </c>
      <c r="AU34" t="s">
        <v>3</v>
      </c>
      <c r="AV34">
        <v>0</v>
      </c>
      <c r="AW34">
        <v>2</v>
      </c>
      <c r="AX34">
        <v>43157140</v>
      </c>
      <c r="AY34">
        <v>1</v>
      </c>
      <c r="AZ34">
        <v>0</v>
      </c>
      <c r="BA34">
        <v>35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Y34*Source!I31</f>
        <v>2.0000000000000002E-5</v>
      </c>
      <c r="CY34">
        <f t="shared" si="5"/>
        <v>52325.81</v>
      </c>
      <c r="CZ34">
        <f t="shared" si="6"/>
        <v>15481.01</v>
      </c>
      <c r="DA34">
        <f t="shared" si="7"/>
        <v>3.38</v>
      </c>
      <c r="DB34">
        <f t="shared" si="8"/>
        <v>0.31</v>
      </c>
      <c r="DC34">
        <f t="shared" si="9"/>
        <v>0</v>
      </c>
    </row>
    <row r="35" spans="1:107" x14ac:dyDescent="0.2">
      <c r="A35">
        <f>ROW(Source!A31)</f>
        <v>31</v>
      </c>
      <c r="B35">
        <v>43156991</v>
      </c>
      <c r="C35">
        <v>43157119</v>
      </c>
      <c r="D35">
        <v>29107468</v>
      </c>
      <c r="E35">
        <v>1</v>
      </c>
      <c r="F35">
        <v>1</v>
      </c>
      <c r="G35">
        <v>1</v>
      </c>
      <c r="H35">
        <v>3</v>
      </c>
      <c r="I35" t="s">
        <v>312</v>
      </c>
      <c r="J35" t="s">
        <v>313</v>
      </c>
      <c r="K35" t="s">
        <v>314</v>
      </c>
      <c r="L35">
        <v>1346</v>
      </c>
      <c r="N35">
        <v>1009</v>
      </c>
      <c r="O35" t="s">
        <v>315</v>
      </c>
      <c r="P35" t="s">
        <v>315</v>
      </c>
      <c r="Q35">
        <v>1</v>
      </c>
      <c r="W35">
        <v>0</v>
      </c>
      <c r="X35">
        <v>-1457260288</v>
      </c>
      <c r="Y35">
        <v>0.01</v>
      </c>
      <c r="AA35">
        <v>204.57</v>
      </c>
      <c r="AB35">
        <v>0</v>
      </c>
      <c r="AC35">
        <v>0</v>
      </c>
      <c r="AD35">
        <v>0</v>
      </c>
      <c r="AE35">
        <v>12.62</v>
      </c>
      <c r="AF35">
        <v>0</v>
      </c>
      <c r="AG35">
        <v>0</v>
      </c>
      <c r="AH35">
        <v>0</v>
      </c>
      <c r="AI35">
        <v>16.21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0.01</v>
      </c>
      <c r="AU35" t="s">
        <v>3</v>
      </c>
      <c r="AV35">
        <v>0</v>
      </c>
      <c r="AW35">
        <v>2</v>
      </c>
      <c r="AX35">
        <v>43157141</v>
      </c>
      <c r="AY35">
        <v>1</v>
      </c>
      <c r="AZ35">
        <v>0</v>
      </c>
      <c r="BA35">
        <v>36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Y35*Source!I31</f>
        <v>0.01</v>
      </c>
      <c r="CY35">
        <f t="shared" si="5"/>
        <v>204.57</v>
      </c>
      <c r="CZ35">
        <f t="shared" si="6"/>
        <v>12.62</v>
      </c>
      <c r="DA35">
        <f t="shared" si="7"/>
        <v>16.21</v>
      </c>
      <c r="DB35">
        <f t="shared" si="8"/>
        <v>0.13</v>
      </c>
      <c r="DC35">
        <f t="shared" si="9"/>
        <v>0</v>
      </c>
    </row>
    <row r="36" spans="1:107" x14ac:dyDescent="0.2">
      <c r="A36">
        <f>ROW(Source!A31)</f>
        <v>31</v>
      </c>
      <c r="B36">
        <v>43156991</v>
      </c>
      <c r="C36">
        <v>43157119</v>
      </c>
      <c r="D36">
        <v>29114246</v>
      </c>
      <c r="E36">
        <v>1</v>
      </c>
      <c r="F36">
        <v>1</v>
      </c>
      <c r="G36">
        <v>1</v>
      </c>
      <c r="H36">
        <v>3</v>
      </c>
      <c r="I36" t="s">
        <v>373</v>
      </c>
      <c r="J36" t="s">
        <v>374</v>
      </c>
      <c r="K36" t="s">
        <v>375</v>
      </c>
      <c r="L36">
        <v>1346</v>
      </c>
      <c r="N36">
        <v>1009</v>
      </c>
      <c r="O36" t="s">
        <v>315</v>
      </c>
      <c r="P36" t="s">
        <v>315</v>
      </c>
      <c r="Q36">
        <v>1</v>
      </c>
      <c r="W36">
        <v>0</v>
      </c>
      <c r="X36">
        <v>30920770</v>
      </c>
      <c r="Y36">
        <v>0.3</v>
      </c>
      <c r="AA36">
        <v>79.64</v>
      </c>
      <c r="AB36">
        <v>0</v>
      </c>
      <c r="AC36">
        <v>0</v>
      </c>
      <c r="AD36">
        <v>0</v>
      </c>
      <c r="AE36">
        <v>9.0399999999999991</v>
      </c>
      <c r="AF36">
        <v>0</v>
      </c>
      <c r="AG36">
        <v>0</v>
      </c>
      <c r="AH36">
        <v>0</v>
      </c>
      <c r="AI36">
        <v>8.81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0.3</v>
      </c>
      <c r="AU36" t="s">
        <v>3</v>
      </c>
      <c r="AV36">
        <v>0</v>
      </c>
      <c r="AW36">
        <v>2</v>
      </c>
      <c r="AX36">
        <v>43157142</v>
      </c>
      <c r="AY36">
        <v>1</v>
      </c>
      <c r="AZ36">
        <v>0</v>
      </c>
      <c r="BA36">
        <v>37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Y36*Source!I31</f>
        <v>0.3</v>
      </c>
      <c r="CY36">
        <f t="shared" si="5"/>
        <v>79.64</v>
      </c>
      <c r="CZ36">
        <f t="shared" si="6"/>
        <v>9.0399999999999991</v>
      </c>
      <c r="DA36">
        <f t="shared" si="7"/>
        <v>8.81</v>
      </c>
      <c r="DB36">
        <f t="shared" si="8"/>
        <v>2.71</v>
      </c>
      <c r="DC36">
        <f t="shared" si="9"/>
        <v>0</v>
      </c>
    </row>
    <row r="37" spans="1:107" x14ac:dyDescent="0.2">
      <c r="A37">
        <f>ROW(Source!A31)</f>
        <v>31</v>
      </c>
      <c r="B37">
        <v>43156991</v>
      </c>
      <c r="C37">
        <v>43157119</v>
      </c>
      <c r="D37">
        <v>29114480</v>
      </c>
      <c r="E37">
        <v>1</v>
      </c>
      <c r="F37">
        <v>1</v>
      </c>
      <c r="G37">
        <v>1</v>
      </c>
      <c r="H37">
        <v>3</v>
      </c>
      <c r="I37" t="s">
        <v>344</v>
      </c>
      <c r="J37" t="s">
        <v>345</v>
      </c>
      <c r="K37" t="s">
        <v>346</v>
      </c>
      <c r="L37">
        <v>1355</v>
      </c>
      <c r="N37">
        <v>1010</v>
      </c>
      <c r="O37" t="s">
        <v>347</v>
      </c>
      <c r="P37" t="s">
        <v>347</v>
      </c>
      <c r="Q37">
        <v>100</v>
      </c>
      <c r="W37">
        <v>0</v>
      </c>
      <c r="X37">
        <v>-1517924343</v>
      </c>
      <c r="Y37">
        <v>0.1</v>
      </c>
      <c r="AA37">
        <v>287.18</v>
      </c>
      <c r="AB37">
        <v>0</v>
      </c>
      <c r="AC37">
        <v>0</v>
      </c>
      <c r="AD37">
        <v>0</v>
      </c>
      <c r="AE37">
        <v>83</v>
      </c>
      <c r="AF37">
        <v>0</v>
      </c>
      <c r="AG37">
        <v>0</v>
      </c>
      <c r="AH37">
        <v>0</v>
      </c>
      <c r="AI37">
        <v>3.46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0.1</v>
      </c>
      <c r="AU37" t="s">
        <v>3</v>
      </c>
      <c r="AV37">
        <v>0</v>
      </c>
      <c r="AW37">
        <v>2</v>
      </c>
      <c r="AX37">
        <v>43157143</v>
      </c>
      <c r="AY37">
        <v>1</v>
      </c>
      <c r="AZ37">
        <v>0</v>
      </c>
      <c r="BA37">
        <v>38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Y37*Source!I31</f>
        <v>0.1</v>
      </c>
      <c r="CY37">
        <f t="shared" si="5"/>
        <v>287.18</v>
      </c>
      <c r="CZ37">
        <f t="shared" si="6"/>
        <v>83</v>
      </c>
      <c r="DA37">
        <f t="shared" si="7"/>
        <v>3.46</v>
      </c>
      <c r="DB37">
        <f t="shared" si="8"/>
        <v>8.3000000000000007</v>
      </c>
      <c r="DC37">
        <f t="shared" si="9"/>
        <v>0</v>
      </c>
    </row>
    <row r="38" spans="1:107" x14ac:dyDescent="0.2">
      <c r="A38">
        <f>ROW(Source!A31)</f>
        <v>31</v>
      </c>
      <c r="B38">
        <v>43156991</v>
      </c>
      <c r="C38">
        <v>43157119</v>
      </c>
      <c r="D38">
        <v>29110831</v>
      </c>
      <c r="E38">
        <v>1</v>
      </c>
      <c r="F38">
        <v>1</v>
      </c>
      <c r="G38">
        <v>1</v>
      </c>
      <c r="H38">
        <v>3</v>
      </c>
      <c r="I38" t="s">
        <v>322</v>
      </c>
      <c r="J38" t="s">
        <v>323</v>
      </c>
      <c r="K38" t="s">
        <v>324</v>
      </c>
      <c r="L38">
        <v>1346</v>
      </c>
      <c r="N38">
        <v>1009</v>
      </c>
      <c r="O38" t="s">
        <v>315</v>
      </c>
      <c r="P38" t="s">
        <v>315</v>
      </c>
      <c r="Q38">
        <v>1</v>
      </c>
      <c r="W38">
        <v>0</v>
      </c>
      <c r="X38">
        <v>986031574</v>
      </c>
      <c r="Y38">
        <v>0.02</v>
      </c>
      <c r="AA38">
        <v>160.66999999999999</v>
      </c>
      <c r="AB38">
        <v>0</v>
      </c>
      <c r="AC38">
        <v>0</v>
      </c>
      <c r="AD38">
        <v>0</v>
      </c>
      <c r="AE38">
        <v>91.29</v>
      </c>
      <c r="AF38">
        <v>0</v>
      </c>
      <c r="AG38">
        <v>0</v>
      </c>
      <c r="AH38">
        <v>0</v>
      </c>
      <c r="AI38">
        <v>1.76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0.02</v>
      </c>
      <c r="AU38" t="s">
        <v>3</v>
      </c>
      <c r="AV38">
        <v>0</v>
      </c>
      <c r="AW38">
        <v>2</v>
      </c>
      <c r="AX38">
        <v>43157144</v>
      </c>
      <c r="AY38">
        <v>1</v>
      </c>
      <c r="AZ38">
        <v>0</v>
      </c>
      <c r="BA38">
        <v>39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Y38*Source!I31</f>
        <v>0.02</v>
      </c>
      <c r="CY38">
        <f t="shared" si="5"/>
        <v>160.66999999999999</v>
      </c>
      <c r="CZ38">
        <f t="shared" si="6"/>
        <v>91.29</v>
      </c>
      <c r="DA38">
        <f t="shared" si="7"/>
        <v>1.76</v>
      </c>
      <c r="DB38">
        <f t="shared" si="8"/>
        <v>1.83</v>
      </c>
      <c r="DC38">
        <f t="shared" si="9"/>
        <v>0</v>
      </c>
    </row>
    <row r="39" spans="1:107" x14ac:dyDescent="0.2">
      <c r="A39">
        <f>ROW(Source!A31)</f>
        <v>31</v>
      </c>
      <c r="B39">
        <v>43156991</v>
      </c>
      <c r="C39">
        <v>43157119</v>
      </c>
      <c r="D39">
        <v>29121587</v>
      </c>
      <c r="E39">
        <v>1</v>
      </c>
      <c r="F39">
        <v>1</v>
      </c>
      <c r="G39">
        <v>1</v>
      </c>
      <c r="H39">
        <v>3</v>
      </c>
      <c r="I39" t="s">
        <v>390</v>
      </c>
      <c r="J39" t="s">
        <v>391</v>
      </c>
      <c r="K39" t="s">
        <v>392</v>
      </c>
      <c r="L39">
        <v>1346</v>
      </c>
      <c r="N39">
        <v>1009</v>
      </c>
      <c r="O39" t="s">
        <v>315</v>
      </c>
      <c r="P39" t="s">
        <v>315</v>
      </c>
      <c r="Q39">
        <v>1</v>
      </c>
      <c r="W39">
        <v>0</v>
      </c>
      <c r="X39">
        <v>-779841283</v>
      </c>
      <c r="Y39">
        <v>0.02</v>
      </c>
      <c r="AA39">
        <v>82.02</v>
      </c>
      <c r="AB39">
        <v>0</v>
      </c>
      <c r="AC39">
        <v>0</v>
      </c>
      <c r="AD39">
        <v>0</v>
      </c>
      <c r="AE39">
        <v>15.36</v>
      </c>
      <c r="AF39">
        <v>0</v>
      </c>
      <c r="AG39">
        <v>0</v>
      </c>
      <c r="AH39">
        <v>0</v>
      </c>
      <c r="AI39">
        <v>5.34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0.02</v>
      </c>
      <c r="AU39" t="s">
        <v>3</v>
      </c>
      <c r="AV39">
        <v>0</v>
      </c>
      <c r="AW39">
        <v>2</v>
      </c>
      <c r="AX39">
        <v>43157145</v>
      </c>
      <c r="AY39">
        <v>1</v>
      </c>
      <c r="AZ39">
        <v>0</v>
      </c>
      <c r="BA39">
        <v>40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Y39*Source!I31</f>
        <v>0.02</v>
      </c>
      <c r="CY39">
        <f t="shared" si="5"/>
        <v>82.02</v>
      </c>
      <c r="CZ39">
        <f t="shared" si="6"/>
        <v>15.36</v>
      </c>
      <c r="DA39">
        <f t="shared" si="7"/>
        <v>5.34</v>
      </c>
      <c r="DB39">
        <f t="shared" si="8"/>
        <v>0.31</v>
      </c>
      <c r="DC39">
        <f t="shared" si="9"/>
        <v>0</v>
      </c>
    </row>
    <row r="40" spans="1:107" x14ac:dyDescent="0.2">
      <c r="A40">
        <f>ROW(Source!A31)</f>
        <v>31</v>
      </c>
      <c r="B40">
        <v>43156991</v>
      </c>
      <c r="C40">
        <v>43157119</v>
      </c>
      <c r="D40">
        <v>29149204</v>
      </c>
      <c r="E40">
        <v>1</v>
      </c>
      <c r="F40">
        <v>1</v>
      </c>
      <c r="G40">
        <v>1</v>
      </c>
      <c r="H40">
        <v>3</v>
      </c>
      <c r="I40" t="s">
        <v>348</v>
      </c>
      <c r="J40" t="s">
        <v>349</v>
      </c>
      <c r="K40" t="s">
        <v>350</v>
      </c>
      <c r="L40">
        <v>1348</v>
      </c>
      <c r="N40">
        <v>1009</v>
      </c>
      <c r="O40" t="s">
        <v>308</v>
      </c>
      <c r="P40" t="s">
        <v>308</v>
      </c>
      <c r="Q40">
        <v>1000</v>
      </c>
      <c r="W40">
        <v>0</v>
      </c>
      <c r="X40">
        <v>-601557392</v>
      </c>
      <c r="Y40">
        <v>2.9999999999999997E-4</v>
      </c>
      <c r="AA40">
        <v>4963.8599999999997</v>
      </c>
      <c r="AB40">
        <v>0</v>
      </c>
      <c r="AC40">
        <v>0</v>
      </c>
      <c r="AD40">
        <v>0</v>
      </c>
      <c r="AE40">
        <v>729.98</v>
      </c>
      <c r="AF40">
        <v>0</v>
      </c>
      <c r="AG40">
        <v>0</v>
      </c>
      <c r="AH40">
        <v>0</v>
      </c>
      <c r="AI40">
        <v>6.8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2.9999999999999997E-4</v>
      </c>
      <c r="AU40" t="s">
        <v>3</v>
      </c>
      <c r="AV40">
        <v>0</v>
      </c>
      <c r="AW40">
        <v>2</v>
      </c>
      <c r="AX40">
        <v>43157146</v>
      </c>
      <c r="AY40">
        <v>1</v>
      </c>
      <c r="AZ40">
        <v>0</v>
      </c>
      <c r="BA40">
        <v>41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Y40*Source!I31</f>
        <v>2.9999999999999997E-4</v>
      </c>
      <c r="CY40">
        <f t="shared" si="5"/>
        <v>4963.8599999999997</v>
      </c>
      <c r="CZ40">
        <f t="shared" si="6"/>
        <v>729.98</v>
      </c>
      <c r="DA40">
        <f t="shared" si="7"/>
        <v>6.8</v>
      </c>
      <c r="DB40">
        <f t="shared" si="8"/>
        <v>0.22</v>
      </c>
      <c r="DC40">
        <f t="shared" si="9"/>
        <v>0</v>
      </c>
    </row>
    <row r="41" spans="1:107" x14ac:dyDescent="0.2">
      <c r="A41">
        <f>ROW(Source!A31)</f>
        <v>31</v>
      </c>
      <c r="B41">
        <v>43156991</v>
      </c>
      <c r="C41">
        <v>43157119</v>
      </c>
      <c r="D41">
        <v>29157436</v>
      </c>
      <c r="E41">
        <v>1</v>
      </c>
      <c r="F41">
        <v>1</v>
      </c>
      <c r="G41">
        <v>1</v>
      </c>
      <c r="H41">
        <v>3</v>
      </c>
      <c r="I41" t="s">
        <v>393</v>
      </c>
      <c r="J41" t="s">
        <v>394</v>
      </c>
      <c r="K41" t="s">
        <v>395</v>
      </c>
      <c r="L41">
        <v>1348</v>
      </c>
      <c r="N41">
        <v>1009</v>
      </c>
      <c r="O41" t="s">
        <v>308</v>
      </c>
      <c r="P41" t="s">
        <v>308</v>
      </c>
      <c r="Q41">
        <v>1000</v>
      </c>
      <c r="W41">
        <v>0</v>
      </c>
      <c r="X41">
        <v>570325225</v>
      </c>
      <c r="Y41">
        <v>1E-4</v>
      </c>
      <c r="AA41">
        <v>620906.52</v>
      </c>
      <c r="AB41">
        <v>0</v>
      </c>
      <c r="AC41">
        <v>0</v>
      </c>
      <c r="AD41">
        <v>0</v>
      </c>
      <c r="AE41">
        <v>37517.01</v>
      </c>
      <c r="AF41">
        <v>0</v>
      </c>
      <c r="AG41">
        <v>0</v>
      </c>
      <c r="AH41">
        <v>0</v>
      </c>
      <c r="AI41">
        <v>16.55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1E-4</v>
      </c>
      <c r="AU41" t="s">
        <v>3</v>
      </c>
      <c r="AV41">
        <v>0</v>
      </c>
      <c r="AW41">
        <v>2</v>
      </c>
      <c r="AX41">
        <v>43157147</v>
      </c>
      <c r="AY41">
        <v>1</v>
      </c>
      <c r="AZ41">
        <v>0</v>
      </c>
      <c r="BA41">
        <v>42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Y41*Source!I31</f>
        <v>1E-4</v>
      </c>
      <c r="CY41">
        <f t="shared" si="5"/>
        <v>620906.52</v>
      </c>
      <c r="CZ41">
        <f t="shared" si="6"/>
        <v>37517.01</v>
      </c>
      <c r="DA41">
        <f t="shared" si="7"/>
        <v>16.55</v>
      </c>
      <c r="DB41">
        <f t="shared" si="8"/>
        <v>3.75</v>
      </c>
      <c r="DC41">
        <f t="shared" si="9"/>
        <v>0</v>
      </c>
    </row>
    <row r="42" spans="1:107" x14ac:dyDescent="0.2">
      <c r="A42">
        <f>ROW(Source!A31)</f>
        <v>31</v>
      </c>
      <c r="B42">
        <v>43156991</v>
      </c>
      <c r="C42">
        <v>43157119</v>
      </c>
      <c r="D42">
        <v>29158010</v>
      </c>
      <c r="E42">
        <v>1</v>
      </c>
      <c r="F42">
        <v>1</v>
      </c>
      <c r="G42">
        <v>1</v>
      </c>
      <c r="H42">
        <v>3</v>
      </c>
      <c r="I42" t="s">
        <v>328</v>
      </c>
      <c r="J42" t="s">
        <v>329</v>
      </c>
      <c r="K42" t="s">
        <v>330</v>
      </c>
      <c r="L42">
        <v>1346</v>
      </c>
      <c r="N42">
        <v>1009</v>
      </c>
      <c r="O42" t="s">
        <v>315</v>
      </c>
      <c r="P42" t="s">
        <v>315</v>
      </c>
      <c r="Q42">
        <v>1</v>
      </c>
      <c r="W42">
        <v>0</v>
      </c>
      <c r="X42">
        <v>-191194106</v>
      </c>
      <c r="Y42">
        <v>0.06</v>
      </c>
      <c r="AA42">
        <v>621.05999999999995</v>
      </c>
      <c r="AB42">
        <v>0</v>
      </c>
      <c r="AC42">
        <v>0</v>
      </c>
      <c r="AD42">
        <v>0</v>
      </c>
      <c r="AE42">
        <v>65.930000000000007</v>
      </c>
      <c r="AF42">
        <v>0</v>
      </c>
      <c r="AG42">
        <v>0</v>
      </c>
      <c r="AH42">
        <v>0</v>
      </c>
      <c r="AI42">
        <v>9.42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0.06</v>
      </c>
      <c r="AU42" t="s">
        <v>3</v>
      </c>
      <c r="AV42">
        <v>0</v>
      </c>
      <c r="AW42">
        <v>2</v>
      </c>
      <c r="AX42">
        <v>43157148</v>
      </c>
      <c r="AY42">
        <v>1</v>
      </c>
      <c r="AZ42">
        <v>0</v>
      </c>
      <c r="BA42">
        <v>43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Y42*Source!I31</f>
        <v>0.06</v>
      </c>
      <c r="CY42">
        <f t="shared" si="5"/>
        <v>621.05999999999995</v>
      </c>
      <c r="CZ42">
        <f t="shared" si="6"/>
        <v>65.930000000000007</v>
      </c>
      <c r="DA42">
        <f t="shared" si="7"/>
        <v>9.42</v>
      </c>
      <c r="DB42">
        <f t="shared" si="8"/>
        <v>3.96</v>
      </c>
      <c r="DC42">
        <f t="shared" si="9"/>
        <v>0</v>
      </c>
    </row>
    <row r="43" spans="1:107" x14ac:dyDescent="0.2">
      <c r="A43">
        <f>ROW(Source!A31)</f>
        <v>31</v>
      </c>
      <c r="B43">
        <v>43156991</v>
      </c>
      <c r="C43">
        <v>43157119</v>
      </c>
      <c r="D43">
        <v>29159023</v>
      </c>
      <c r="E43">
        <v>1</v>
      </c>
      <c r="F43">
        <v>1</v>
      </c>
      <c r="G43">
        <v>1</v>
      </c>
      <c r="H43">
        <v>3</v>
      </c>
      <c r="I43" t="s">
        <v>396</v>
      </c>
      <c r="J43" t="s">
        <v>397</v>
      </c>
      <c r="K43" t="s">
        <v>398</v>
      </c>
      <c r="L43">
        <v>1346</v>
      </c>
      <c r="N43">
        <v>1009</v>
      </c>
      <c r="O43" t="s">
        <v>315</v>
      </c>
      <c r="P43" t="s">
        <v>315</v>
      </c>
      <c r="Q43">
        <v>1</v>
      </c>
      <c r="W43">
        <v>0</v>
      </c>
      <c r="X43">
        <v>-541372543</v>
      </c>
      <c r="Y43">
        <v>0.08</v>
      </c>
      <c r="AA43">
        <v>322.60000000000002</v>
      </c>
      <c r="AB43">
        <v>0</v>
      </c>
      <c r="AC43">
        <v>0</v>
      </c>
      <c r="AD43">
        <v>0</v>
      </c>
      <c r="AE43">
        <v>38.450000000000003</v>
      </c>
      <c r="AF43">
        <v>0</v>
      </c>
      <c r="AG43">
        <v>0</v>
      </c>
      <c r="AH43">
        <v>0</v>
      </c>
      <c r="AI43">
        <v>8.39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0.08</v>
      </c>
      <c r="AU43" t="s">
        <v>3</v>
      </c>
      <c r="AV43">
        <v>0</v>
      </c>
      <c r="AW43">
        <v>2</v>
      </c>
      <c r="AX43">
        <v>43157149</v>
      </c>
      <c r="AY43">
        <v>1</v>
      </c>
      <c r="AZ43">
        <v>0</v>
      </c>
      <c r="BA43">
        <v>44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Y43*Source!I31</f>
        <v>0.08</v>
      </c>
      <c r="CY43">
        <f t="shared" si="5"/>
        <v>322.60000000000002</v>
      </c>
      <c r="CZ43">
        <f t="shared" si="6"/>
        <v>38.450000000000003</v>
      </c>
      <c r="DA43">
        <f t="shared" si="7"/>
        <v>8.39</v>
      </c>
      <c r="DB43">
        <f t="shared" si="8"/>
        <v>3.08</v>
      </c>
      <c r="DC43">
        <f t="shared" si="9"/>
        <v>0</v>
      </c>
    </row>
    <row r="44" spans="1:107" x14ac:dyDescent="0.2">
      <c r="A44">
        <f>ROW(Source!A31)</f>
        <v>31</v>
      </c>
      <c r="B44">
        <v>43156991</v>
      </c>
      <c r="C44">
        <v>43157119</v>
      </c>
      <c r="D44">
        <v>29164287</v>
      </c>
      <c r="E44">
        <v>1</v>
      </c>
      <c r="F44">
        <v>1</v>
      </c>
      <c r="G44">
        <v>1</v>
      </c>
      <c r="H44">
        <v>3</v>
      </c>
      <c r="I44" t="s">
        <v>399</v>
      </c>
      <c r="J44" t="s">
        <v>400</v>
      </c>
      <c r="K44" t="s">
        <v>401</v>
      </c>
      <c r="L44">
        <v>1355</v>
      </c>
      <c r="N44">
        <v>1010</v>
      </c>
      <c r="O44" t="s">
        <v>347</v>
      </c>
      <c r="P44" t="s">
        <v>347</v>
      </c>
      <c r="Q44">
        <v>100</v>
      </c>
      <c r="W44">
        <v>0</v>
      </c>
      <c r="X44">
        <v>2041155869</v>
      </c>
      <c r="Y44">
        <v>0.1</v>
      </c>
      <c r="AA44">
        <v>342</v>
      </c>
      <c r="AB44">
        <v>0</v>
      </c>
      <c r="AC44">
        <v>0</v>
      </c>
      <c r="AD44">
        <v>0</v>
      </c>
      <c r="AE44">
        <v>60</v>
      </c>
      <c r="AF44">
        <v>0</v>
      </c>
      <c r="AG44">
        <v>0</v>
      </c>
      <c r="AH44">
        <v>0</v>
      </c>
      <c r="AI44">
        <v>5.7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0.1</v>
      </c>
      <c r="AU44" t="s">
        <v>3</v>
      </c>
      <c r="AV44">
        <v>0</v>
      </c>
      <c r="AW44">
        <v>2</v>
      </c>
      <c r="AX44">
        <v>43157150</v>
      </c>
      <c r="AY44">
        <v>1</v>
      </c>
      <c r="AZ44">
        <v>0</v>
      </c>
      <c r="BA44">
        <v>45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Y44*Source!I31</f>
        <v>0.1</v>
      </c>
      <c r="CY44">
        <f t="shared" si="5"/>
        <v>342</v>
      </c>
      <c r="CZ44">
        <f t="shared" si="6"/>
        <v>60</v>
      </c>
      <c r="DA44">
        <f t="shared" si="7"/>
        <v>5.7</v>
      </c>
      <c r="DB44">
        <f t="shared" si="8"/>
        <v>6</v>
      </c>
      <c r="DC44">
        <f t="shared" si="9"/>
        <v>0</v>
      </c>
    </row>
    <row r="45" spans="1:107" x14ac:dyDescent="0.2">
      <c r="A45">
        <f>ROW(Source!A31)</f>
        <v>31</v>
      </c>
      <c r="B45">
        <v>43156991</v>
      </c>
      <c r="C45">
        <v>43157119</v>
      </c>
      <c r="D45">
        <v>29171808</v>
      </c>
      <c r="E45">
        <v>1</v>
      </c>
      <c r="F45">
        <v>1</v>
      </c>
      <c r="G45">
        <v>1</v>
      </c>
      <c r="H45">
        <v>3</v>
      </c>
      <c r="I45" t="s">
        <v>334</v>
      </c>
      <c r="J45" t="s">
        <v>335</v>
      </c>
      <c r="K45" t="s">
        <v>336</v>
      </c>
      <c r="L45">
        <v>1374</v>
      </c>
      <c r="N45">
        <v>1013</v>
      </c>
      <c r="O45" t="s">
        <v>337</v>
      </c>
      <c r="P45" t="s">
        <v>337</v>
      </c>
      <c r="Q45">
        <v>1</v>
      </c>
      <c r="W45">
        <v>0</v>
      </c>
      <c r="X45">
        <v>-915781824</v>
      </c>
      <c r="Y45">
        <v>2.2400000000000002</v>
      </c>
      <c r="AA45">
        <v>1</v>
      </c>
      <c r="AB45">
        <v>0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2.2400000000000002</v>
      </c>
      <c r="AU45" t="s">
        <v>3</v>
      </c>
      <c r="AV45">
        <v>0</v>
      </c>
      <c r="AW45">
        <v>2</v>
      </c>
      <c r="AX45">
        <v>43157152</v>
      </c>
      <c r="AY45">
        <v>1</v>
      </c>
      <c r="AZ45">
        <v>0</v>
      </c>
      <c r="BA45">
        <v>47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Y45*Source!I31</f>
        <v>2.2400000000000002</v>
      </c>
      <c r="CY45">
        <f t="shared" si="5"/>
        <v>1</v>
      </c>
      <c r="CZ45">
        <f t="shared" si="6"/>
        <v>1</v>
      </c>
      <c r="DA45">
        <f t="shared" si="7"/>
        <v>1</v>
      </c>
      <c r="DB45">
        <f t="shared" si="8"/>
        <v>2.2400000000000002</v>
      </c>
      <c r="DC45">
        <f t="shared" si="9"/>
        <v>0</v>
      </c>
    </row>
    <row r="46" spans="1:107" x14ac:dyDescent="0.2">
      <c r="A46">
        <f>ROW(Source!A33)</f>
        <v>33</v>
      </c>
      <c r="B46">
        <v>43156991</v>
      </c>
      <c r="C46">
        <v>43157154</v>
      </c>
      <c r="D46">
        <v>29362762</v>
      </c>
      <c r="E46">
        <v>1</v>
      </c>
      <c r="F46">
        <v>1</v>
      </c>
      <c r="G46">
        <v>1</v>
      </c>
      <c r="H46">
        <v>1</v>
      </c>
      <c r="I46" t="s">
        <v>302</v>
      </c>
      <c r="J46" t="s">
        <v>3</v>
      </c>
      <c r="K46" t="s">
        <v>303</v>
      </c>
      <c r="L46">
        <v>1369</v>
      </c>
      <c r="N46">
        <v>1013</v>
      </c>
      <c r="O46" t="s">
        <v>304</v>
      </c>
      <c r="P46" t="s">
        <v>304</v>
      </c>
      <c r="Q46">
        <v>1</v>
      </c>
      <c r="W46">
        <v>0</v>
      </c>
      <c r="X46">
        <v>604758886</v>
      </c>
      <c r="Y46">
        <v>2.06</v>
      </c>
      <c r="AA46">
        <v>0</v>
      </c>
      <c r="AB46">
        <v>0</v>
      </c>
      <c r="AC46">
        <v>0</v>
      </c>
      <c r="AD46">
        <v>9.6199999999999992</v>
      </c>
      <c r="AE46">
        <v>0</v>
      </c>
      <c r="AF46">
        <v>0</v>
      </c>
      <c r="AG46">
        <v>0</v>
      </c>
      <c r="AH46">
        <v>9.6199999999999992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3</v>
      </c>
      <c r="AT46">
        <v>2.06</v>
      </c>
      <c r="AU46" t="s">
        <v>3</v>
      </c>
      <c r="AV46">
        <v>1</v>
      </c>
      <c r="AW46">
        <v>2</v>
      </c>
      <c r="AX46">
        <v>43157161</v>
      </c>
      <c r="AY46">
        <v>1</v>
      </c>
      <c r="AZ46">
        <v>0</v>
      </c>
      <c r="BA46">
        <v>48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Y46*Source!I33</f>
        <v>2.06</v>
      </c>
      <c r="CY46">
        <f>AD46</f>
        <v>9.6199999999999992</v>
      </c>
      <c r="CZ46">
        <f>AH46</f>
        <v>9.6199999999999992</v>
      </c>
      <c r="DA46">
        <f>AL46</f>
        <v>1</v>
      </c>
      <c r="DB46">
        <f t="shared" si="8"/>
        <v>19.82</v>
      </c>
      <c r="DC46">
        <f t="shared" si="9"/>
        <v>0</v>
      </c>
    </row>
    <row r="47" spans="1:107" x14ac:dyDescent="0.2">
      <c r="A47">
        <f>ROW(Source!A33)</f>
        <v>33</v>
      </c>
      <c r="B47">
        <v>43156991</v>
      </c>
      <c r="C47">
        <v>43157154</v>
      </c>
      <c r="D47">
        <v>29107590</v>
      </c>
      <c r="E47">
        <v>1</v>
      </c>
      <c r="F47">
        <v>1</v>
      </c>
      <c r="G47">
        <v>1</v>
      </c>
      <c r="H47">
        <v>3</v>
      </c>
      <c r="I47" t="s">
        <v>402</v>
      </c>
      <c r="J47" t="s">
        <v>403</v>
      </c>
      <c r="K47" t="s">
        <v>404</v>
      </c>
      <c r="L47">
        <v>1348</v>
      </c>
      <c r="N47">
        <v>1009</v>
      </c>
      <c r="O47" t="s">
        <v>308</v>
      </c>
      <c r="P47" t="s">
        <v>308</v>
      </c>
      <c r="Q47">
        <v>1000</v>
      </c>
      <c r="W47">
        <v>0</v>
      </c>
      <c r="X47">
        <v>-1475654014</v>
      </c>
      <c r="Y47">
        <v>1.1E-4</v>
      </c>
      <c r="AA47">
        <v>64467</v>
      </c>
      <c r="AB47">
        <v>0</v>
      </c>
      <c r="AC47">
        <v>0</v>
      </c>
      <c r="AD47">
        <v>0</v>
      </c>
      <c r="AE47">
        <v>5850</v>
      </c>
      <c r="AF47">
        <v>0</v>
      </c>
      <c r="AG47">
        <v>0</v>
      </c>
      <c r="AH47">
        <v>0</v>
      </c>
      <c r="AI47">
        <v>11.02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1.1E-4</v>
      </c>
      <c r="AU47" t="s">
        <v>3</v>
      </c>
      <c r="AV47">
        <v>0</v>
      </c>
      <c r="AW47">
        <v>2</v>
      </c>
      <c r="AX47">
        <v>43157162</v>
      </c>
      <c r="AY47">
        <v>1</v>
      </c>
      <c r="AZ47">
        <v>0</v>
      </c>
      <c r="BA47">
        <v>49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Y47*Source!I33</f>
        <v>1.1E-4</v>
      </c>
      <c r="CY47">
        <f>AA47</f>
        <v>64467</v>
      </c>
      <c r="CZ47">
        <f>AE47</f>
        <v>5850</v>
      </c>
      <c r="DA47">
        <f>AI47</f>
        <v>11.02</v>
      </c>
      <c r="DB47">
        <f t="shared" si="8"/>
        <v>0.64</v>
      </c>
      <c r="DC47">
        <f t="shared" si="9"/>
        <v>0</v>
      </c>
    </row>
    <row r="48" spans="1:107" x14ac:dyDescent="0.2">
      <c r="A48">
        <f>ROW(Source!A33)</f>
        <v>33</v>
      </c>
      <c r="B48">
        <v>43156991</v>
      </c>
      <c r="C48">
        <v>43157154</v>
      </c>
      <c r="D48">
        <v>29107494</v>
      </c>
      <c r="E48">
        <v>1</v>
      </c>
      <c r="F48">
        <v>1</v>
      </c>
      <c r="G48">
        <v>1</v>
      </c>
      <c r="H48">
        <v>3</v>
      </c>
      <c r="I48" t="s">
        <v>405</v>
      </c>
      <c r="J48" t="s">
        <v>406</v>
      </c>
      <c r="K48" t="s">
        <v>407</v>
      </c>
      <c r="L48">
        <v>1348</v>
      </c>
      <c r="N48">
        <v>1009</v>
      </c>
      <c r="O48" t="s">
        <v>308</v>
      </c>
      <c r="P48" t="s">
        <v>308</v>
      </c>
      <c r="Q48">
        <v>1000</v>
      </c>
      <c r="W48">
        <v>0</v>
      </c>
      <c r="X48">
        <v>-1944830725</v>
      </c>
      <c r="Y48">
        <v>1E-3</v>
      </c>
      <c r="AA48">
        <v>19022.28</v>
      </c>
      <c r="AB48">
        <v>0</v>
      </c>
      <c r="AC48">
        <v>0</v>
      </c>
      <c r="AD48">
        <v>0</v>
      </c>
      <c r="AE48">
        <v>3651.11</v>
      </c>
      <c r="AF48">
        <v>0</v>
      </c>
      <c r="AG48">
        <v>0</v>
      </c>
      <c r="AH48">
        <v>0</v>
      </c>
      <c r="AI48">
        <v>5.21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1E-3</v>
      </c>
      <c r="AU48" t="s">
        <v>3</v>
      </c>
      <c r="AV48">
        <v>0</v>
      </c>
      <c r="AW48">
        <v>2</v>
      </c>
      <c r="AX48">
        <v>43157163</v>
      </c>
      <c r="AY48">
        <v>1</v>
      </c>
      <c r="AZ48">
        <v>0</v>
      </c>
      <c r="BA48">
        <v>50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Y48*Source!I33</f>
        <v>1E-3</v>
      </c>
      <c r="CY48">
        <f>AA48</f>
        <v>19022.28</v>
      </c>
      <c r="CZ48">
        <f>AE48</f>
        <v>3651.11</v>
      </c>
      <c r="DA48">
        <f>AI48</f>
        <v>5.21</v>
      </c>
      <c r="DB48">
        <f t="shared" si="8"/>
        <v>3.65</v>
      </c>
      <c r="DC48">
        <f t="shared" si="9"/>
        <v>0</v>
      </c>
    </row>
    <row r="49" spans="1:107" x14ac:dyDescent="0.2">
      <c r="A49">
        <f>ROW(Source!A33)</f>
        <v>33</v>
      </c>
      <c r="B49">
        <v>43156991</v>
      </c>
      <c r="C49">
        <v>43157154</v>
      </c>
      <c r="D49">
        <v>29150044</v>
      </c>
      <c r="E49">
        <v>1</v>
      </c>
      <c r="F49">
        <v>1</v>
      </c>
      <c r="G49">
        <v>1</v>
      </c>
      <c r="H49">
        <v>3</v>
      </c>
      <c r="I49" t="s">
        <v>408</v>
      </c>
      <c r="J49" t="s">
        <v>409</v>
      </c>
      <c r="K49" t="s">
        <v>410</v>
      </c>
      <c r="L49">
        <v>1346</v>
      </c>
      <c r="N49">
        <v>1009</v>
      </c>
      <c r="O49" t="s">
        <v>315</v>
      </c>
      <c r="P49" t="s">
        <v>315</v>
      </c>
      <c r="Q49">
        <v>1</v>
      </c>
      <c r="W49">
        <v>0</v>
      </c>
      <c r="X49">
        <v>-340327606</v>
      </c>
      <c r="Y49">
        <v>2.8</v>
      </c>
      <c r="AA49">
        <v>10.36</v>
      </c>
      <c r="AB49">
        <v>0</v>
      </c>
      <c r="AC49">
        <v>0</v>
      </c>
      <c r="AD49">
        <v>0</v>
      </c>
      <c r="AE49">
        <v>4.16</v>
      </c>
      <c r="AF49">
        <v>0</v>
      </c>
      <c r="AG49">
        <v>0</v>
      </c>
      <c r="AH49">
        <v>0</v>
      </c>
      <c r="AI49">
        <v>2.4900000000000002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2.8</v>
      </c>
      <c r="AU49" t="s">
        <v>3</v>
      </c>
      <c r="AV49">
        <v>0</v>
      </c>
      <c r="AW49">
        <v>2</v>
      </c>
      <c r="AX49">
        <v>43157164</v>
      </c>
      <c r="AY49">
        <v>1</v>
      </c>
      <c r="AZ49">
        <v>0</v>
      </c>
      <c r="BA49">
        <v>51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Y49*Source!I33</f>
        <v>2.8</v>
      </c>
      <c r="CY49">
        <f>AA49</f>
        <v>10.36</v>
      </c>
      <c r="CZ49">
        <f>AE49</f>
        <v>4.16</v>
      </c>
      <c r="DA49">
        <f>AI49</f>
        <v>2.4900000000000002</v>
      </c>
      <c r="DB49">
        <f t="shared" si="8"/>
        <v>11.65</v>
      </c>
      <c r="DC49">
        <f t="shared" si="9"/>
        <v>0</v>
      </c>
    </row>
    <row r="50" spans="1:107" x14ac:dyDescent="0.2">
      <c r="A50">
        <f>ROW(Source!A33)</f>
        <v>33</v>
      </c>
      <c r="B50">
        <v>43156991</v>
      </c>
      <c r="C50">
        <v>43157154</v>
      </c>
      <c r="D50">
        <v>29157967</v>
      </c>
      <c r="E50">
        <v>1</v>
      </c>
      <c r="F50">
        <v>1</v>
      </c>
      <c r="G50">
        <v>1</v>
      </c>
      <c r="H50">
        <v>3</v>
      </c>
      <c r="I50" t="s">
        <v>411</v>
      </c>
      <c r="J50" t="s">
        <v>412</v>
      </c>
      <c r="K50" t="s">
        <v>413</v>
      </c>
      <c r="L50">
        <v>1348</v>
      </c>
      <c r="N50">
        <v>1009</v>
      </c>
      <c r="O50" t="s">
        <v>308</v>
      </c>
      <c r="P50" t="s">
        <v>308</v>
      </c>
      <c r="Q50">
        <v>1000</v>
      </c>
      <c r="W50">
        <v>0</v>
      </c>
      <c r="X50">
        <v>1711652089</v>
      </c>
      <c r="Y50">
        <v>3.0000000000000001E-5</v>
      </c>
      <c r="AA50">
        <v>242639.98</v>
      </c>
      <c r="AB50">
        <v>0</v>
      </c>
      <c r="AC50">
        <v>0</v>
      </c>
      <c r="AD50">
        <v>0</v>
      </c>
      <c r="AE50">
        <v>17762.810000000001</v>
      </c>
      <c r="AF50">
        <v>0</v>
      </c>
      <c r="AG50">
        <v>0</v>
      </c>
      <c r="AH50">
        <v>0</v>
      </c>
      <c r="AI50">
        <v>13.66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3.0000000000000001E-5</v>
      </c>
      <c r="AU50" t="s">
        <v>3</v>
      </c>
      <c r="AV50">
        <v>0</v>
      </c>
      <c r="AW50">
        <v>2</v>
      </c>
      <c r="AX50">
        <v>43157165</v>
      </c>
      <c r="AY50">
        <v>1</v>
      </c>
      <c r="AZ50">
        <v>0</v>
      </c>
      <c r="BA50">
        <v>52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Y50*Source!I33</f>
        <v>3.0000000000000001E-5</v>
      </c>
      <c r="CY50">
        <f>AA50</f>
        <v>242639.98</v>
      </c>
      <c r="CZ50">
        <f>AE50</f>
        <v>17762.810000000001</v>
      </c>
      <c r="DA50">
        <f>AI50</f>
        <v>13.66</v>
      </c>
      <c r="DB50">
        <f t="shared" si="8"/>
        <v>0.53</v>
      </c>
      <c r="DC50">
        <f t="shared" si="9"/>
        <v>0</v>
      </c>
    </row>
    <row r="51" spans="1:107" x14ac:dyDescent="0.2">
      <c r="A51">
        <f>ROW(Source!A33)</f>
        <v>33</v>
      </c>
      <c r="B51">
        <v>43156991</v>
      </c>
      <c r="C51">
        <v>43157154</v>
      </c>
      <c r="D51">
        <v>29171808</v>
      </c>
      <c r="E51">
        <v>1</v>
      </c>
      <c r="F51">
        <v>1</v>
      </c>
      <c r="G51">
        <v>1</v>
      </c>
      <c r="H51">
        <v>3</v>
      </c>
      <c r="I51" t="s">
        <v>334</v>
      </c>
      <c r="J51" t="s">
        <v>335</v>
      </c>
      <c r="K51" t="s">
        <v>336</v>
      </c>
      <c r="L51">
        <v>1374</v>
      </c>
      <c r="N51">
        <v>1013</v>
      </c>
      <c r="O51" t="s">
        <v>337</v>
      </c>
      <c r="P51" t="s">
        <v>337</v>
      </c>
      <c r="Q51">
        <v>1</v>
      </c>
      <c r="W51">
        <v>0</v>
      </c>
      <c r="X51">
        <v>-915781824</v>
      </c>
      <c r="Y51">
        <v>0.4</v>
      </c>
      <c r="AA51">
        <v>1</v>
      </c>
      <c r="AB51">
        <v>0</v>
      </c>
      <c r="AC51">
        <v>0</v>
      </c>
      <c r="AD51">
        <v>0</v>
      </c>
      <c r="AE51">
        <v>1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0.4</v>
      </c>
      <c r="AU51" t="s">
        <v>3</v>
      </c>
      <c r="AV51">
        <v>0</v>
      </c>
      <c r="AW51">
        <v>2</v>
      </c>
      <c r="AX51">
        <v>43157166</v>
      </c>
      <c r="AY51">
        <v>1</v>
      </c>
      <c r="AZ51">
        <v>0</v>
      </c>
      <c r="BA51">
        <v>53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Y51*Source!I33</f>
        <v>0.4</v>
      </c>
      <c r="CY51">
        <f>AA51</f>
        <v>1</v>
      </c>
      <c r="CZ51">
        <f>AE51</f>
        <v>1</v>
      </c>
      <c r="DA51">
        <f>AI51</f>
        <v>1</v>
      </c>
      <c r="DB51">
        <f t="shared" si="8"/>
        <v>0.4</v>
      </c>
      <c r="DC51">
        <f t="shared" si="9"/>
        <v>0</v>
      </c>
    </row>
    <row r="52" spans="1:107" x14ac:dyDescent="0.2">
      <c r="A52">
        <f>ROW(Source!A35)</f>
        <v>35</v>
      </c>
      <c r="B52">
        <v>43156991</v>
      </c>
      <c r="C52">
        <v>43157168</v>
      </c>
      <c r="D52">
        <v>29372988</v>
      </c>
      <c r="E52">
        <v>1</v>
      </c>
      <c r="F52">
        <v>1</v>
      </c>
      <c r="G52">
        <v>1</v>
      </c>
      <c r="H52">
        <v>1</v>
      </c>
      <c r="I52" t="s">
        <v>379</v>
      </c>
      <c r="J52" t="s">
        <v>3</v>
      </c>
      <c r="K52" t="s">
        <v>380</v>
      </c>
      <c r="L52">
        <v>1369</v>
      </c>
      <c r="N52">
        <v>1013</v>
      </c>
      <c r="O52" t="s">
        <v>304</v>
      </c>
      <c r="P52" t="s">
        <v>304</v>
      </c>
      <c r="Q52">
        <v>1</v>
      </c>
      <c r="W52">
        <v>0</v>
      </c>
      <c r="X52">
        <v>-1569667371</v>
      </c>
      <c r="Y52">
        <v>9.16</v>
      </c>
      <c r="AA52">
        <v>0</v>
      </c>
      <c r="AB52">
        <v>0</v>
      </c>
      <c r="AC52">
        <v>0</v>
      </c>
      <c r="AD52">
        <v>11.09</v>
      </c>
      <c r="AE52">
        <v>0</v>
      </c>
      <c r="AF52">
        <v>0</v>
      </c>
      <c r="AG52">
        <v>0</v>
      </c>
      <c r="AH52">
        <v>11.09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9.16</v>
      </c>
      <c r="AU52" t="s">
        <v>3</v>
      </c>
      <c r="AV52">
        <v>1</v>
      </c>
      <c r="AW52">
        <v>2</v>
      </c>
      <c r="AX52">
        <v>43157172</v>
      </c>
      <c r="AY52">
        <v>1</v>
      </c>
      <c r="AZ52">
        <v>0</v>
      </c>
      <c r="BA52">
        <v>54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Y52*Source!I35</f>
        <v>9.16</v>
      </c>
      <c r="CY52">
        <f>AD52</f>
        <v>11.09</v>
      </c>
      <c r="CZ52">
        <f>AH52</f>
        <v>11.09</v>
      </c>
      <c r="DA52">
        <f>AL52</f>
        <v>1</v>
      </c>
      <c r="DB52">
        <f t="shared" si="8"/>
        <v>101.58</v>
      </c>
      <c r="DC52">
        <f t="shared" si="9"/>
        <v>0</v>
      </c>
    </row>
    <row r="53" spans="1:107" x14ac:dyDescent="0.2">
      <c r="A53">
        <f>ROW(Source!A35)</f>
        <v>35</v>
      </c>
      <c r="B53">
        <v>43156991</v>
      </c>
      <c r="C53">
        <v>43157168</v>
      </c>
      <c r="D53">
        <v>29172514</v>
      </c>
      <c r="E53">
        <v>1</v>
      </c>
      <c r="F53">
        <v>1</v>
      </c>
      <c r="G53">
        <v>1</v>
      </c>
      <c r="H53">
        <v>2</v>
      </c>
      <c r="I53" t="s">
        <v>414</v>
      </c>
      <c r="J53" t="s">
        <v>415</v>
      </c>
      <c r="K53" t="s">
        <v>416</v>
      </c>
      <c r="L53">
        <v>1368</v>
      </c>
      <c r="N53">
        <v>1011</v>
      </c>
      <c r="O53" t="s">
        <v>343</v>
      </c>
      <c r="P53" t="s">
        <v>343</v>
      </c>
      <c r="Q53">
        <v>1</v>
      </c>
      <c r="W53">
        <v>0</v>
      </c>
      <c r="X53">
        <v>1983991698</v>
      </c>
      <c r="Y53">
        <v>0.12</v>
      </c>
      <c r="AA53">
        <v>0</v>
      </c>
      <c r="AB53">
        <v>32.4</v>
      </c>
      <c r="AC53">
        <v>0</v>
      </c>
      <c r="AD53">
        <v>0</v>
      </c>
      <c r="AE53">
        <v>0</v>
      </c>
      <c r="AF53">
        <v>3.6</v>
      </c>
      <c r="AG53">
        <v>0</v>
      </c>
      <c r="AH53">
        <v>0</v>
      </c>
      <c r="AI53">
        <v>1</v>
      </c>
      <c r="AJ53">
        <v>9</v>
      </c>
      <c r="AK53">
        <v>30.52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</v>
      </c>
      <c r="AT53">
        <v>0.12</v>
      </c>
      <c r="AU53" t="s">
        <v>3</v>
      </c>
      <c r="AV53">
        <v>0</v>
      </c>
      <c r="AW53">
        <v>2</v>
      </c>
      <c r="AX53">
        <v>43157173</v>
      </c>
      <c r="AY53">
        <v>1</v>
      </c>
      <c r="AZ53">
        <v>0</v>
      </c>
      <c r="BA53">
        <v>55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Y53*Source!I35</f>
        <v>0.12</v>
      </c>
      <c r="CY53">
        <f>AB53</f>
        <v>32.4</v>
      </c>
      <c r="CZ53">
        <f>AF53</f>
        <v>3.6</v>
      </c>
      <c r="DA53">
        <f>AJ53</f>
        <v>9</v>
      </c>
      <c r="DB53">
        <f t="shared" si="8"/>
        <v>0.43</v>
      </c>
      <c r="DC53">
        <f t="shared" si="9"/>
        <v>0</v>
      </c>
    </row>
    <row r="54" spans="1:107" x14ac:dyDescent="0.2">
      <c r="A54">
        <f>ROW(Source!A35)</f>
        <v>35</v>
      </c>
      <c r="B54">
        <v>43156991</v>
      </c>
      <c r="C54">
        <v>43157168</v>
      </c>
      <c r="D54">
        <v>29171808</v>
      </c>
      <c r="E54">
        <v>1</v>
      </c>
      <c r="F54">
        <v>1</v>
      </c>
      <c r="G54">
        <v>1</v>
      </c>
      <c r="H54">
        <v>3</v>
      </c>
      <c r="I54" t="s">
        <v>334</v>
      </c>
      <c r="J54" t="s">
        <v>335</v>
      </c>
      <c r="K54" t="s">
        <v>336</v>
      </c>
      <c r="L54">
        <v>1374</v>
      </c>
      <c r="N54">
        <v>1013</v>
      </c>
      <c r="O54" t="s">
        <v>337</v>
      </c>
      <c r="P54" t="s">
        <v>337</v>
      </c>
      <c r="Q54">
        <v>1</v>
      </c>
      <c r="W54">
        <v>0</v>
      </c>
      <c r="X54">
        <v>-915781824</v>
      </c>
      <c r="Y54">
        <v>2.0299999999999998</v>
      </c>
      <c r="AA54">
        <v>1</v>
      </c>
      <c r="AB54">
        <v>0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2.0299999999999998</v>
      </c>
      <c r="AU54" t="s">
        <v>3</v>
      </c>
      <c r="AV54">
        <v>0</v>
      </c>
      <c r="AW54">
        <v>2</v>
      </c>
      <c r="AX54">
        <v>43157174</v>
      </c>
      <c r="AY54">
        <v>1</v>
      </c>
      <c r="AZ54">
        <v>0</v>
      </c>
      <c r="BA54">
        <v>56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Y54*Source!I35</f>
        <v>2.0299999999999998</v>
      </c>
      <c r="CY54">
        <f>AA54</f>
        <v>1</v>
      </c>
      <c r="CZ54">
        <f>AE54</f>
        <v>1</v>
      </c>
      <c r="DA54">
        <f>AI54</f>
        <v>1</v>
      </c>
      <c r="DB54">
        <f t="shared" si="8"/>
        <v>2.0299999999999998</v>
      </c>
      <c r="DC54">
        <f t="shared" si="9"/>
        <v>0</v>
      </c>
    </row>
    <row r="55" spans="1:107" x14ac:dyDescent="0.2">
      <c r="A55">
        <f>ROW(Source!A37)</f>
        <v>37</v>
      </c>
      <c r="B55">
        <v>43156991</v>
      </c>
      <c r="C55">
        <v>43157176</v>
      </c>
      <c r="D55">
        <v>29365789</v>
      </c>
      <c r="E55">
        <v>1</v>
      </c>
      <c r="F55">
        <v>1</v>
      </c>
      <c r="G55">
        <v>1</v>
      </c>
      <c r="H55">
        <v>1</v>
      </c>
      <c r="I55" t="s">
        <v>417</v>
      </c>
      <c r="J55" t="s">
        <v>3</v>
      </c>
      <c r="K55" t="s">
        <v>418</v>
      </c>
      <c r="L55">
        <v>1369</v>
      </c>
      <c r="N55">
        <v>1013</v>
      </c>
      <c r="O55" t="s">
        <v>304</v>
      </c>
      <c r="P55" t="s">
        <v>304</v>
      </c>
      <c r="Q55">
        <v>1</v>
      </c>
      <c r="W55">
        <v>0</v>
      </c>
      <c r="X55">
        <v>-857382621</v>
      </c>
      <c r="Y55">
        <v>4.47</v>
      </c>
      <c r="AA55">
        <v>0</v>
      </c>
      <c r="AB55">
        <v>0</v>
      </c>
      <c r="AC55">
        <v>0</v>
      </c>
      <c r="AD55">
        <v>8.5299999999999994</v>
      </c>
      <c r="AE55">
        <v>0</v>
      </c>
      <c r="AF55">
        <v>0</v>
      </c>
      <c r="AG55">
        <v>0</v>
      </c>
      <c r="AH55">
        <v>8.5299999999999994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4.47</v>
      </c>
      <c r="AU55" t="s">
        <v>3</v>
      </c>
      <c r="AV55">
        <v>1</v>
      </c>
      <c r="AW55">
        <v>2</v>
      </c>
      <c r="AX55">
        <v>43157185</v>
      </c>
      <c r="AY55">
        <v>1</v>
      </c>
      <c r="AZ55">
        <v>0</v>
      </c>
      <c r="BA55">
        <v>57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Y55*Source!I37</f>
        <v>4.47</v>
      </c>
      <c r="CY55">
        <f>AD55</f>
        <v>8.5299999999999994</v>
      </c>
      <c r="CZ55">
        <f>AH55</f>
        <v>8.5299999999999994</v>
      </c>
      <c r="DA55">
        <f>AL55</f>
        <v>1</v>
      </c>
      <c r="DB55">
        <f t="shared" si="8"/>
        <v>38.130000000000003</v>
      </c>
      <c r="DC55">
        <f t="shared" si="9"/>
        <v>0</v>
      </c>
    </row>
    <row r="56" spans="1:107" x14ac:dyDescent="0.2">
      <c r="A56">
        <f>ROW(Source!A37)</f>
        <v>37</v>
      </c>
      <c r="B56">
        <v>43156991</v>
      </c>
      <c r="C56">
        <v>43157176</v>
      </c>
      <c r="D56">
        <v>121548</v>
      </c>
      <c r="E56">
        <v>1</v>
      </c>
      <c r="F56">
        <v>1</v>
      </c>
      <c r="G56">
        <v>1</v>
      </c>
      <c r="H56">
        <v>1</v>
      </c>
      <c r="I56" t="s">
        <v>28</v>
      </c>
      <c r="J56" t="s">
        <v>3</v>
      </c>
      <c r="K56" t="s">
        <v>353</v>
      </c>
      <c r="L56">
        <v>608254</v>
      </c>
      <c r="N56">
        <v>1013</v>
      </c>
      <c r="O56" t="s">
        <v>354</v>
      </c>
      <c r="P56" t="s">
        <v>354</v>
      </c>
      <c r="Q56">
        <v>1</v>
      </c>
      <c r="W56">
        <v>0</v>
      </c>
      <c r="X56">
        <v>-185737400</v>
      </c>
      <c r="Y56">
        <v>0.17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0.17</v>
      </c>
      <c r="AU56" t="s">
        <v>3</v>
      </c>
      <c r="AV56">
        <v>2</v>
      </c>
      <c r="AW56">
        <v>2</v>
      </c>
      <c r="AX56">
        <v>43157186</v>
      </c>
      <c r="AY56">
        <v>1</v>
      </c>
      <c r="AZ56">
        <v>0</v>
      </c>
      <c r="BA56">
        <v>58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Y56*Source!I37</f>
        <v>0.17</v>
      </c>
      <c r="CY56">
        <f>AD56</f>
        <v>0</v>
      </c>
      <c r="CZ56">
        <f>AH56</f>
        <v>0</v>
      </c>
      <c r="DA56">
        <f>AL56</f>
        <v>1</v>
      </c>
      <c r="DB56">
        <f t="shared" si="8"/>
        <v>0</v>
      </c>
      <c r="DC56">
        <f t="shared" si="9"/>
        <v>0</v>
      </c>
    </row>
    <row r="57" spans="1:107" x14ac:dyDescent="0.2">
      <c r="A57">
        <f>ROW(Source!A37)</f>
        <v>37</v>
      </c>
      <c r="B57">
        <v>43156991</v>
      </c>
      <c r="C57">
        <v>43157176</v>
      </c>
      <c r="D57">
        <v>29172479</v>
      </c>
      <c r="E57">
        <v>1</v>
      </c>
      <c r="F57">
        <v>1</v>
      </c>
      <c r="G57">
        <v>1</v>
      </c>
      <c r="H57">
        <v>2</v>
      </c>
      <c r="I57" t="s">
        <v>381</v>
      </c>
      <c r="J57" t="s">
        <v>382</v>
      </c>
      <c r="K57" t="s">
        <v>383</v>
      </c>
      <c r="L57">
        <v>1368</v>
      </c>
      <c r="N57">
        <v>1011</v>
      </c>
      <c r="O57" t="s">
        <v>343</v>
      </c>
      <c r="P57" t="s">
        <v>343</v>
      </c>
      <c r="Q57">
        <v>1</v>
      </c>
      <c r="W57">
        <v>0</v>
      </c>
      <c r="X57">
        <v>1549832887</v>
      </c>
      <c r="Y57">
        <v>0.17</v>
      </c>
      <c r="AA57">
        <v>0</v>
      </c>
      <c r="AB57">
        <v>850.06</v>
      </c>
      <c r="AC57">
        <v>307.02999999999997</v>
      </c>
      <c r="AD57">
        <v>0</v>
      </c>
      <c r="AE57">
        <v>0</v>
      </c>
      <c r="AF57">
        <v>99.89</v>
      </c>
      <c r="AG57">
        <v>10.06</v>
      </c>
      <c r="AH57">
        <v>0</v>
      </c>
      <c r="AI57">
        <v>1</v>
      </c>
      <c r="AJ57">
        <v>8.51</v>
      </c>
      <c r="AK57">
        <v>30.52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</v>
      </c>
      <c r="AT57">
        <v>0.17</v>
      </c>
      <c r="AU57" t="s">
        <v>3</v>
      </c>
      <c r="AV57">
        <v>0</v>
      </c>
      <c r="AW57">
        <v>2</v>
      </c>
      <c r="AX57">
        <v>43157187</v>
      </c>
      <c r="AY57">
        <v>1</v>
      </c>
      <c r="AZ57">
        <v>0</v>
      </c>
      <c r="BA57">
        <v>59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Y57*Source!I37</f>
        <v>0.17</v>
      </c>
      <c r="CY57">
        <f>AB57</f>
        <v>850.06</v>
      </c>
      <c r="CZ57">
        <f>AF57</f>
        <v>99.89</v>
      </c>
      <c r="DA57">
        <f>AJ57</f>
        <v>8.51</v>
      </c>
      <c r="DB57">
        <f t="shared" si="8"/>
        <v>16.98</v>
      </c>
      <c r="DC57">
        <f t="shared" si="9"/>
        <v>1.71</v>
      </c>
    </row>
    <row r="58" spans="1:107" x14ac:dyDescent="0.2">
      <c r="A58">
        <f>ROW(Source!A37)</f>
        <v>37</v>
      </c>
      <c r="B58">
        <v>43156991</v>
      </c>
      <c r="C58">
        <v>43157176</v>
      </c>
      <c r="D58">
        <v>29110405</v>
      </c>
      <c r="E58">
        <v>1</v>
      </c>
      <c r="F58">
        <v>1</v>
      </c>
      <c r="G58">
        <v>1</v>
      </c>
      <c r="H58">
        <v>3</v>
      </c>
      <c r="I58" t="s">
        <v>419</v>
      </c>
      <c r="J58" t="s">
        <v>420</v>
      </c>
      <c r="K58" t="s">
        <v>421</v>
      </c>
      <c r="L58">
        <v>1348</v>
      </c>
      <c r="N58">
        <v>1009</v>
      </c>
      <c r="O58" t="s">
        <v>308</v>
      </c>
      <c r="P58" t="s">
        <v>308</v>
      </c>
      <c r="Q58">
        <v>1000</v>
      </c>
      <c r="W58">
        <v>0</v>
      </c>
      <c r="X58">
        <v>-26118422</v>
      </c>
      <c r="Y58">
        <v>2.0000000000000001E-4</v>
      </c>
      <c r="AA58">
        <v>68677.7</v>
      </c>
      <c r="AB58">
        <v>0</v>
      </c>
      <c r="AC58">
        <v>0</v>
      </c>
      <c r="AD58">
        <v>0</v>
      </c>
      <c r="AE58">
        <v>26932.43</v>
      </c>
      <c r="AF58">
        <v>0</v>
      </c>
      <c r="AG58">
        <v>0</v>
      </c>
      <c r="AH58">
        <v>0</v>
      </c>
      <c r="AI58">
        <v>2.5499999999999998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2.0000000000000001E-4</v>
      </c>
      <c r="AU58" t="s">
        <v>3</v>
      </c>
      <c r="AV58">
        <v>0</v>
      </c>
      <c r="AW58">
        <v>2</v>
      </c>
      <c r="AX58">
        <v>43157188</v>
      </c>
      <c r="AY58">
        <v>1</v>
      </c>
      <c r="AZ58">
        <v>0</v>
      </c>
      <c r="BA58">
        <v>60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Y58*Source!I37</f>
        <v>2.0000000000000001E-4</v>
      </c>
      <c r="CY58">
        <f>AA58</f>
        <v>68677.7</v>
      </c>
      <c r="CZ58">
        <f>AE58</f>
        <v>26932.43</v>
      </c>
      <c r="DA58">
        <f>AI58</f>
        <v>2.5499999999999998</v>
      </c>
      <c r="DB58">
        <f t="shared" si="8"/>
        <v>5.39</v>
      </c>
      <c r="DC58">
        <f t="shared" si="9"/>
        <v>0</v>
      </c>
    </row>
    <row r="59" spans="1:107" x14ac:dyDescent="0.2">
      <c r="A59">
        <f>ROW(Source!A37)</f>
        <v>37</v>
      </c>
      <c r="B59">
        <v>43156991</v>
      </c>
      <c r="C59">
        <v>43157176</v>
      </c>
      <c r="D59">
        <v>29110575</v>
      </c>
      <c r="E59">
        <v>1</v>
      </c>
      <c r="F59">
        <v>1</v>
      </c>
      <c r="G59">
        <v>1</v>
      </c>
      <c r="H59">
        <v>3</v>
      </c>
      <c r="I59" t="s">
        <v>422</v>
      </c>
      <c r="J59" t="s">
        <v>423</v>
      </c>
      <c r="K59" t="s">
        <v>424</v>
      </c>
      <c r="L59">
        <v>1346</v>
      </c>
      <c r="N59">
        <v>1009</v>
      </c>
      <c r="O59" t="s">
        <v>315</v>
      </c>
      <c r="P59" t="s">
        <v>315</v>
      </c>
      <c r="Q59">
        <v>1</v>
      </c>
      <c r="W59">
        <v>0</v>
      </c>
      <c r="X59">
        <v>-425042614</v>
      </c>
      <c r="Y59">
        <v>0.01</v>
      </c>
      <c r="AA59">
        <v>154.47999999999999</v>
      </c>
      <c r="AB59">
        <v>0</v>
      </c>
      <c r="AC59">
        <v>0</v>
      </c>
      <c r="AD59">
        <v>0</v>
      </c>
      <c r="AE59">
        <v>32.590000000000003</v>
      </c>
      <c r="AF59">
        <v>0</v>
      </c>
      <c r="AG59">
        <v>0</v>
      </c>
      <c r="AH59">
        <v>0</v>
      </c>
      <c r="AI59">
        <v>4.74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0.01</v>
      </c>
      <c r="AU59" t="s">
        <v>3</v>
      </c>
      <c r="AV59">
        <v>0</v>
      </c>
      <c r="AW59">
        <v>2</v>
      </c>
      <c r="AX59">
        <v>43157189</v>
      </c>
      <c r="AY59">
        <v>1</v>
      </c>
      <c r="AZ59">
        <v>0</v>
      </c>
      <c r="BA59">
        <v>61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Y59*Source!I37</f>
        <v>0.01</v>
      </c>
      <c r="CY59">
        <f>AA59</f>
        <v>154.47999999999999</v>
      </c>
      <c r="CZ59">
        <f>AE59</f>
        <v>32.590000000000003</v>
      </c>
      <c r="DA59">
        <f>AI59</f>
        <v>4.74</v>
      </c>
      <c r="DB59">
        <f t="shared" si="8"/>
        <v>0.33</v>
      </c>
      <c r="DC59">
        <f t="shared" si="9"/>
        <v>0</v>
      </c>
    </row>
    <row r="60" spans="1:107" x14ac:dyDescent="0.2">
      <c r="A60">
        <f>ROW(Source!A37)</f>
        <v>37</v>
      </c>
      <c r="B60">
        <v>43156991</v>
      </c>
      <c r="C60">
        <v>43157176</v>
      </c>
      <c r="D60">
        <v>29115231</v>
      </c>
      <c r="E60">
        <v>1</v>
      </c>
      <c r="F60">
        <v>1</v>
      </c>
      <c r="G60">
        <v>1</v>
      </c>
      <c r="H60">
        <v>3</v>
      </c>
      <c r="I60" t="s">
        <v>425</v>
      </c>
      <c r="J60" t="s">
        <v>426</v>
      </c>
      <c r="K60" t="s">
        <v>427</v>
      </c>
      <c r="L60">
        <v>1339</v>
      </c>
      <c r="N60">
        <v>1007</v>
      </c>
      <c r="O60" t="s">
        <v>428</v>
      </c>
      <c r="P60" t="s">
        <v>428</v>
      </c>
      <c r="Q60">
        <v>1</v>
      </c>
      <c r="W60">
        <v>0</v>
      </c>
      <c r="X60">
        <v>111017771</v>
      </c>
      <c r="Y60">
        <v>5.0000000000000001E-3</v>
      </c>
      <c r="AA60">
        <v>41085.67</v>
      </c>
      <c r="AB60">
        <v>0</v>
      </c>
      <c r="AC60">
        <v>0</v>
      </c>
      <c r="AD60">
        <v>0</v>
      </c>
      <c r="AE60">
        <v>4788.54</v>
      </c>
      <c r="AF60">
        <v>0</v>
      </c>
      <c r="AG60">
        <v>0</v>
      </c>
      <c r="AH60">
        <v>0</v>
      </c>
      <c r="AI60">
        <v>8.58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5.0000000000000001E-3</v>
      </c>
      <c r="AU60" t="s">
        <v>3</v>
      </c>
      <c r="AV60">
        <v>0</v>
      </c>
      <c r="AW60">
        <v>2</v>
      </c>
      <c r="AX60">
        <v>43157190</v>
      </c>
      <c r="AY60">
        <v>1</v>
      </c>
      <c r="AZ60">
        <v>0</v>
      </c>
      <c r="BA60">
        <v>62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Y60*Source!I37</f>
        <v>5.0000000000000001E-3</v>
      </c>
      <c r="CY60">
        <f>AA60</f>
        <v>41085.67</v>
      </c>
      <c r="CZ60">
        <f>AE60</f>
        <v>4788.54</v>
      </c>
      <c r="DA60">
        <f>AI60</f>
        <v>8.58</v>
      </c>
      <c r="DB60">
        <f t="shared" si="8"/>
        <v>23.94</v>
      </c>
      <c r="DC60">
        <f t="shared" si="9"/>
        <v>0</v>
      </c>
    </row>
    <row r="61" spans="1:107" x14ac:dyDescent="0.2">
      <c r="A61">
        <f>ROW(Source!A37)</f>
        <v>37</v>
      </c>
      <c r="B61">
        <v>43156991</v>
      </c>
      <c r="C61">
        <v>43157176</v>
      </c>
      <c r="D61">
        <v>29149204</v>
      </c>
      <c r="E61">
        <v>1</v>
      </c>
      <c r="F61">
        <v>1</v>
      </c>
      <c r="G61">
        <v>1</v>
      </c>
      <c r="H61">
        <v>3</v>
      </c>
      <c r="I61" t="s">
        <v>348</v>
      </c>
      <c r="J61" t="s">
        <v>349</v>
      </c>
      <c r="K61" t="s">
        <v>350</v>
      </c>
      <c r="L61">
        <v>1348</v>
      </c>
      <c r="N61">
        <v>1009</v>
      </c>
      <c r="O61" t="s">
        <v>308</v>
      </c>
      <c r="P61" t="s">
        <v>308</v>
      </c>
      <c r="Q61">
        <v>1000</v>
      </c>
      <c r="W61">
        <v>0</v>
      </c>
      <c r="X61">
        <v>-601557392</v>
      </c>
      <c r="Y61">
        <v>2.9999999999999997E-4</v>
      </c>
      <c r="AA61">
        <v>4963.8599999999997</v>
      </c>
      <c r="AB61">
        <v>0</v>
      </c>
      <c r="AC61">
        <v>0</v>
      </c>
      <c r="AD61">
        <v>0</v>
      </c>
      <c r="AE61">
        <v>729.98</v>
      </c>
      <c r="AF61">
        <v>0</v>
      </c>
      <c r="AG61">
        <v>0</v>
      </c>
      <c r="AH61">
        <v>0</v>
      </c>
      <c r="AI61">
        <v>6.8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2.9999999999999997E-4</v>
      </c>
      <c r="AU61" t="s">
        <v>3</v>
      </c>
      <c r="AV61">
        <v>0</v>
      </c>
      <c r="AW61">
        <v>2</v>
      </c>
      <c r="AX61">
        <v>43157191</v>
      </c>
      <c r="AY61">
        <v>1</v>
      </c>
      <c r="AZ61">
        <v>0</v>
      </c>
      <c r="BA61">
        <v>63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Y61*Source!I37</f>
        <v>2.9999999999999997E-4</v>
      </c>
      <c r="CY61">
        <f>AA61</f>
        <v>4963.8599999999997</v>
      </c>
      <c r="CZ61">
        <f>AE61</f>
        <v>729.98</v>
      </c>
      <c r="DA61">
        <f>AI61</f>
        <v>6.8</v>
      </c>
      <c r="DB61">
        <f t="shared" si="8"/>
        <v>0.22</v>
      </c>
      <c r="DC61">
        <f t="shared" si="9"/>
        <v>0</v>
      </c>
    </row>
    <row r="62" spans="1:107" x14ac:dyDescent="0.2">
      <c r="A62">
        <f>ROW(Source!A37)</f>
        <v>37</v>
      </c>
      <c r="B62">
        <v>43156991</v>
      </c>
      <c r="C62">
        <v>43157176</v>
      </c>
      <c r="D62">
        <v>29171808</v>
      </c>
      <c r="E62">
        <v>1</v>
      </c>
      <c r="F62">
        <v>1</v>
      </c>
      <c r="G62">
        <v>1</v>
      </c>
      <c r="H62">
        <v>3</v>
      </c>
      <c r="I62" t="s">
        <v>334</v>
      </c>
      <c r="J62" t="s">
        <v>335</v>
      </c>
      <c r="K62" t="s">
        <v>336</v>
      </c>
      <c r="L62">
        <v>1374</v>
      </c>
      <c r="N62">
        <v>1013</v>
      </c>
      <c r="O62" t="s">
        <v>337</v>
      </c>
      <c r="P62" t="s">
        <v>337</v>
      </c>
      <c r="Q62">
        <v>1</v>
      </c>
      <c r="W62">
        <v>0</v>
      </c>
      <c r="X62">
        <v>-915781824</v>
      </c>
      <c r="Y62">
        <v>0.76</v>
      </c>
      <c r="AA62">
        <v>1</v>
      </c>
      <c r="AB62">
        <v>0</v>
      </c>
      <c r="AC62">
        <v>0</v>
      </c>
      <c r="AD62">
        <v>0</v>
      </c>
      <c r="AE62">
        <v>1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0.76</v>
      </c>
      <c r="AU62" t="s">
        <v>3</v>
      </c>
      <c r="AV62">
        <v>0</v>
      </c>
      <c r="AW62">
        <v>2</v>
      </c>
      <c r="AX62">
        <v>43157192</v>
      </c>
      <c r="AY62">
        <v>1</v>
      </c>
      <c r="AZ62">
        <v>0</v>
      </c>
      <c r="BA62">
        <v>64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Y62*Source!I37</f>
        <v>0.76</v>
      </c>
      <c r="CY62">
        <f>AA62</f>
        <v>1</v>
      </c>
      <c r="CZ62">
        <f>AE62</f>
        <v>1</v>
      </c>
      <c r="DA62">
        <f>AI62</f>
        <v>1</v>
      </c>
      <c r="DB62">
        <f t="shared" si="8"/>
        <v>0.76</v>
      </c>
      <c r="DC62">
        <f t="shared" si="9"/>
        <v>0</v>
      </c>
    </row>
    <row r="63" spans="1:107" x14ac:dyDescent="0.2">
      <c r="A63">
        <f>ROW(Source!A39)</f>
        <v>39</v>
      </c>
      <c r="B63">
        <v>43156991</v>
      </c>
      <c r="C63">
        <v>43157194</v>
      </c>
      <c r="D63">
        <v>29362762</v>
      </c>
      <c r="E63">
        <v>1</v>
      </c>
      <c r="F63">
        <v>1</v>
      </c>
      <c r="G63">
        <v>1</v>
      </c>
      <c r="H63">
        <v>1</v>
      </c>
      <c r="I63" t="s">
        <v>302</v>
      </c>
      <c r="J63" t="s">
        <v>3</v>
      </c>
      <c r="K63" t="s">
        <v>303</v>
      </c>
      <c r="L63">
        <v>1369</v>
      </c>
      <c r="N63">
        <v>1013</v>
      </c>
      <c r="O63" t="s">
        <v>304</v>
      </c>
      <c r="P63" t="s">
        <v>304</v>
      </c>
      <c r="Q63">
        <v>1</v>
      </c>
      <c r="W63">
        <v>0</v>
      </c>
      <c r="X63">
        <v>604758886</v>
      </c>
      <c r="Y63">
        <v>8.1999999999999993</v>
      </c>
      <c r="AA63">
        <v>0</v>
      </c>
      <c r="AB63">
        <v>0</v>
      </c>
      <c r="AC63">
        <v>0</v>
      </c>
      <c r="AD63">
        <v>9.6199999999999992</v>
      </c>
      <c r="AE63">
        <v>0</v>
      </c>
      <c r="AF63">
        <v>0</v>
      </c>
      <c r="AG63">
        <v>0</v>
      </c>
      <c r="AH63">
        <v>9.6199999999999992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</v>
      </c>
      <c r="AT63">
        <v>8.1999999999999993</v>
      </c>
      <c r="AU63" t="s">
        <v>3</v>
      </c>
      <c r="AV63">
        <v>1</v>
      </c>
      <c r="AW63">
        <v>2</v>
      </c>
      <c r="AX63">
        <v>43157200</v>
      </c>
      <c r="AY63">
        <v>1</v>
      </c>
      <c r="AZ63">
        <v>0</v>
      </c>
      <c r="BA63">
        <v>65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Y63*Source!I39</f>
        <v>0.16399999999999998</v>
      </c>
      <c r="CY63">
        <f>AD63</f>
        <v>9.6199999999999992</v>
      </c>
      <c r="CZ63">
        <f>AH63</f>
        <v>9.6199999999999992</v>
      </c>
      <c r="DA63">
        <f>AL63</f>
        <v>1</v>
      </c>
      <c r="DB63">
        <f t="shared" si="8"/>
        <v>78.88</v>
      </c>
      <c r="DC63">
        <f t="shared" si="9"/>
        <v>0</v>
      </c>
    </row>
    <row r="64" spans="1:107" x14ac:dyDescent="0.2">
      <c r="A64">
        <f>ROW(Source!A39)</f>
        <v>39</v>
      </c>
      <c r="B64">
        <v>43156991</v>
      </c>
      <c r="C64">
        <v>43157194</v>
      </c>
      <c r="D64">
        <v>29107959</v>
      </c>
      <c r="E64">
        <v>1</v>
      </c>
      <c r="F64">
        <v>1</v>
      </c>
      <c r="G64">
        <v>1</v>
      </c>
      <c r="H64">
        <v>3</v>
      </c>
      <c r="I64" t="s">
        <v>316</v>
      </c>
      <c r="J64" t="s">
        <v>317</v>
      </c>
      <c r="K64" t="s">
        <v>318</v>
      </c>
      <c r="L64">
        <v>1346</v>
      </c>
      <c r="N64">
        <v>1009</v>
      </c>
      <c r="O64" t="s">
        <v>315</v>
      </c>
      <c r="P64" t="s">
        <v>315</v>
      </c>
      <c r="Q64">
        <v>1</v>
      </c>
      <c r="W64">
        <v>0</v>
      </c>
      <c r="X64">
        <v>-1808187047</v>
      </c>
      <c r="Y64">
        <v>2.3E-2</v>
      </c>
      <c r="AA64">
        <v>336.37</v>
      </c>
      <c r="AB64">
        <v>0</v>
      </c>
      <c r="AC64">
        <v>0</v>
      </c>
      <c r="AD64">
        <v>0</v>
      </c>
      <c r="AE64">
        <v>155.01</v>
      </c>
      <c r="AF64">
        <v>0</v>
      </c>
      <c r="AG64">
        <v>0</v>
      </c>
      <c r="AH64">
        <v>0</v>
      </c>
      <c r="AI64">
        <v>2.17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2.3E-2</v>
      </c>
      <c r="AU64" t="s">
        <v>3</v>
      </c>
      <c r="AV64">
        <v>0</v>
      </c>
      <c r="AW64">
        <v>2</v>
      </c>
      <c r="AX64">
        <v>43157201</v>
      </c>
      <c r="AY64">
        <v>1</v>
      </c>
      <c r="AZ64">
        <v>0</v>
      </c>
      <c r="BA64">
        <v>66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Y64*Source!I39</f>
        <v>4.6000000000000001E-4</v>
      </c>
      <c r="CY64">
        <f>AA64</f>
        <v>336.37</v>
      </c>
      <c r="CZ64">
        <f>AE64</f>
        <v>155.01</v>
      </c>
      <c r="DA64">
        <f>AI64</f>
        <v>2.17</v>
      </c>
      <c r="DB64">
        <f t="shared" si="8"/>
        <v>3.57</v>
      </c>
      <c r="DC64">
        <f t="shared" si="9"/>
        <v>0</v>
      </c>
    </row>
    <row r="65" spans="1:107" x14ac:dyDescent="0.2">
      <c r="A65">
        <f>ROW(Source!A39)</f>
        <v>39</v>
      </c>
      <c r="B65">
        <v>43156991</v>
      </c>
      <c r="C65">
        <v>43157194</v>
      </c>
      <c r="D65">
        <v>29110748</v>
      </c>
      <c r="E65">
        <v>1</v>
      </c>
      <c r="F65">
        <v>1</v>
      </c>
      <c r="G65">
        <v>1</v>
      </c>
      <c r="H65">
        <v>3</v>
      </c>
      <c r="I65" t="s">
        <v>429</v>
      </c>
      <c r="J65" t="s">
        <v>430</v>
      </c>
      <c r="K65" t="s">
        <v>431</v>
      </c>
      <c r="L65">
        <v>1308</v>
      </c>
      <c r="N65">
        <v>1003</v>
      </c>
      <c r="O65" t="s">
        <v>120</v>
      </c>
      <c r="P65" t="s">
        <v>120</v>
      </c>
      <c r="Q65">
        <v>100</v>
      </c>
      <c r="W65">
        <v>0</v>
      </c>
      <c r="X65">
        <v>-111061189</v>
      </c>
      <c r="Y65">
        <v>0.03</v>
      </c>
      <c r="AA65">
        <v>211.46</v>
      </c>
      <c r="AB65">
        <v>0</v>
      </c>
      <c r="AC65">
        <v>0</v>
      </c>
      <c r="AD65">
        <v>0</v>
      </c>
      <c r="AE65">
        <v>94.4</v>
      </c>
      <c r="AF65">
        <v>0</v>
      </c>
      <c r="AG65">
        <v>0</v>
      </c>
      <c r="AH65">
        <v>0</v>
      </c>
      <c r="AI65">
        <v>2.2400000000000002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0.03</v>
      </c>
      <c r="AU65" t="s">
        <v>3</v>
      </c>
      <c r="AV65">
        <v>0</v>
      </c>
      <c r="AW65">
        <v>2</v>
      </c>
      <c r="AX65">
        <v>43157202</v>
      </c>
      <c r="AY65">
        <v>1</v>
      </c>
      <c r="AZ65">
        <v>0</v>
      </c>
      <c r="BA65">
        <v>67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Y65*Source!I39</f>
        <v>5.9999999999999995E-4</v>
      </c>
      <c r="CY65">
        <f>AA65</f>
        <v>211.46</v>
      </c>
      <c r="CZ65">
        <f>AE65</f>
        <v>94.4</v>
      </c>
      <c r="DA65">
        <f>AI65</f>
        <v>2.2400000000000002</v>
      </c>
      <c r="DB65">
        <f t="shared" ref="DB65:DB96" si="10">ROUND(ROUND(AT65*CZ65,2),2)</f>
        <v>2.83</v>
      </c>
      <c r="DC65">
        <f t="shared" ref="DC65:DC96" si="11">ROUND(ROUND(AT65*AG65,2),2)</f>
        <v>0</v>
      </c>
    </row>
    <row r="66" spans="1:107" x14ac:dyDescent="0.2">
      <c r="A66">
        <f>ROW(Source!A39)</f>
        <v>39</v>
      </c>
      <c r="B66">
        <v>43156991</v>
      </c>
      <c r="C66">
        <v>43157194</v>
      </c>
      <c r="D66">
        <v>29158009</v>
      </c>
      <c r="E66">
        <v>1</v>
      </c>
      <c r="F66">
        <v>1</v>
      </c>
      <c r="G66">
        <v>1</v>
      </c>
      <c r="H66">
        <v>3</v>
      </c>
      <c r="I66" t="s">
        <v>432</v>
      </c>
      <c r="J66" t="s">
        <v>433</v>
      </c>
      <c r="K66" t="s">
        <v>434</v>
      </c>
      <c r="L66">
        <v>1346</v>
      </c>
      <c r="N66">
        <v>1009</v>
      </c>
      <c r="O66" t="s">
        <v>315</v>
      </c>
      <c r="P66" t="s">
        <v>315</v>
      </c>
      <c r="Q66">
        <v>1</v>
      </c>
      <c r="W66">
        <v>0</v>
      </c>
      <c r="X66">
        <v>1474156349</v>
      </c>
      <c r="Y66">
        <v>1.4999999999999999E-2</v>
      </c>
      <c r="AA66">
        <v>890.21</v>
      </c>
      <c r="AB66">
        <v>0</v>
      </c>
      <c r="AC66">
        <v>0</v>
      </c>
      <c r="AD66">
        <v>0</v>
      </c>
      <c r="AE66">
        <v>114.57</v>
      </c>
      <c r="AF66">
        <v>0</v>
      </c>
      <c r="AG66">
        <v>0</v>
      </c>
      <c r="AH66">
        <v>0</v>
      </c>
      <c r="AI66">
        <v>7.77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1.4999999999999999E-2</v>
      </c>
      <c r="AU66" t="s">
        <v>3</v>
      </c>
      <c r="AV66">
        <v>0</v>
      </c>
      <c r="AW66">
        <v>2</v>
      </c>
      <c r="AX66">
        <v>43157203</v>
      </c>
      <c r="AY66">
        <v>1</v>
      </c>
      <c r="AZ66">
        <v>0</v>
      </c>
      <c r="BA66">
        <v>68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Y66*Source!I39</f>
        <v>2.9999999999999997E-4</v>
      </c>
      <c r="CY66">
        <f>AA66</f>
        <v>890.21</v>
      </c>
      <c r="CZ66">
        <f>AE66</f>
        <v>114.57</v>
      </c>
      <c r="DA66">
        <f>AI66</f>
        <v>7.77</v>
      </c>
      <c r="DB66">
        <f t="shared" si="10"/>
        <v>1.72</v>
      </c>
      <c r="DC66">
        <f t="shared" si="11"/>
        <v>0</v>
      </c>
    </row>
    <row r="67" spans="1:107" x14ac:dyDescent="0.2">
      <c r="A67">
        <f>ROW(Source!A39)</f>
        <v>39</v>
      </c>
      <c r="B67">
        <v>43156991</v>
      </c>
      <c r="C67">
        <v>43157194</v>
      </c>
      <c r="D67">
        <v>29171808</v>
      </c>
      <c r="E67">
        <v>1</v>
      </c>
      <c r="F67">
        <v>1</v>
      </c>
      <c r="G67">
        <v>1</v>
      </c>
      <c r="H67">
        <v>3</v>
      </c>
      <c r="I67" t="s">
        <v>334</v>
      </c>
      <c r="J67" t="s">
        <v>335</v>
      </c>
      <c r="K67" t="s">
        <v>336</v>
      </c>
      <c r="L67">
        <v>1374</v>
      </c>
      <c r="N67">
        <v>1013</v>
      </c>
      <c r="O67" t="s">
        <v>337</v>
      </c>
      <c r="P67" t="s">
        <v>337</v>
      </c>
      <c r="Q67">
        <v>1</v>
      </c>
      <c r="W67">
        <v>0</v>
      </c>
      <c r="X67">
        <v>-915781824</v>
      </c>
      <c r="Y67">
        <v>1.58</v>
      </c>
      <c r="AA67">
        <v>1</v>
      </c>
      <c r="AB67">
        <v>0</v>
      </c>
      <c r="AC67">
        <v>0</v>
      </c>
      <c r="AD67">
        <v>0</v>
      </c>
      <c r="AE67">
        <v>1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1.58</v>
      </c>
      <c r="AU67" t="s">
        <v>3</v>
      </c>
      <c r="AV67">
        <v>0</v>
      </c>
      <c r="AW67">
        <v>2</v>
      </c>
      <c r="AX67">
        <v>43157204</v>
      </c>
      <c r="AY67">
        <v>1</v>
      </c>
      <c r="AZ67">
        <v>0</v>
      </c>
      <c r="BA67">
        <v>69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Y67*Source!I39</f>
        <v>3.1600000000000003E-2</v>
      </c>
      <c r="CY67">
        <f>AA67</f>
        <v>1</v>
      </c>
      <c r="CZ67">
        <f>AE67</f>
        <v>1</v>
      </c>
      <c r="DA67">
        <f>AI67</f>
        <v>1</v>
      </c>
      <c r="DB67">
        <f t="shared" si="10"/>
        <v>1.58</v>
      </c>
      <c r="DC67">
        <f t="shared" si="11"/>
        <v>0</v>
      </c>
    </row>
    <row r="68" spans="1:107" x14ac:dyDescent="0.2">
      <c r="A68">
        <f>ROW(Source!A42)</f>
        <v>42</v>
      </c>
      <c r="B68">
        <v>43156991</v>
      </c>
      <c r="C68">
        <v>43157207</v>
      </c>
      <c r="D68">
        <v>29361307</v>
      </c>
      <c r="E68">
        <v>1</v>
      </c>
      <c r="F68">
        <v>1</v>
      </c>
      <c r="G68">
        <v>1</v>
      </c>
      <c r="H68">
        <v>1</v>
      </c>
      <c r="I68" t="s">
        <v>435</v>
      </c>
      <c r="J68" t="s">
        <v>3</v>
      </c>
      <c r="K68" t="s">
        <v>436</v>
      </c>
      <c r="L68">
        <v>1369</v>
      </c>
      <c r="N68">
        <v>1013</v>
      </c>
      <c r="O68" t="s">
        <v>304</v>
      </c>
      <c r="P68" t="s">
        <v>304</v>
      </c>
      <c r="Q68">
        <v>1</v>
      </c>
      <c r="W68">
        <v>0</v>
      </c>
      <c r="X68">
        <v>357208865</v>
      </c>
      <c r="Y68">
        <v>1.56</v>
      </c>
      <c r="AA68">
        <v>0</v>
      </c>
      <c r="AB68">
        <v>0</v>
      </c>
      <c r="AC68">
        <v>0</v>
      </c>
      <c r="AD68">
        <v>9.51</v>
      </c>
      <c r="AE68">
        <v>0</v>
      </c>
      <c r="AF68">
        <v>0</v>
      </c>
      <c r="AG68">
        <v>0</v>
      </c>
      <c r="AH68">
        <v>9.51</v>
      </c>
      <c r="AI68">
        <v>1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3</v>
      </c>
      <c r="AT68">
        <v>1.56</v>
      </c>
      <c r="AU68" t="s">
        <v>3</v>
      </c>
      <c r="AV68">
        <v>1</v>
      </c>
      <c r="AW68">
        <v>2</v>
      </c>
      <c r="AX68">
        <v>43157223</v>
      </c>
      <c r="AY68">
        <v>1</v>
      </c>
      <c r="AZ68">
        <v>0</v>
      </c>
      <c r="BA68">
        <v>70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Y68*Source!I42</f>
        <v>1.56</v>
      </c>
      <c r="CY68">
        <f>AD68</f>
        <v>9.51</v>
      </c>
      <c r="CZ68">
        <f>AH68</f>
        <v>9.51</v>
      </c>
      <c r="DA68">
        <f>AL68</f>
        <v>1</v>
      </c>
      <c r="DB68">
        <f t="shared" si="10"/>
        <v>14.84</v>
      </c>
      <c r="DC68">
        <f t="shared" si="11"/>
        <v>0</v>
      </c>
    </row>
    <row r="69" spans="1:107" x14ac:dyDescent="0.2">
      <c r="A69">
        <f>ROW(Source!A42)</f>
        <v>42</v>
      </c>
      <c r="B69">
        <v>43156991</v>
      </c>
      <c r="C69">
        <v>43157207</v>
      </c>
      <c r="D69">
        <v>29172657</v>
      </c>
      <c r="E69">
        <v>1</v>
      </c>
      <c r="F69">
        <v>1</v>
      </c>
      <c r="G69">
        <v>1</v>
      </c>
      <c r="H69">
        <v>2</v>
      </c>
      <c r="I69" t="s">
        <v>358</v>
      </c>
      <c r="J69" t="s">
        <v>359</v>
      </c>
      <c r="K69" t="s">
        <v>360</v>
      </c>
      <c r="L69">
        <v>1368</v>
      </c>
      <c r="N69">
        <v>1011</v>
      </c>
      <c r="O69" t="s">
        <v>343</v>
      </c>
      <c r="P69" t="s">
        <v>343</v>
      </c>
      <c r="Q69">
        <v>1</v>
      </c>
      <c r="W69">
        <v>0</v>
      </c>
      <c r="X69">
        <v>1474986261</v>
      </c>
      <c r="Y69">
        <v>0.13</v>
      </c>
      <c r="AA69">
        <v>0</v>
      </c>
      <c r="AB69">
        <v>58.48</v>
      </c>
      <c r="AC69">
        <v>0</v>
      </c>
      <c r="AD69">
        <v>0</v>
      </c>
      <c r="AE69">
        <v>0</v>
      </c>
      <c r="AF69">
        <v>8.1</v>
      </c>
      <c r="AG69">
        <v>0</v>
      </c>
      <c r="AH69">
        <v>0</v>
      </c>
      <c r="AI69">
        <v>1</v>
      </c>
      <c r="AJ69">
        <v>7.22</v>
      </c>
      <c r="AK69">
        <v>30.52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</v>
      </c>
      <c r="AT69">
        <v>0.13</v>
      </c>
      <c r="AU69" t="s">
        <v>3</v>
      </c>
      <c r="AV69">
        <v>0</v>
      </c>
      <c r="AW69">
        <v>2</v>
      </c>
      <c r="AX69">
        <v>43157224</v>
      </c>
      <c r="AY69">
        <v>1</v>
      </c>
      <c r="AZ69">
        <v>0</v>
      </c>
      <c r="BA69">
        <v>71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Y69*Source!I42</f>
        <v>0.13</v>
      </c>
      <c r="CY69">
        <f>AB69</f>
        <v>58.48</v>
      </c>
      <c r="CZ69">
        <f>AF69</f>
        <v>8.1</v>
      </c>
      <c r="DA69">
        <f>AJ69</f>
        <v>7.22</v>
      </c>
      <c r="DB69">
        <f t="shared" si="10"/>
        <v>1.05</v>
      </c>
      <c r="DC69">
        <f t="shared" si="11"/>
        <v>0</v>
      </c>
    </row>
    <row r="70" spans="1:107" x14ac:dyDescent="0.2">
      <c r="A70">
        <f>ROW(Source!A42)</f>
        <v>42</v>
      </c>
      <c r="B70">
        <v>43156991</v>
      </c>
      <c r="C70">
        <v>43157207</v>
      </c>
      <c r="D70">
        <v>29174500</v>
      </c>
      <c r="E70">
        <v>1</v>
      </c>
      <c r="F70">
        <v>1</v>
      </c>
      <c r="G70">
        <v>1</v>
      </c>
      <c r="H70">
        <v>2</v>
      </c>
      <c r="I70" t="s">
        <v>340</v>
      </c>
      <c r="J70" t="s">
        <v>341</v>
      </c>
      <c r="K70" t="s">
        <v>342</v>
      </c>
      <c r="L70">
        <v>1368</v>
      </c>
      <c r="N70">
        <v>1011</v>
      </c>
      <c r="O70" t="s">
        <v>343</v>
      </c>
      <c r="P70" t="s">
        <v>343</v>
      </c>
      <c r="Q70">
        <v>1</v>
      </c>
      <c r="W70">
        <v>0</v>
      </c>
      <c r="X70">
        <v>-1867053656</v>
      </c>
      <c r="Y70">
        <v>0.04</v>
      </c>
      <c r="AA70">
        <v>0</v>
      </c>
      <c r="AB70">
        <v>7.25</v>
      </c>
      <c r="AC70">
        <v>0</v>
      </c>
      <c r="AD70">
        <v>0</v>
      </c>
      <c r="AE70">
        <v>0</v>
      </c>
      <c r="AF70">
        <v>1.95</v>
      </c>
      <c r="AG70">
        <v>0</v>
      </c>
      <c r="AH70">
        <v>0</v>
      </c>
      <c r="AI70">
        <v>1</v>
      </c>
      <c r="AJ70">
        <v>3.72</v>
      </c>
      <c r="AK70">
        <v>30.52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</v>
      </c>
      <c r="AT70">
        <v>0.04</v>
      </c>
      <c r="AU70" t="s">
        <v>3</v>
      </c>
      <c r="AV70">
        <v>0</v>
      </c>
      <c r="AW70">
        <v>2</v>
      </c>
      <c r="AX70">
        <v>43157225</v>
      </c>
      <c r="AY70">
        <v>1</v>
      </c>
      <c r="AZ70">
        <v>0</v>
      </c>
      <c r="BA70">
        <v>72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Y70*Source!I42</f>
        <v>0.04</v>
      </c>
      <c r="CY70">
        <f>AB70</f>
        <v>7.25</v>
      </c>
      <c r="CZ70">
        <f>AF70</f>
        <v>1.95</v>
      </c>
      <c r="DA70">
        <f>AJ70</f>
        <v>3.72</v>
      </c>
      <c r="DB70">
        <f t="shared" si="10"/>
        <v>0.08</v>
      </c>
      <c r="DC70">
        <f t="shared" si="11"/>
        <v>0</v>
      </c>
    </row>
    <row r="71" spans="1:107" x14ac:dyDescent="0.2">
      <c r="A71">
        <f>ROW(Source!A42)</f>
        <v>42</v>
      </c>
      <c r="B71">
        <v>43156991</v>
      </c>
      <c r="C71">
        <v>43157207</v>
      </c>
      <c r="D71">
        <v>29110546</v>
      </c>
      <c r="E71">
        <v>1</v>
      </c>
      <c r="F71">
        <v>1</v>
      </c>
      <c r="G71">
        <v>1</v>
      </c>
      <c r="H71">
        <v>3</v>
      </c>
      <c r="I71" t="s">
        <v>384</v>
      </c>
      <c r="J71" t="s">
        <v>385</v>
      </c>
      <c r="K71" t="s">
        <v>386</v>
      </c>
      <c r="L71">
        <v>1346</v>
      </c>
      <c r="N71">
        <v>1009</v>
      </c>
      <c r="O71" t="s">
        <v>315</v>
      </c>
      <c r="P71" t="s">
        <v>315</v>
      </c>
      <c r="Q71">
        <v>1</v>
      </c>
      <c r="W71">
        <v>0</v>
      </c>
      <c r="X71">
        <v>2102179917</v>
      </c>
      <c r="Y71">
        <v>6.0000000000000001E-3</v>
      </c>
      <c r="AA71">
        <v>137.88999999999999</v>
      </c>
      <c r="AB71">
        <v>0</v>
      </c>
      <c r="AC71">
        <v>0</v>
      </c>
      <c r="AD71">
        <v>0</v>
      </c>
      <c r="AE71">
        <v>35.630000000000003</v>
      </c>
      <c r="AF71">
        <v>0</v>
      </c>
      <c r="AG71">
        <v>0</v>
      </c>
      <c r="AH71">
        <v>0</v>
      </c>
      <c r="AI71">
        <v>3.87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6.0000000000000001E-3</v>
      </c>
      <c r="AU71" t="s">
        <v>3</v>
      </c>
      <c r="AV71">
        <v>0</v>
      </c>
      <c r="AW71">
        <v>2</v>
      </c>
      <c r="AX71">
        <v>43157226</v>
      </c>
      <c r="AY71">
        <v>1</v>
      </c>
      <c r="AZ71">
        <v>0</v>
      </c>
      <c r="BA71">
        <v>73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Y71*Source!I42</f>
        <v>6.0000000000000001E-3</v>
      </c>
      <c r="CY71">
        <f t="shared" ref="CY71:CY82" si="12">AA71</f>
        <v>137.88999999999999</v>
      </c>
      <c r="CZ71">
        <f t="shared" ref="CZ71:CZ82" si="13">AE71</f>
        <v>35.630000000000003</v>
      </c>
      <c r="DA71">
        <f t="shared" ref="DA71:DA82" si="14">AI71</f>
        <v>3.87</v>
      </c>
      <c r="DB71">
        <f t="shared" si="10"/>
        <v>0.21</v>
      </c>
      <c r="DC71">
        <f t="shared" si="11"/>
        <v>0</v>
      </c>
    </row>
    <row r="72" spans="1:107" x14ac:dyDescent="0.2">
      <c r="A72">
        <f>ROW(Source!A42)</f>
        <v>42</v>
      </c>
      <c r="B72">
        <v>43156991</v>
      </c>
      <c r="C72">
        <v>43157207</v>
      </c>
      <c r="D72">
        <v>29113980</v>
      </c>
      <c r="E72">
        <v>1</v>
      </c>
      <c r="F72">
        <v>1</v>
      </c>
      <c r="G72">
        <v>1</v>
      </c>
      <c r="H72">
        <v>3</v>
      </c>
      <c r="I72" t="s">
        <v>370</v>
      </c>
      <c r="J72" t="s">
        <v>371</v>
      </c>
      <c r="K72" t="s">
        <v>372</v>
      </c>
      <c r="L72">
        <v>1346</v>
      </c>
      <c r="N72">
        <v>1009</v>
      </c>
      <c r="O72" t="s">
        <v>315</v>
      </c>
      <c r="P72" t="s">
        <v>315</v>
      </c>
      <c r="Q72">
        <v>1</v>
      </c>
      <c r="W72">
        <v>0</v>
      </c>
      <c r="X72">
        <v>-1805966371</v>
      </c>
      <c r="Y72">
        <v>7.0000000000000007E-2</v>
      </c>
      <c r="AA72">
        <v>93.59</v>
      </c>
      <c r="AB72">
        <v>0</v>
      </c>
      <c r="AC72">
        <v>0</v>
      </c>
      <c r="AD72">
        <v>0</v>
      </c>
      <c r="AE72">
        <v>14.31</v>
      </c>
      <c r="AF72">
        <v>0</v>
      </c>
      <c r="AG72">
        <v>0</v>
      </c>
      <c r="AH72">
        <v>0</v>
      </c>
      <c r="AI72">
        <v>6.54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7.0000000000000007E-2</v>
      </c>
      <c r="AU72" t="s">
        <v>3</v>
      </c>
      <c r="AV72">
        <v>0</v>
      </c>
      <c r="AW72">
        <v>2</v>
      </c>
      <c r="AX72">
        <v>43157227</v>
      </c>
      <c r="AY72">
        <v>1</v>
      </c>
      <c r="AZ72">
        <v>0</v>
      </c>
      <c r="BA72">
        <v>74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Y72*Source!I42</f>
        <v>7.0000000000000007E-2</v>
      </c>
      <c r="CY72">
        <f t="shared" si="12"/>
        <v>93.59</v>
      </c>
      <c r="CZ72">
        <f t="shared" si="13"/>
        <v>14.31</v>
      </c>
      <c r="DA72">
        <f t="shared" si="14"/>
        <v>6.54</v>
      </c>
      <c r="DB72">
        <f t="shared" si="10"/>
        <v>1</v>
      </c>
      <c r="DC72">
        <f t="shared" si="11"/>
        <v>0</v>
      </c>
    </row>
    <row r="73" spans="1:107" x14ac:dyDescent="0.2">
      <c r="A73">
        <f>ROW(Source!A42)</f>
        <v>42</v>
      </c>
      <c r="B73">
        <v>43156991</v>
      </c>
      <c r="C73">
        <v>43157207</v>
      </c>
      <c r="D73">
        <v>29108369</v>
      </c>
      <c r="E73">
        <v>1</v>
      </c>
      <c r="F73">
        <v>1</v>
      </c>
      <c r="G73">
        <v>1</v>
      </c>
      <c r="H73">
        <v>3</v>
      </c>
      <c r="I73" t="s">
        <v>437</v>
      </c>
      <c r="J73" t="s">
        <v>438</v>
      </c>
      <c r="K73" t="s">
        <v>439</v>
      </c>
      <c r="L73">
        <v>1346</v>
      </c>
      <c r="N73">
        <v>1009</v>
      </c>
      <c r="O73" t="s">
        <v>315</v>
      </c>
      <c r="P73" t="s">
        <v>315</v>
      </c>
      <c r="Q73">
        <v>1</v>
      </c>
      <c r="W73">
        <v>0</v>
      </c>
      <c r="X73">
        <v>326902400</v>
      </c>
      <c r="Y73">
        <v>1E-3</v>
      </c>
      <c r="AA73">
        <v>204.5</v>
      </c>
      <c r="AB73">
        <v>0</v>
      </c>
      <c r="AC73">
        <v>0</v>
      </c>
      <c r="AD73">
        <v>0</v>
      </c>
      <c r="AE73">
        <v>18.899999999999999</v>
      </c>
      <c r="AF73">
        <v>0</v>
      </c>
      <c r="AG73">
        <v>0</v>
      </c>
      <c r="AH73">
        <v>0</v>
      </c>
      <c r="AI73">
        <v>10.82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1E-3</v>
      </c>
      <c r="AU73" t="s">
        <v>3</v>
      </c>
      <c r="AV73">
        <v>0</v>
      </c>
      <c r="AW73">
        <v>2</v>
      </c>
      <c r="AX73">
        <v>43157228</v>
      </c>
      <c r="AY73">
        <v>1</v>
      </c>
      <c r="AZ73">
        <v>0</v>
      </c>
      <c r="BA73">
        <v>75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Y73*Source!I42</f>
        <v>1E-3</v>
      </c>
      <c r="CY73">
        <f t="shared" si="12"/>
        <v>204.5</v>
      </c>
      <c r="CZ73">
        <f t="shared" si="13"/>
        <v>18.899999999999999</v>
      </c>
      <c r="DA73">
        <f t="shared" si="14"/>
        <v>10.82</v>
      </c>
      <c r="DB73">
        <f t="shared" si="10"/>
        <v>0.02</v>
      </c>
      <c r="DC73">
        <f t="shared" si="11"/>
        <v>0</v>
      </c>
    </row>
    <row r="74" spans="1:107" x14ac:dyDescent="0.2">
      <c r="A74">
        <f>ROW(Source!A42)</f>
        <v>42</v>
      </c>
      <c r="B74">
        <v>43156991</v>
      </c>
      <c r="C74">
        <v>43157207</v>
      </c>
      <c r="D74">
        <v>29114246</v>
      </c>
      <c r="E74">
        <v>1</v>
      </c>
      <c r="F74">
        <v>1</v>
      </c>
      <c r="G74">
        <v>1</v>
      </c>
      <c r="H74">
        <v>3</v>
      </c>
      <c r="I74" t="s">
        <v>373</v>
      </c>
      <c r="J74" t="s">
        <v>374</v>
      </c>
      <c r="K74" t="s">
        <v>375</v>
      </c>
      <c r="L74">
        <v>1346</v>
      </c>
      <c r="N74">
        <v>1009</v>
      </c>
      <c r="O74" t="s">
        <v>315</v>
      </c>
      <c r="P74" t="s">
        <v>315</v>
      </c>
      <c r="Q74">
        <v>1</v>
      </c>
      <c r="W74">
        <v>0</v>
      </c>
      <c r="X74">
        <v>30920770</v>
      </c>
      <c r="Y74">
        <v>4.9000000000000002E-2</v>
      </c>
      <c r="AA74">
        <v>79.64</v>
      </c>
      <c r="AB74">
        <v>0</v>
      </c>
      <c r="AC74">
        <v>0</v>
      </c>
      <c r="AD74">
        <v>0</v>
      </c>
      <c r="AE74">
        <v>9.0399999999999991</v>
      </c>
      <c r="AF74">
        <v>0</v>
      </c>
      <c r="AG74">
        <v>0</v>
      </c>
      <c r="AH74">
        <v>0</v>
      </c>
      <c r="AI74">
        <v>8.81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4.9000000000000002E-2</v>
      </c>
      <c r="AU74" t="s">
        <v>3</v>
      </c>
      <c r="AV74">
        <v>0</v>
      </c>
      <c r="AW74">
        <v>2</v>
      </c>
      <c r="AX74">
        <v>43157229</v>
      </c>
      <c r="AY74">
        <v>1</v>
      </c>
      <c r="AZ74">
        <v>0</v>
      </c>
      <c r="BA74">
        <v>76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Y74*Source!I42</f>
        <v>4.9000000000000002E-2</v>
      </c>
      <c r="CY74">
        <f t="shared" si="12"/>
        <v>79.64</v>
      </c>
      <c r="CZ74">
        <f t="shared" si="13"/>
        <v>9.0399999999999991</v>
      </c>
      <c r="DA74">
        <f t="shared" si="14"/>
        <v>8.81</v>
      </c>
      <c r="DB74">
        <f t="shared" si="10"/>
        <v>0.44</v>
      </c>
      <c r="DC74">
        <f t="shared" si="11"/>
        <v>0</v>
      </c>
    </row>
    <row r="75" spans="1:107" x14ac:dyDescent="0.2">
      <c r="A75">
        <f>ROW(Source!A42)</f>
        <v>42</v>
      </c>
      <c r="B75">
        <v>43156991</v>
      </c>
      <c r="C75">
        <v>43157207</v>
      </c>
      <c r="D75">
        <v>29110426</v>
      </c>
      <c r="E75">
        <v>1</v>
      </c>
      <c r="F75">
        <v>1</v>
      </c>
      <c r="G75">
        <v>1</v>
      </c>
      <c r="H75">
        <v>3</v>
      </c>
      <c r="I75" t="s">
        <v>376</v>
      </c>
      <c r="J75" t="s">
        <v>377</v>
      </c>
      <c r="K75" t="s">
        <v>378</v>
      </c>
      <c r="L75">
        <v>1346</v>
      </c>
      <c r="N75">
        <v>1009</v>
      </c>
      <c r="O75" t="s">
        <v>315</v>
      </c>
      <c r="P75" t="s">
        <v>315</v>
      </c>
      <c r="Q75">
        <v>1</v>
      </c>
      <c r="W75">
        <v>0</v>
      </c>
      <c r="X75">
        <v>-1768004575</v>
      </c>
      <c r="Y75">
        <v>3.5999999999999997E-2</v>
      </c>
      <c r="AA75">
        <v>63.36</v>
      </c>
      <c r="AB75">
        <v>0</v>
      </c>
      <c r="AC75">
        <v>0</v>
      </c>
      <c r="AD75">
        <v>0</v>
      </c>
      <c r="AE75">
        <v>28.67</v>
      </c>
      <c r="AF75">
        <v>0</v>
      </c>
      <c r="AG75">
        <v>0</v>
      </c>
      <c r="AH75">
        <v>0</v>
      </c>
      <c r="AI75">
        <v>2.21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3.5999999999999997E-2</v>
      </c>
      <c r="AU75" t="s">
        <v>3</v>
      </c>
      <c r="AV75">
        <v>0</v>
      </c>
      <c r="AW75">
        <v>2</v>
      </c>
      <c r="AX75">
        <v>43157230</v>
      </c>
      <c r="AY75">
        <v>1</v>
      </c>
      <c r="AZ75">
        <v>0</v>
      </c>
      <c r="BA75">
        <v>77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Y75*Source!I42</f>
        <v>3.5999999999999997E-2</v>
      </c>
      <c r="CY75">
        <f t="shared" si="12"/>
        <v>63.36</v>
      </c>
      <c r="CZ75">
        <f t="shared" si="13"/>
        <v>28.67</v>
      </c>
      <c r="DA75">
        <f t="shared" si="14"/>
        <v>2.21</v>
      </c>
      <c r="DB75">
        <f t="shared" si="10"/>
        <v>1.03</v>
      </c>
      <c r="DC75">
        <f t="shared" si="11"/>
        <v>0</v>
      </c>
    </row>
    <row r="76" spans="1:107" x14ac:dyDescent="0.2">
      <c r="A76">
        <f>ROW(Source!A42)</f>
        <v>42</v>
      </c>
      <c r="B76">
        <v>43156991</v>
      </c>
      <c r="C76">
        <v>43157207</v>
      </c>
      <c r="D76">
        <v>29107961</v>
      </c>
      <c r="E76">
        <v>1</v>
      </c>
      <c r="F76">
        <v>1</v>
      </c>
      <c r="G76">
        <v>1</v>
      </c>
      <c r="H76">
        <v>3</v>
      </c>
      <c r="I76" t="s">
        <v>440</v>
      </c>
      <c r="J76" t="s">
        <v>441</v>
      </c>
      <c r="K76" t="s">
        <v>442</v>
      </c>
      <c r="L76">
        <v>1346</v>
      </c>
      <c r="N76">
        <v>1009</v>
      </c>
      <c r="O76" t="s">
        <v>315</v>
      </c>
      <c r="P76" t="s">
        <v>315</v>
      </c>
      <c r="Q76">
        <v>1</v>
      </c>
      <c r="W76">
        <v>0</v>
      </c>
      <c r="X76">
        <v>-1088339451</v>
      </c>
      <c r="Y76">
        <v>1E-3</v>
      </c>
      <c r="AA76">
        <v>304.68</v>
      </c>
      <c r="AB76">
        <v>0</v>
      </c>
      <c r="AC76">
        <v>0</v>
      </c>
      <c r="AD76">
        <v>0</v>
      </c>
      <c r="AE76">
        <v>133.05000000000001</v>
      </c>
      <c r="AF76">
        <v>0</v>
      </c>
      <c r="AG76">
        <v>0</v>
      </c>
      <c r="AH76">
        <v>0</v>
      </c>
      <c r="AI76">
        <v>2.29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1E-3</v>
      </c>
      <c r="AU76" t="s">
        <v>3</v>
      </c>
      <c r="AV76">
        <v>0</v>
      </c>
      <c r="AW76">
        <v>2</v>
      </c>
      <c r="AX76">
        <v>43157231</v>
      </c>
      <c r="AY76">
        <v>1</v>
      </c>
      <c r="AZ76">
        <v>0</v>
      </c>
      <c r="BA76">
        <v>78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Y76*Source!I42</f>
        <v>1E-3</v>
      </c>
      <c r="CY76">
        <f t="shared" si="12"/>
        <v>304.68</v>
      </c>
      <c r="CZ76">
        <f t="shared" si="13"/>
        <v>133.05000000000001</v>
      </c>
      <c r="DA76">
        <f t="shared" si="14"/>
        <v>2.29</v>
      </c>
      <c r="DB76">
        <f t="shared" si="10"/>
        <v>0.13</v>
      </c>
      <c r="DC76">
        <f t="shared" si="11"/>
        <v>0</v>
      </c>
    </row>
    <row r="77" spans="1:107" x14ac:dyDescent="0.2">
      <c r="A77">
        <f>ROW(Source!A42)</f>
        <v>42</v>
      </c>
      <c r="B77">
        <v>43156991</v>
      </c>
      <c r="C77">
        <v>43157207</v>
      </c>
      <c r="D77">
        <v>29110838</v>
      </c>
      <c r="E77">
        <v>1</v>
      </c>
      <c r="F77">
        <v>1</v>
      </c>
      <c r="G77">
        <v>1</v>
      </c>
      <c r="H77">
        <v>3</v>
      </c>
      <c r="I77" t="s">
        <v>443</v>
      </c>
      <c r="J77" t="s">
        <v>444</v>
      </c>
      <c r="K77" t="s">
        <v>445</v>
      </c>
      <c r="L77">
        <v>1346</v>
      </c>
      <c r="N77">
        <v>1009</v>
      </c>
      <c r="O77" t="s">
        <v>315</v>
      </c>
      <c r="P77" t="s">
        <v>315</v>
      </c>
      <c r="Q77">
        <v>1</v>
      </c>
      <c r="W77">
        <v>0</v>
      </c>
      <c r="X77">
        <v>-1294780295</v>
      </c>
      <c r="Y77">
        <v>1.2E-2</v>
      </c>
      <c r="AA77">
        <v>100.04</v>
      </c>
      <c r="AB77">
        <v>0</v>
      </c>
      <c r="AC77">
        <v>0</v>
      </c>
      <c r="AD77">
        <v>0</v>
      </c>
      <c r="AE77">
        <v>30.5</v>
      </c>
      <c r="AF77">
        <v>0</v>
      </c>
      <c r="AG77">
        <v>0</v>
      </c>
      <c r="AH77">
        <v>0</v>
      </c>
      <c r="AI77">
        <v>3.28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1.2E-2</v>
      </c>
      <c r="AU77" t="s">
        <v>3</v>
      </c>
      <c r="AV77">
        <v>0</v>
      </c>
      <c r="AW77">
        <v>2</v>
      </c>
      <c r="AX77">
        <v>43157232</v>
      </c>
      <c r="AY77">
        <v>1</v>
      </c>
      <c r="AZ77">
        <v>0</v>
      </c>
      <c r="BA77">
        <v>79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Y77*Source!I42</f>
        <v>1.2E-2</v>
      </c>
      <c r="CY77">
        <f t="shared" si="12"/>
        <v>100.04</v>
      </c>
      <c r="CZ77">
        <f t="shared" si="13"/>
        <v>30.5</v>
      </c>
      <c r="DA77">
        <f t="shared" si="14"/>
        <v>3.28</v>
      </c>
      <c r="DB77">
        <f t="shared" si="10"/>
        <v>0.37</v>
      </c>
      <c r="DC77">
        <f t="shared" si="11"/>
        <v>0</v>
      </c>
    </row>
    <row r="78" spans="1:107" x14ac:dyDescent="0.2">
      <c r="A78">
        <f>ROW(Source!A42)</f>
        <v>42</v>
      </c>
      <c r="B78">
        <v>43156991</v>
      </c>
      <c r="C78">
        <v>43157207</v>
      </c>
      <c r="D78">
        <v>29114470</v>
      </c>
      <c r="E78">
        <v>1</v>
      </c>
      <c r="F78">
        <v>1</v>
      </c>
      <c r="G78">
        <v>1</v>
      </c>
      <c r="H78">
        <v>3</v>
      </c>
      <c r="I78" t="s">
        <v>446</v>
      </c>
      <c r="J78" t="s">
        <v>447</v>
      </c>
      <c r="K78" t="s">
        <v>448</v>
      </c>
      <c r="L78">
        <v>1355</v>
      </c>
      <c r="N78">
        <v>1010</v>
      </c>
      <c r="O78" t="s">
        <v>347</v>
      </c>
      <c r="P78" t="s">
        <v>347</v>
      </c>
      <c r="Q78">
        <v>100</v>
      </c>
      <c r="W78">
        <v>0</v>
      </c>
      <c r="X78">
        <v>1627582661</v>
      </c>
      <c r="Y78">
        <v>1.4E-2</v>
      </c>
      <c r="AA78">
        <v>54.33</v>
      </c>
      <c r="AB78">
        <v>0</v>
      </c>
      <c r="AC78">
        <v>0</v>
      </c>
      <c r="AD78">
        <v>0</v>
      </c>
      <c r="AE78">
        <v>86.24</v>
      </c>
      <c r="AF78">
        <v>0</v>
      </c>
      <c r="AG78">
        <v>0</v>
      </c>
      <c r="AH78">
        <v>0</v>
      </c>
      <c r="AI78">
        <v>0.63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1.4E-2</v>
      </c>
      <c r="AU78" t="s">
        <v>3</v>
      </c>
      <c r="AV78">
        <v>0</v>
      </c>
      <c r="AW78">
        <v>2</v>
      </c>
      <c r="AX78">
        <v>43157233</v>
      </c>
      <c r="AY78">
        <v>1</v>
      </c>
      <c r="AZ78">
        <v>0</v>
      </c>
      <c r="BA78">
        <v>80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Y78*Source!I42</f>
        <v>1.4E-2</v>
      </c>
      <c r="CY78">
        <f t="shared" si="12"/>
        <v>54.33</v>
      </c>
      <c r="CZ78">
        <f t="shared" si="13"/>
        <v>86.24</v>
      </c>
      <c r="DA78">
        <f t="shared" si="14"/>
        <v>0.63</v>
      </c>
      <c r="DB78">
        <f t="shared" si="10"/>
        <v>1.21</v>
      </c>
      <c r="DC78">
        <f t="shared" si="11"/>
        <v>0</v>
      </c>
    </row>
    <row r="79" spans="1:107" x14ac:dyDescent="0.2">
      <c r="A79">
        <f>ROW(Source!A42)</f>
        <v>42</v>
      </c>
      <c r="B79">
        <v>43156991</v>
      </c>
      <c r="C79">
        <v>43157207</v>
      </c>
      <c r="D79">
        <v>29129474</v>
      </c>
      <c r="E79">
        <v>1</v>
      </c>
      <c r="F79">
        <v>1</v>
      </c>
      <c r="G79">
        <v>1</v>
      </c>
      <c r="H79">
        <v>3</v>
      </c>
      <c r="I79" t="s">
        <v>449</v>
      </c>
      <c r="J79" t="s">
        <v>450</v>
      </c>
      <c r="K79" t="s">
        <v>451</v>
      </c>
      <c r="L79">
        <v>1348</v>
      </c>
      <c r="N79">
        <v>1009</v>
      </c>
      <c r="O79" t="s">
        <v>308</v>
      </c>
      <c r="P79" t="s">
        <v>308</v>
      </c>
      <c r="Q79">
        <v>1000</v>
      </c>
      <c r="W79">
        <v>0</v>
      </c>
      <c r="X79">
        <v>-115984519</v>
      </c>
      <c r="Y79">
        <v>1E-3</v>
      </c>
      <c r="AA79">
        <v>50751.76</v>
      </c>
      <c r="AB79">
        <v>0</v>
      </c>
      <c r="AC79">
        <v>0</v>
      </c>
      <c r="AD79">
        <v>0</v>
      </c>
      <c r="AE79">
        <v>11534.49</v>
      </c>
      <c r="AF79">
        <v>0</v>
      </c>
      <c r="AG79">
        <v>0</v>
      </c>
      <c r="AH79">
        <v>0</v>
      </c>
      <c r="AI79">
        <v>4.4000000000000004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1E-3</v>
      </c>
      <c r="AU79" t="s">
        <v>3</v>
      </c>
      <c r="AV79">
        <v>0</v>
      </c>
      <c r="AW79">
        <v>2</v>
      </c>
      <c r="AX79">
        <v>43157234</v>
      </c>
      <c r="AY79">
        <v>1</v>
      </c>
      <c r="AZ79">
        <v>0</v>
      </c>
      <c r="BA79">
        <v>81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Y79*Source!I42</f>
        <v>1E-3</v>
      </c>
      <c r="CY79">
        <f t="shared" si="12"/>
        <v>50751.76</v>
      </c>
      <c r="CZ79">
        <f t="shared" si="13"/>
        <v>11534.49</v>
      </c>
      <c r="DA79">
        <f t="shared" si="14"/>
        <v>4.4000000000000004</v>
      </c>
      <c r="DB79">
        <f t="shared" si="10"/>
        <v>11.53</v>
      </c>
      <c r="DC79">
        <f t="shared" si="11"/>
        <v>0</v>
      </c>
    </row>
    <row r="80" spans="1:107" x14ac:dyDescent="0.2">
      <c r="A80">
        <f>ROW(Source!A42)</f>
        <v>42</v>
      </c>
      <c r="B80">
        <v>43156991</v>
      </c>
      <c r="C80">
        <v>43157207</v>
      </c>
      <c r="D80">
        <v>29165774</v>
      </c>
      <c r="E80">
        <v>1</v>
      </c>
      <c r="F80">
        <v>1</v>
      </c>
      <c r="G80">
        <v>1</v>
      </c>
      <c r="H80">
        <v>3</v>
      </c>
      <c r="I80" t="s">
        <v>452</v>
      </c>
      <c r="J80" t="s">
        <v>453</v>
      </c>
      <c r="K80" t="s">
        <v>454</v>
      </c>
      <c r="L80">
        <v>1358</v>
      </c>
      <c r="N80">
        <v>1010</v>
      </c>
      <c r="O80" t="s">
        <v>115</v>
      </c>
      <c r="P80" t="s">
        <v>115</v>
      </c>
      <c r="Q80">
        <v>10</v>
      </c>
      <c r="W80">
        <v>0</v>
      </c>
      <c r="X80">
        <v>-1035860104</v>
      </c>
      <c r="Y80">
        <v>0.1</v>
      </c>
      <c r="AA80">
        <v>993.87</v>
      </c>
      <c r="AB80">
        <v>0</v>
      </c>
      <c r="AC80">
        <v>0</v>
      </c>
      <c r="AD80">
        <v>0</v>
      </c>
      <c r="AE80">
        <v>40.9</v>
      </c>
      <c r="AF80">
        <v>0</v>
      </c>
      <c r="AG80">
        <v>0</v>
      </c>
      <c r="AH80">
        <v>0</v>
      </c>
      <c r="AI80">
        <v>24.3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3</v>
      </c>
      <c r="AT80">
        <v>0.1</v>
      </c>
      <c r="AU80" t="s">
        <v>3</v>
      </c>
      <c r="AV80">
        <v>0</v>
      </c>
      <c r="AW80">
        <v>2</v>
      </c>
      <c r="AX80">
        <v>43157235</v>
      </c>
      <c r="AY80">
        <v>1</v>
      </c>
      <c r="AZ80">
        <v>0</v>
      </c>
      <c r="BA80">
        <v>82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Y80*Source!I42</f>
        <v>0.1</v>
      </c>
      <c r="CY80">
        <f t="shared" si="12"/>
        <v>993.87</v>
      </c>
      <c r="CZ80">
        <f t="shared" si="13"/>
        <v>40.9</v>
      </c>
      <c r="DA80">
        <f t="shared" si="14"/>
        <v>24.3</v>
      </c>
      <c r="DB80">
        <f t="shared" si="10"/>
        <v>4.09</v>
      </c>
      <c r="DC80">
        <f t="shared" si="11"/>
        <v>0</v>
      </c>
    </row>
    <row r="81" spans="1:107" x14ac:dyDescent="0.2">
      <c r="A81">
        <f>ROW(Source!A42)</f>
        <v>42</v>
      </c>
      <c r="B81">
        <v>43156991</v>
      </c>
      <c r="C81">
        <v>43157207</v>
      </c>
      <c r="D81">
        <v>29171708</v>
      </c>
      <c r="E81">
        <v>1</v>
      </c>
      <c r="F81">
        <v>1</v>
      </c>
      <c r="G81">
        <v>1</v>
      </c>
      <c r="H81">
        <v>3</v>
      </c>
      <c r="I81" t="s">
        <v>455</v>
      </c>
      <c r="J81" t="s">
        <v>456</v>
      </c>
      <c r="K81" t="s">
        <v>457</v>
      </c>
      <c r="L81">
        <v>1346</v>
      </c>
      <c r="N81">
        <v>1009</v>
      </c>
      <c r="O81" t="s">
        <v>315</v>
      </c>
      <c r="P81" t="s">
        <v>315</v>
      </c>
      <c r="Q81">
        <v>1</v>
      </c>
      <c r="W81">
        <v>0</v>
      </c>
      <c r="X81">
        <v>1015963907</v>
      </c>
      <c r="Y81">
        <v>6.0000000000000001E-3</v>
      </c>
      <c r="AA81">
        <v>73.75</v>
      </c>
      <c r="AB81">
        <v>0</v>
      </c>
      <c r="AC81">
        <v>0</v>
      </c>
      <c r="AD81">
        <v>0</v>
      </c>
      <c r="AE81">
        <v>30.6</v>
      </c>
      <c r="AF81">
        <v>0</v>
      </c>
      <c r="AG81">
        <v>0</v>
      </c>
      <c r="AH81">
        <v>0</v>
      </c>
      <c r="AI81">
        <v>2.41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6.0000000000000001E-3</v>
      </c>
      <c r="AU81" t="s">
        <v>3</v>
      </c>
      <c r="AV81">
        <v>0</v>
      </c>
      <c r="AW81">
        <v>2</v>
      </c>
      <c r="AX81">
        <v>43157236</v>
      </c>
      <c r="AY81">
        <v>1</v>
      </c>
      <c r="AZ81">
        <v>0</v>
      </c>
      <c r="BA81">
        <v>83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Y81*Source!I42</f>
        <v>6.0000000000000001E-3</v>
      </c>
      <c r="CY81">
        <f t="shared" si="12"/>
        <v>73.75</v>
      </c>
      <c r="CZ81">
        <f t="shared" si="13"/>
        <v>30.6</v>
      </c>
      <c r="DA81">
        <f t="shared" si="14"/>
        <v>2.41</v>
      </c>
      <c r="DB81">
        <f t="shared" si="10"/>
        <v>0.18</v>
      </c>
      <c r="DC81">
        <f t="shared" si="11"/>
        <v>0</v>
      </c>
    </row>
    <row r="82" spans="1:107" x14ac:dyDescent="0.2">
      <c r="A82">
        <f>ROW(Source!A42)</f>
        <v>42</v>
      </c>
      <c r="B82">
        <v>43156991</v>
      </c>
      <c r="C82">
        <v>43157207</v>
      </c>
      <c r="D82">
        <v>29171808</v>
      </c>
      <c r="E82">
        <v>1</v>
      </c>
      <c r="F82">
        <v>1</v>
      </c>
      <c r="G82">
        <v>1</v>
      </c>
      <c r="H82">
        <v>3</v>
      </c>
      <c r="I82" t="s">
        <v>334</v>
      </c>
      <c r="J82" t="s">
        <v>335</v>
      </c>
      <c r="K82" t="s">
        <v>336</v>
      </c>
      <c r="L82">
        <v>1374</v>
      </c>
      <c r="N82">
        <v>1013</v>
      </c>
      <c r="O82" t="s">
        <v>337</v>
      </c>
      <c r="P82" t="s">
        <v>337</v>
      </c>
      <c r="Q82">
        <v>1</v>
      </c>
      <c r="W82">
        <v>0</v>
      </c>
      <c r="X82">
        <v>-915781824</v>
      </c>
      <c r="Y82">
        <v>0.3</v>
      </c>
      <c r="AA82">
        <v>1</v>
      </c>
      <c r="AB82">
        <v>0</v>
      </c>
      <c r="AC82">
        <v>0</v>
      </c>
      <c r="AD82">
        <v>0</v>
      </c>
      <c r="AE82">
        <v>1</v>
      </c>
      <c r="AF82">
        <v>0</v>
      </c>
      <c r="AG82">
        <v>0</v>
      </c>
      <c r="AH82">
        <v>0</v>
      </c>
      <c r="AI82">
        <v>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0.3</v>
      </c>
      <c r="AU82" t="s">
        <v>3</v>
      </c>
      <c r="AV82">
        <v>0</v>
      </c>
      <c r="AW82">
        <v>2</v>
      </c>
      <c r="AX82">
        <v>43157237</v>
      </c>
      <c r="AY82">
        <v>1</v>
      </c>
      <c r="AZ82">
        <v>0</v>
      </c>
      <c r="BA82">
        <v>84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Y82*Source!I42</f>
        <v>0.3</v>
      </c>
      <c r="CY82">
        <f t="shared" si="12"/>
        <v>1</v>
      </c>
      <c r="CZ82">
        <f t="shared" si="13"/>
        <v>1</v>
      </c>
      <c r="DA82">
        <f t="shared" si="14"/>
        <v>1</v>
      </c>
      <c r="DB82">
        <f t="shared" si="10"/>
        <v>0.3</v>
      </c>
      <c r="DC82">
        <f t="shared" si="11"/>
        <v>0</v>
      </c>
    </row>
    <row r="83" spans="1:107" x14ac:dyDescent="0.2">
      <c r="A83">
        <f>ROW(Source!A45)</f>
        <v>45</v>
      </c>
      <c r="B83">
        <v>43156991</v>
      </c>
      <c r="C83">
        <v>43157240</v>
      </c>
      <c r="D83">
        <v>29361034</v>
      </c>
      <c r="E83">
        <v>1</v>
      </c>
      <c r="F83">
        <v>1</v>
      </c>
      <c r="G83">
        <v>1</v>
      </c>
      <c r="H83">
        <v>1</v>
      </c>
      <c r="I83" t="s">
        <v>458</v>
      </c>
      <c r="J83" t="s">
        <v>3</v>
      </c>
      <c r="K83" t="s">
        <v>459</v>
      </c>
      <c r="L83">
        <v>1369</v>
      </c>
      <c r="N83">
        <v>1013</v>
      </c>
      <c r="O83" t="s">
        <v>304</v>
      </c>
      <c r="P83" t="s">
        <v>304</v>
      </c>
      <c r="Q83">
        <v>1</v>
      </c>
      <c r="W83">
        <v>0</v>
      </c>
      <c r="X83">
        <v>184923391</v>
      </c>
      <c r="Y83">
        <v>19.04</v>
      </c>
      <c r="AA83">
        <v>0</v>
      </c>
      <c r="AB83">
        <v>0</v>
      </c>
      <c r="AC83">
        <v>0</v>
      </c>
      <c r="AD83">
        <v>9.4</v>
      </c>
      <c r="AE83">
        <v>0</v>
      </c>
      <c r="AF83">
        <v>0</v>
      </c>
      <c r="AG83">
        <v>0</v>
      </c>
      <c r="AH83">
        <v>9.4</v>
      </c>
      <c r="AI83">
        <v>1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3</v>
      </c>
      <c r="AT83">
        <v>19.04</v>
      </c>
      <c r="AU83" t="s">
        <v>3</v>
      </c>
      <c r="AV83">
        <v>1</v>
      </c>
      <c r="AW83">
        <v>2</v>
      </c>
      <c r="AX83">
        <v>43157250</v>
      </c>
      <c r="AY83">
        <v>1</v>
      </c>
      <c r="AZ83">
        <v>0</v>
      </c>
      <c r="BA83">
        <v>85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Y83*Source!I45</f>
        <v>2.6656</v>
      </c>
      <c r="CY83">
        <f>AD83</f>
        <v>9.4</v>
      </c>
      <c r="CZ83">
        <f>AH83</f>
        <v>9.4</v>
      </c>
      <c r="DA83">
        <f>AL83</f>
        <v>1</v>
      </c>
      <c r="DB83">
        <f t="shared" si="10"/>
        <v>178.98</v>
      </c>
      <c r="DC83">
        <f t="shared" si="11"/>
        <v>0</v>
      </c>
    </row>
    <row r="84" spans="1:107" x14ac:dyDescent="0.2">
      <c r="A84">
        <f>ROW(Source!A45)</f>
        <v>45</v>
      </c>
      <c r="B84">
        <v>43156991</v>
      </c>
      <c r="C84">
        <v>43157240</v>
      </c>
      <c r="D84">
        <v>121548</v>
      </c>
      <c r="E84">
        <v>1</v>
      </c>
      <c r="F84">
        <v>1</v>
      </c>
      <c r="G84">
        <v>1</v>
      </c>
      <c r="H84">
        <v>1</v>
      </c>
      <c r="I84" t="s">
        <v>28</v>
      </c>
      <c r="J84" t="s">
        <v>3</v>
      </c>
      <c r="K84" t="s">
        <v>353</v>
      </c>
      <c r="L84">
        <v>608254</v>
      </c>
      <c r="N84">
        <v>1013</v>
      </c>
      <c r="O84" t="s">
        <v>354</v>
      </c>
      <c r="P84" t="s">
        <v>354</v>
      </c>
      <c r="Q84">
        <v>1</v>
      </c>
      <c r="W84">
        <v>0</v>
      </c>
      <c r="X84">
        <v>-185737400</v>
      </c>
      <c r="Y84">
        <v>0.09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1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3</v>
      </c>
      <c r="AT84">
        <v>0.09</v>
      </c>
      <c r="AU84" t="s">
        <v>3</v>
      </c>
      <c r="AV84">
        <v>2</v>
      </c>
      <c r="AW84">
        <v>2</v>
      </c>
      <c r="AX84">
        <v>43157251</v>
      </c>
      <c r="AY84">
        <v>1</v>
      </c>
      <c r="AZ84">
        <v>0</v>
      </c>
      <c r="BA84">
        <v>86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Y84*Source!I45</f>
        <v>1.26E-2</v>
      </c>
      <c r="CY84">
        <f>AD84</f>
        <v>0</v>
      </c>
      <c r="CZ84">
        <f>AH84</f>
        <v>0</v>
      </c>
      <c r="DA84">
        <f>AL84</f>
        <v>1</v>
      </c>
      <c r="DB84">
        <f t="shared" si="10"/>
        <v>0</v>
      </c>
      <c r="DC84">
        <f t="shared" si="11"/>
        <v>0</v>
      </c>
    </row>
    <row r="85" spans="1:107" x14ac:dyDescent="0.2">
      <c r="A85">
        <f>ROW(Source!A45)</f>
        <v>45</v>
      </c>
      <c r="B85">
        <v>43156991</v>
      </c>
      <c r="C85">
        <v>43157240</v>
      </c>
      <c r="D85">
        <v>29172362</v>
      </c>
      <c r="E85">
        <v>1</v>
      </c>
      <c r="F85">
        <v>1</v>
      </c>
      <c r="G85">
        <v>1</v>
      </c>
      <c r="H85">
        <v>2</v>
      </c>
      <c r="I85" t="s">
        <v>355</v>
      </c>
      <c r="J85" t="s">
        <v>356</v>
      </c>
      <c r="K85" t="s">
        <v>357</v>
      </c>
      <c r="L85">
        <v>1368</v>
      </c>
      <c r="N85">
        <v>1011</v>
      </c>
      <c r="O85" t="s">
        <v>343</v>
      </c>
      <c r="P85" t="s">
        <v>343</v>
      </c>
      <c r="Q85">
        <v>1</v>
      </c>
      <c r="W85">
        <v>0</v>
      </c>
      <c r="X85">
        <v>783836208</v>
      </c>
      <c r="Y85">
        <v>0.09</v>
      </c>
      <c r="AA85">
        <v>0</v>
      </c>
      <c r="AB85">
        <v>1067.77</v>
      </c>
      <c r="AC85">
        <v>412.02</v>
      </c>
      <c r="AD85">
        <v>0</v>
      </c>
      <c r="AE85">
        <v>0</v>
      </c>
      <c r="AF85">
        <v>134.65</v>
      </c>
      <c r="AG85">
        <v>13.5</v>
      </c>
      <c r="AH85">
        <v>0</v>
      </c>
      <c r="AI85">
        <v>1</v>
      </c>
      <c r="AJ85">
        <v>7.93</v>
      </c>
      <c r="AK85">
        <v>30.52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</v>
      </c>
      <c r="AT85">
        <v>0.09</v>
      </c>
      <c r="AU85" t="s">
        <v>3</v>
      </c>
      <c r="AV85">
        <v>0</v>
      </c>
      <c r="AW85">
        <v>2</v>
      </c>
      <c r="AX85">
        <v>43157252</v>
      </c>
      <c r="AY85">
        <v>1</v>
      </c>
      <c r="AZ85">
        <v>0</v>
      </c>
      <c r="BA85">
        <v>87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Y85*Source!I45</f>
        <v>1.26E-2</v>
      </c>
      <c r="CY85">
        <f>AB85</f>
        <v>1067.77</v>
      </c>
      <c r="CZ85">
        <f>AF85</f>
        <v>134.65</v>
      </c>
      <c r="DA85">
        <f>AJ85</f>
        <v>7.93</v>
      </c>
      <c r="DB85">
        <f t="shared" si="10"/>
        <v>12.12</v>
      </c>
      <c r="DC85">
        <f t="shared" si="11"/>
        <v>1.22</v>
      </c>
    </row>
    <row r="86" spans="1:107" x14ac:dyDescent="0.2">
      <c r="A86">
        <f>ROW(Source!A45)</f>
        <v>45</v>
      </c>
      <c r="B86">
        <v>43156991</v>
      </c>
      <c r="C86">
        <v>43157240</v>
      </c>
      <c r="D86">
        <v>29172657</v>
      </c>
      <c r="E86">
        <v>1</v>
      </c>
      <c r="F86">
        <v>1</v>
      </c>
      <c r="G86">
        <v>1</v>
      </c>
      <c r="H86">
        <v>2</v>
      </c>
      <c r="I86" t="s">
        <v>358</v>
      </c>
      <c r="J86" t="s">
        <v>359</v>
      </c>
      <c r="K86" t="s">
        <v>360</v>
      </c>
      <c r="L86">
        <v>1368</v>
      </c>
      <c r="N86">
        <v>1011</v>
      </c>
      <c r="O86" t="s">
        <v>343</v>
      </c>
      <c r="P86" t="s">
        <v>343</v>
      </c>
      <c r="Q86">
        <v>1</v>
      </c>
      <c r="W86">
        <v>0</v>
      </c>
      <c r="X86">
        <v>1474986261</v>
      </c>
      <c r="Y86">
        <v>2.16</v>
      </c>
      <c r="AA86">
        <v>0</v>
      </c>
      <c r="AB86">
        <v>58.48</v>
      </c>
      <c r="AC86">
        <v>0</v>
      </c>
      <c r="AD86">
        <v>0</v>
      </c>
      <c r="AE86">
        <v>0</v>
      </c>
      <c r="AF86">
        <v>8.1</v>
      </c>
      <c r="AG86">
        <v>0</v>
      </c>
      <c r="AH86">
        <v>0</v>
      </c>
      <c r="AI86">
        <v>1</v>
      </c>
      <c r="AJ86">
        <v>7.22</v>
      </c>
      <c r="AK86">
        <v>30.52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3</v>
      </c>
      <c r="AT86">
        <v>2.16</v>
      </c>
      <c r="AU86" t="s">
        <v>3</v>
      </c>
      <c r="AV86">
        <v>0</v>
      </c>
      <c r="AW86">
        <v>2</v>
      </c>
      <c r="AX86">
        <v>43157253</v>
      </c>
      <c r="AY86">
        <v>1</v>
      </c>
      <c r="AZ86">
        <v>0</v>
      </c>
      <c r="BA86">
        <v>88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Y86*Source!I45</f>
        <v>0.30240000000000006</v>
      </c>
      <c r="CY86">
        <f>AB86</f>
        <v>58.48</v>
      </c>
      <c r="CZ86">
        <f>AF86</f>
        <v>8.1</v>
      </c>
      <c r="DA86">
        <f>AJ86</f>
        <v>7.22</v>
      </c>
      <c r="DB86">
        <f t="shared" si="10"/>
        <v>17.5</v>
      </c>
      <c r="DC86">
        <f t="shared" si="11"/>
        <v>0</v>
      </c>
    </row>
    <row r="87" spans="1:107" x14ac:dyDescent="0.2">
      <c r="A87">
        <f>ROW(Source!A45)</f>
        <v>45</v>
      </c>
      <c r="B87">
        <v>43156991</v>
      </c>
      <c r="C87">
        <v>43157240</v>
      </c>
      <c r="D87">
        <v>29174580</v>
      </c>
      <c r="E87">
        <v>1</v>
      </c>
      <c r="F87">
        <v>1</v>
      </c>
      <c r="G87">
        <v>1</v>
      </c>
      <c r="H87">
        <v>2</v>
      </c>
      <c r="I87" t="s">
        <v>460</v>
      </c>
      <c r="J87" t="s">
        <v>461</v>
      </c>
      <c r="K87" t="s">
        <v>462</v>
      </c>
      <c r="L87">
        <v>1368</v>
      </c>
      <c r="N87">
        <v>1011</v>
      </c>
      <c r="O87" t="s">
        <v>343</v>
      </c>
      <c r="P87" t="s">
        <v>343</v>
      </c>
      <c r="Q87">
        <v>1</v>
      </c>
      <c r="W87">
        <v>0</v>
      </c>
      <c r="X87">
        <v>-991672839</v>
      </c>
      <c r="Y87">
        <v>3.87</v>
      </c>
      <c r="AA87">
        <v>0</v>
      </c>
      <c r="AB87">
        <v>31.82</v>
      </c>
      <c r="AC87">
        <v>0</v>
      </c>
      <c r="AD87">
        <v>0</v>
      </c>
      <c r="AE87">
        <v>0</v>
      </c>
      <c r="AF87">
        <v>2.08</v>
      </c>
      <c r="AG87">
        <v>0</v>
      </c>
      <c r="AH87">
        <v>0</v>
      </c>
      <c r="AI87">
        <v>1</v>
      </c>
      <c r="AJ87">
        <v>15.3</v>
      </c>
      <c r="AK87">
        <v>30.52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</v>
      </c>
      <c r="AT87">
        <v>3.87</v>
      </c>
      <c r="AU87" t="s">
        <v>3</v>
      </c>
      <c r="AV87">
        <v>0</v>
      </c>
      <c r="AW87">
        <v>2</v>
      </c>
      <c r="AX87">
        <v>43157254</v>
      </c>
      <c r="AY87">
        <v>1</v>
      </c>
      <c r="AZ87">
        <v>0</v>
      </c>
      <c r="BA87">
        <v>89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Y87*Source!I45</f>
        <v>0.54180000000000006</v>
      </c>
      <c r="CY87">
        <f>AB87</f>
        <v>31.82</v>
      </c>
      <c r="CZ87">
        <f>AF87</f>
        <v>2.08</v>
      </c>
      <c r="DA87">
        <f>AJ87</f>
        <v>15.3</v>
      </c>
      <c r="DB87">
        <f t="shared" si="10"/>
        <v>8.0500000000000007</v>
      </c>
      <c r="DC87">
        <f t="shared" si="11"/>
        <v>0</v>
      </c>
    </row>
    <row r="88" spans="1:107" x14ac:dyDescent="0.2">
      <c r="A88">
        <f>ROW(Source!A45)</f>
        <v>45</v>
      </c>
      <c r="B88">
        <v>43156991</v>
      </c>
      <c r="C88">
        <v>43157240</v>
      </c>
      <c r="D88">
        <v>29174913</v>
      </c>
      <c r="E88">
        <v>1</v>
      </c>
      <c r="F88">
        <v>1</v>
      </c>
      <c r="G88">
        <v>1</v>
      </c>
      <c r="H88">
        <v>2</v>
      </c>
      <c r="I88" t="s">
        <v>367</v>
      </c>
      <c r="J88" t="s">
        <v>368</v>
      </c>
      <c r="K88" t="s">
        <v>369</v>
      </c>
      <c r="L88">
        <v>1368</v>
      </c>
      <c r="N88">
        <v>1011</v>
      </c>
      <c r="O88" t="s">
        <v>343</v>
      </c>
      <c r="P88" t="s">
        <v>343</v>
      </c>
      <c r="Q88">
        <v>1</v>
      </c>
      <c r="W88">
        <v>0</v>
      </c>
      <c r="X88">
        <v>1230759911</v>
      </c>
      <c r="Y88">
        <v>0.09</v>
      </c>
      <c r="AA88">
        <v>0</v>
      </c>
      <c r="AB88">
        <v>894.36</v>
      </c>
      <c r="AC88">
        <v>354.03</v>
      </c>
      <c r="AD88">
        <v>0</v>
      </c>
      <c r="AE88">
        <v>0</v>
      </c>
      <c r="AF88">
        <v>87.17</v>
      </c>
      <c r="AG88">
        <v>11.6</v>
      </c>
      <c r="AH88">
        <v>0</v>
      </c>
      <c r="AI88">
        <v>1</v>
      </c>
      <c r="AJ88">
        <v>10.26</v>
      </c>
      <c r="AK88">
        <v>30.52</v>
      </c>
      <c r="AL88">
        <v>1</v>
      </c>
      <c r="AN88">
        <v>0</v>
      </c>
      <c r="AO88">
        <v>1</v>
      </c>
      <c r="AP88">
        <v>1</v>
      </c>
      <c r="AQ88">
        <v>0</v>
      </c>
      <c r="AR88">
        <v>0</v>
      </c>
      <c r="AS88" t="s">
        <v>3</v>
      </c>
      <c r="AT88">
        <v>0.09</v>
      </c>
      <c r="AU88" t="s">
        <v>3</v>
      </c>
      <c r="AV88">
        <v>0</v>
      </c>
      <c r="AW88">
        <v>2</v>
      </c>
      <c r="AX88">
        <v>43157255</v>
      </c>
      <c r="AY88">
        <v>1</v>
      </c>
      <c r="AZ88">
        <v>0</v>
      </c>
      <c r="BA88">
        <v>90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Y88*Source!I45</f>
        <v>1.26E-2</v>
      </c>
      <c r="CY88">
        <f>AB88</f>
        <v>894.36</v>
      </c>
      <c r="CZ88">
        <f>AF88</f>
        <v>87.17</v>
      </c>
      <c r="DA88">
        <f>AJ88</f>
        <v>10.26</v>
      </c>
      <c r="DB88">
        <f t="shared" si="10"/>
        <v>7.85</v>
      </c>
      <c r="DC88">
        <f t="shared" si="11"/>
        <v>1.04</v>
      </c>
    </row>
    <row r="89" spans="1:107" x14ac:dyDescent="0.2">
      <c r="A89">
        <f>ROW(Source!A45)</f>
        <v>45</v>
      </c>
      <c r="B89">
        <v>43156991</v>
      </c>
      <c r="C89">
        <v>43157240</v>
      </c>
      <c r="D89">
        <v>29113980</v>
      </c>
      <c r="E89">
        <v>1</v>
      </c>
      <c r="F89">
        <v>1</v>
      </c>
      <c r="G89">
        <v>1</v>
      </c>
      <c r="H89">
        <v>3</v>
      </c>
      <c r="I89" t="s">
        <v>370</v>
      </c>
      <c r="J89" t="s">
        <v>371</v>
      </c>
      <c r="K89" t="s">
        <v>372</v>
      </c>
      <c r="L89">
        <v>1346</v>
      </c>
      <c r="N89">
        <v>1009</v>
      </c>
      <c r="O89" t="s">
        <v>315</v>
      </c>
      <c r="P89" t="s">
        <v>315</v>
      </c>
      <c r="Q89">
        <v>1</v>
      </c>
      <c r="W89">
        <v>0</v>
      </c>
      <c r="X89">
        <v>-1805966371</v>
      </c>
      <c r="Y89">
        <v>0.96</v>
      </c>
      <c r="AA89">
        <v>93.59</v>
      </c>
      <c r="AB89">
        <v>0</v>
      </c>
      <c r="AC89">
        <v>0</v>
      </c>
      <c r="AD89">
        <v>0</v>
      </c>
      <c r="AE89">
        <v>14.31</v>
      </c>
      <c r="AF89">
        <v>0</v>
      </c>
      <c r="AG89">
        <v>0</v>
      </c>
      <c r="AH89">
        <v>0</v>
      </c>
      <c r="AI89">
        <v>6.54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0.96</v>
      </c>
      <c r="AU89" t="s">
        <v>3</v>
      </c>
      <c r="AV89">
        <v>0</v>
      </c>
      <c r="AW89">
        <v>2</v>
      </c>
      <c r="AX89">
        <v>43157256</v>
      </c>
      <c r="AY89">
        <v>1</v>
      </c>
      <c r="AZ89">
        <v>0</v>
      </c>
      <c r="BA89">
        <v>91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Y89*Source!I45</f>
        <v>0.13440000000000002</v>
      </c>
      <c r="CY89">
        <f>AA89</f>
        <v>93.59</v>
      </c>
      <c r="CZ89">
        <f>AE89</f>
        <v>14.31</v>
      </c>
      <c r="DA89">
        <f>AI89</f>
        <v>6.54</v>
      </c>
      <c r="DB89">
        <f t="shared" si="10"/>
        <v>13.74</v>
      </c>
      <c r="DC89">
        <f t="shared" si="11"/>
        <v>0</v>
      </c>
    </row>
    <row r="90" spans="1:107" x14ac:dyDescent="0.2">
      <c r="A90">
        <f>ROW(Source!A45)</f>
        <v>45</v>
      </c>
      <c r="B90">
        <v>43156991</v>
      </c>
      <c r="C90">
        <v>43157240</v>
      </c>
      <c r="D90">
        <v>29122308</v>
      </c>
      <c r="E90">
        <v>1</v>
      </c>
      <c r="F90">
        <v>1</v>
      </c>
      <c r="G90">
        <v>1</v>
      </c>
      <c r="H90">
        <v>3</v>
      </c>
      <c r="I90" t="s">
        <v>463</v>
      </c>
      <c r="J90" t="s">
        <v>464</v>
      </c>
      <c r="K90" t="s">
        <v>465</v>
      </c>
      <c r="L90">
        <v>1346</v>
      </c>
      <c r="N90">
        <v>1009</v>
      </c>
      <c r="O90" t="s">
        <v>315</v>
      </c>
      <c r="P90" t="s">
        <v>315</v>
      </c>
      <c r="Q90">
        <v>1</v>
      </c>
      <c r="W90">
        <v>0</v>
      </c>
      <c r="X90">
        <v>235445729</v>
      </c>
      <c r="Y90">
        <v>0.2</v>
      </c>
      <c r="AA90">
        <v>166.02</v>
      </c>
      <c r="AB90">
        <v>0</v>
      </c>
      <c r="AC90">
        <v>0</v>
      </c>
      <c r="AD90">
        <v>0</v>
      </c>
      <c r="AE90">
        <v>34.020000000000003</v>
      </c>
      <c r="AF90">
        <v>0</v>
      </c>
      <c r="AG90">
        <v>0</v>
      </c>
      <c r="AH90">
        <v>0</v>
      </c>
      <c r="AI90">
        <v>4.88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0.2</v>
      </c>
      <c r="AU90" t="s">
        <v>3</v>
      </c>
      <c r="AV90">
        <v>0</v>
      </c>
      <c r="AW90">
        <v>2</v>
      </c>
      <c r="AX90">
        <v>43157257</v>
      </c>
      <c r="AY90">
        <v>1</v>
      </c>
      <c r="AZ90">
        <v>0</v>
      </c>
      <c r="BA90">
        <v>92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Y90*Source!I45</f>
        <v>2.8000000000000004E-2</v>
      </c>
      <c r="CY90">
        <f>AA90</f>
        <v>166.02</v>
      </c>
      <c r="CZ90">
        <f>AE90</f>
        <v>34.020000000000003</v>
      </c>
      <c r="DA90">
        <f>AI90</f>
        <v>4.88</v>
      </c>
      <c r="DB90">
        <f t="shared" si="10"/>
        <v>6.8</v>
      </c>
      <c r="DC90">
        <f t="shared" si="11"/>
        <v>0</v>
      </c>
    </row>
    <row r="91" spans="1:107" x14ac:dyDescent="0.2">
      <c r="A91">
        <f>ROW(Source!A45)</f>
        <v>45</v>
      </c>
      <c r="B91">
        <v>43156991</v>
      </c>
      <c r="C91">
        <v>43157240</v>
      </c>
      <c r="D91">
        <v>29171808</v>
      </c>
      <c r="E91">
        <v>1</v>
      </c>
      <c r="F91">
        <v>1</v>
      </c>
      <c r="G91">
        <v>1</v>
      </c>
      <c r="H91">
        <v>3</v>
      </c>
      <c r="I91" t="s">
        <v>334</v>
      </c>
      <c r="J91" t="s">
        <v>335</v>
      </c>
      <c r="K91" t="s">
        <v>336</v>
      </c>
      <c r="L91">
        <v>1374</v>
      </c>
      <c r="N91">
        <v>1013</v>
      </c>
      <c r="O91" t="s">
        <v>337</v>
      </c>
      <c r="P91" t="s">
        <v>337</v>
      </c>
      <c r="Q91">
        <v>1</v>
      </c>
      <c r="W91">
        <v>0</v>
      </c>
      <c r="X91">
        <v>-915781824</v>
      </c>
      <c r="Y91">
        <v>3.58</v>
      </c>
      <c r="AA91">
        <v>1</v>
      </c>
      <c r="AB91">
        <v>0</v>
      </c>
      <c r="AC91">
        <v>0</v>
      </c>
      <c r="AD91">
        <v>0</v>
      </c>
      <c r="AE91">
        <v>1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3</v>
      </c>
      <c r="AT91">
        <v>3.58</v>
      </c>
      <c r="AU91" t="s">
        <v>3</v>
      </c>
      <c r="AV91">
        <v>0</v>
      </c>
      <c r="AW91">
        <v>2</v>
      </c>
      <c r="AX91">
        <v>43157258</v>
      </c>
      <c r="AY91">
        <v>1</v>
      </c>
      <c r="AZ91">
        <v>0</v>
      </c>
      <c r="BA91">
        <v>93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Y91*Source!I45</f>
        <v>0.50120000000000009</v>
      </c>
      <c r="CY91">
        <f>AA91</f>
        <v>1</v>
      </c>
      <c r="CZ91">
        <f>AE91</f>
        <v>1</v>
      </c>
      <c r="DA91">
        <f>AI91</f>
        <v>1</v>
      </c>
      <c r="DB91">
        <f t="shared" si="10"/>
        <v>3.58</v>
      </c>
      <c r="DC91">
        <f t="shared" si="11"/>
        <v>0</v>
      </c>
    </row>
    <row r="92" spans="1:107" x14ac:dyDescent="0.2">
      <c r="A92">
        <f>ROW(Source!A48)</f>
        <v>48</v>
      </c>
      <c r="B92">
        <v>43156991</v>
      </c>
      <c r="C92">
        <v>43157261</v>
      </c>
      <c r="D92">
        <v>18410280</v>
      </c>
      <c r="E92">
        <v>1</v>
      </c>
      <c r="F92">
        <v>1</v>
      </c>
      <c r="G92">
        <v>1</v>
      </c>
      <c r="H92">
        <v>1</v>
      </c>
      <c r="I92" t="s">
        <v>466</v>
      </c>
      <c r="J92" t="s">
        <v>3</v>
      </c>
      <c r="K92" t="s">
        <v>467</v>
      </c>
      <c r="L92">
        <v>1369</v>
      </c>
      <c r="N92">
        <v>1013</v>
      </c>
      <c r="O92" t="s">
        <v>304</v>
      </c>
      <c r="P92" t="s">
        <v>304</v>
      </c>
      <c r="Q92">
        <v>1</v>
      </c>
      <c r="W92">
        <v>0</v>
      </c>
      <c r="X92">
        <v>-464685602</v>
      </c>
      <c r="Y92">
        <v>16.29</v>
      </c>
      <c r="AA92">
        <v>0</v>
      </c>
      <c r="AB92">
        <v>0</v>
      </c>
      <c r="AC92">
        <v>0</v>
      </c>
      <c r="AD92">
        <v>9.51</v>
      </c>
      <c r="AE92">
        <v>0</v>
      </c>
      <c r="AF92">
        <v>0</v>
      </c>
      <c r="AG92">
        <v>0</v>
      </c>
      <c r="AH92">
        <v>9.51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</v>
      </c>
      <c r="AT92">
        <v>16.29</v>
      </c>
      <c r="AU92" t="s">
        <v>3</v>
      </c>
      <c r="AV92">
        <v>1</v>
      </c>
      <c r="AW92">
        <v>2</v>
      </c>
      <c r="AX92">
        <v>43157270</v>
      </c>
      <c r="AY92">
        <v>1</v>
      </c>
      <c r="AZ92">
        <v>0</v>
      </c>
      <c r="BA92">
        <v>94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Y92*Source!I48</f>
        <v>3.258</v>
      </c>
      <c r="CY92">
        <f>AD92</f>
        <v>9.51</v>
      </c>
      <c r="CZ92">
        <f>AH92</f>
        <v>9.51</v>
      </c>
      <c r="DA92">
        <f>AL92</f>
        <v>1</v>
      </c>
      <c r="DB92">
        <f t="shared" si="10"/>
        <v>154.91999999999999</v>
      </c>
      <c r="DC92">
        <f t="shared" si="11"/>
        <v>0</v>
      </c>
    </row>
    <row r="93" spans="1:107" x14ac:dyDescent="0.2">
      <c r="A93">
        <f>ROW(Source!A48)</f>
        <v>48</v>
      </c>
      <c r="B93">
        <v>43156991</v>
      </c>
      <c r="C93">
        <v>43157261</v>
      </c>
      <c r="D93">
        <v>121548</v>
      </c>
      <c r="E93">
        <v>1</v>
      </c>
      <c r="F93">
        <v>1</v>
      </c>
      <c r="G93">
        <v>1</v>
      </c>
      <c r="H93">
        <v>1</v>
      </c>
      <c r="I93" t="s">
        <v>28</v>
      </c>
      <c r="J93" t="s">
        <v>3</v>
      </c>
      <c r="K93" t="s">
        <v>353</v>
      </c>
      <c r="L93">
        <v>608254</v>
      </c>
      <c r="N93">
        <v>1013</v>
      </c>
      <c r="O93" t="s">
        <v>354</v>
      </c>
      <c r="P93" t="s">
        <v>354</v>
      </c>
      <c r="Q93">
        <v>1</v>
      </c>
      <c r="W93">
        <v>0</v>
      </c>
      <c r="X93">
        <v>-185737400</v>
      </c>
      <c r="Y93">
        <v>0.01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0.01</v>
      </c>
      <c r="AU93" t="s">
        <v>3</v>
      </c>
      <c r="AV93">
        <v>2</v>
      </c>
      <c r="AW93">
        <v>2</v>
      </c>
      <c r="AX93">
        <v>43157271</v>
      </c>
      <c r="AY93">
        <v>1</v>
      </c>
      <c r="AZ93">
        <v>0</v>
      </c>
      <c r="BA93">
        <v>95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Y93*Source!I48</f>
        <v>2E-3</v>
      </c>
      <c r="CY93">
        <f>AD93</f>
        <v>0</v>
      </c>
      <c r="CZ93">
        <f>AH93</f>
        <v>0</v>
      </c>
      <c r="DA93">
        <f>AL93</f>
        <v>1</v>
      </c>
      <c r="DB93">
        <f t="shared" si="10"/>
        <v>0</v>
      </c>
      <c r="DC93">
        <f t="shared" si="11"/>
        <v>0</v>
      </c>
    </row>
    <row r="94" spans="1:107" x14ac:dyDescent="0.2">
      <c r="A94">
        <f>ROW(Source!A48)</f>
        <v>48</v>
      </c>
      <c r="B94">
        <v>43156991</v>
      </c>
      <c r="C94">
        <v>43157261</v>
      </c>
      <c r="D94">
        <v>29172556</v>
      </c>
      <c r="E94">
        <v>1</v>
      </c>
      <c r="F94">
        <v>1</v>
      </c>
      <c r="G94">
        <v>1</v>
      </c>
      <c r="H94">
        <v>2</v>
      </c>
      <c r="I94" t="s">
        <v>468</v>
      </c>
      <c r="J94" t="s">
        <v>469</v>
      </c>
      <c r="K94" t="s">
        <v>470</v>
      </c>
      <c r="L94">
        <v>1368</v>
      </c>
      <c r="N94">
        <v>1011</v>
      </c>
      <c r="O94" t="s">
        <v>343</v>
      </c>
      <c r="P94" t="s">
        <v>343</v>
      </c>
      <c r="Q94">
        <v>1</v>
      </c>
      <c r="W94">
        <v>0</v>
      </c>
      <c r="X94">
        <v>344519037</v>
      </c>
      <c r="Y94">
        <v>0.01</v>
      </c>
      <c r="AA94">
        <v>0</v>
      </c>
      <c r="AB94">
        <v>432.33</v>
      </c>
      <c r="AC94">
        <v>412.02</v>
      </c>
      <c r="AD94">
        <v>0</v>
      </c>
      <c r="AE94">
        <v>0</v>
      </c>
      <c r="AF94">
        <v>31.26</v>
      </c>
      <c r="AG94">
        <v>13.5</v>
      </c>
      <c r="AH94">
        <v>0</v>
      </c>
      <c r="AI94">
        <v>1</v>
      </c>
      <c r="AJ94">
        <v>13.83</v>
      </c>
      <c r="AK94">
        <v>30.52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0.01</v>
      </c>
      <c r="AU94" t="s">
        <v>3</v>
      </c>
      <c r="AV94">
        <v>0</v>
      </c>
      <c r="AW94">
        <v>2</v>
      </c>
      <c r="AX94">
        <v>43157272</v>
      </c>
      <c r="AY94">
        <v>1</v>
      </c>
      <c r="AZ94">
        <v>0</v>
      </c>
      <c r="BA94">
        <v>96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Y94*Source!I48</f>
        <v>2E-3</v>
      </c>
      <c r="CY94">
        <f>AB94</f>
        <v>432.33</v>
      </c>
      <c r="CZ94">
        <f>AF94</f>
        <v>31.26</v>
      </c>
      <c r="DA94">
        <f>AJ94</f>
        <v>13.83</v>
      </c>
      <c r="DB94">
        <f t="shared" si="10"/>
        <v>0.31</v>
      </c>
      <c r="DC94">
        <f t="shared" si="11"/>
        <v>0.14000000000000001</v>
      </c>
    </row>
    <row r="95" spans="1:107" x14ac:dyDescent="0.2">
      <c r="A95">
        <f>ROW(Source!A48)</f>
        <v>48</v>
      </c>
      <c r="B95">
        <v>43156991</v>
      </c>
      <c r="C95">
        <v>43157261</v>
      </c>
      <c r="D95">
        <v>29173472</v>
      </c>
      <c r="E95">
        <v>1</v>
      </c>
      <c r="F95">
        <v>1</v>
      </c>
      <c r="G95">
        <v>1</v>
      </c>
      <c r="H95">
        <v>2</v>
      </c>
      <c r="I95" t="s">
        <v>471</v>
      </c>
      <c r="J95" t="s">
        <v>472</v>
      </c>
      <c r="K95" t="s">
        <v>473</v>
      </c>
      <c r="L95">
        <v>1368</v>
      </c>
      <c r="N95">
        <v>1011</v>
      </c>
      <c r="O95" t="s">
        <v>343</v>
      </c>
      <c r="P95" t="s">
        <v>343</v>
      </c>
      <c r="Q95">
        <v>1</v>
      </c>
      <c r="W95">
        <v>0</v>
      </c>
      <c r="X95">
        <v>-1937814132</v>
      </c>
      <c r="Y95">
        <v>6.08</v>
      </c>
      <c r="AA95">
        <v>0</v>
      </c>
      <c r="AB95">
        <v>12.6</v>
      </c>
      <c r="AC95">
        <v>0</v>
      </c>
      <c r="AD95">
        <v>0</v>
      </c>
      <c r="AE95">
        <v>0</v>
      </c>
      <c r="AF95">
        <v>3</v>
      </c>
      <c r="AG95">
        <v>0</v>
      </c>
      <c r="AH95">
        <v>0</v>
      </c>
      <c r="AI95">
        <v>1</v>
      </c>
      <c r="AJ95">
        <v>4.2</v>
      </c>
      <c r="AK95">
        <v>30.52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</v>
      </c>
      <c r="AT95">
        <v>6.08</v>
      </c>
      <c r="AU95" t="s">
        <v>3</v>
      </c>
      <c r="AV95">
        <v>0</v>
      </c>
      <c r="AW95">
        <v>2</v>
      </c>
      <c r="AX95">
        <v>43157273</v>
      </c>
      <c r="AY95">
        <v>1</v>
      </c>
      <c r="AZ95">
        <v>0</v>
      </c>
      <c r="BA95">
        <v>97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Y95*Source!I48</f>
        <v>1.2160000000000002</v>
      </c>
      <c r="CY95">
        <f>AB95</f>
        <v>12.6</v>
      </c>
      <c r="CZ95">
        <f>AF95</f>
        <v>3</v>
      </c>
      <c r="DA95">
        <f>AJ95</f>
        <v>4.2</v>
      </c>
      <c r="DB95">
        <f t="shared" si="10"/>
        <v>18.239999999999998</v>
      </c>
      <c r="DC95">
        <f t="shared" si="11"/>
        <v>0</v>
      </c>
    </row>
    <row r="96" spans="1:107" x14ac:dyDescent="0.2">
      <c r="A96">
        <f>ROW(Source!A48)</f>
        <v>48</v>
      </c>
      <c r="B96">
        <v>43156991</v>
      </c>
      <c r="C96">
        <v>43157261</v>
      </c>
      <c r="D96">
        <v>29174580</v>
      </c>
      <c r="E96">
        <v>1</v>
      </c>
      <c r="F96">
        <v>1</v>
      </c>
      <c r="G96">
        <v>1</v>
      </c>
      <c r="H96">
        <v>2</v>
      </c>
      <c r="I96" t="s">
        <v>460</v>
      </c>
      <c r="J96" t="s">
        <v>461</v>
      </c>
      <c r="K96" t="s">
        <v>462</v>
      </c>
      <c r="L96">
        <v>1368</v>
      </c>
      <c r="N96">
        <v>1011</v>
      </c>
      <c r="O96" t="s">
        <v>343</v>
      </c>
      <c r="P96" t="s">
        <v>343</v>
      </c>
      <c r="Q96">
        <v>1</v>
      </c>
      <c r="W96">
        <v>0</v>
      </c>
      <c r="X96">
        <v>-991672839</v>
      </c>
      <c r="Y96">
        <v>6.08</v>
      </c>
      <c r="AA96">
        <v>0</v>
      </c>
      <c r="AB96">
        <v>31.82</v>
      </c>
      <c r="AC96">
        <v>0</v>
      </c>
      <c r="AD96">
        <v>0</v>
      </c>
      <c r="AE96">
        <v>0</v>
      </c>
      <c r="AF96">
        <v>2.08</v>
      </c>
      <c r="AG96">
        <v>0</v>
      </c>
      <c r="AH96">
        <v>0</v>
      </c>
      <c r="AI96">
        <v>1</v>
      </c>
      <c r="AJ96">
        <v>15.3</v>
      </c>
      <c r="AK96">
        <v>30.52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6.08</v>
      </c>
      <c r="AU96" t="s">
        <v>3</v>
      </c>
      <c r="AV96">
        <v>0</v>
      </c>
      <c r="AW96">
        <v>2</v>
      </c>
      <c r="AX96">
        <v>43157274</v>
      </c>
      <c r="AY96">
        <v>1</v>
      </c>
      <c r="AZ96">
        <v>0</v>
      </c>
      <c r="BA96">
        <v>98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Y96*Source!I48</f>
        <v>1.2160000000000002</v>
      </c>
      <c r="CY96">
        <f>AB96</f>
        <v>31.82</v>
      </c>
      <c r="CZ96">
        <f>AF96</f>
        <v>2.08</v>
      </c>
      <c r="DA96">
        <f>AJ96</f>
        <v>15.3</v>
      </c>
      <c r="DB96">
        <f t="shared" si="10"/>
        <v>12.65</v>
      </c>
      <c r="DC96">
        <f t="shared" si="11"/>
        <v>0</v>
      </c>
    </row>
    <row r="97" spans="1:107" x14ac:dyDescent="0.2">
      <c r="A97">
        <f>ROW(Source!A48)</f>
        <v>48</v>
      </c>
      <c r="B97">
        <v>43156991</v>
      </c>
      <c r="C97">
        <v>43157261</v>
      </c>
      <c r="D97">
        <v>29114688</v>
      </c>
      <c r="E97">
        <v>1</v>
      </c>
      <c r="F97">
        <v>1</v>
      </c>
      <c r="G97">
        <v>1</v>
      </c>
      <c r="H97">
        <v>3</v>
      </c>
      <c r="I97" t="s">
        <v>474</v>
      </c>
      <c r="J97" t="s">
        <v>475</v>
      </c>
      <c r="K97" t="s">
        <v>476</v>
      </c>
      <c r="L97">
        <v>1348</v>
      </c>
      <c r="N97">
        <v>1009</v>
      </c>
      <c r="O97" t="s">
        <v>308</v>
      </c>
      <c r="P97" t="s">
        <v>308</v>
      </c>
      <c r="Q97">
        <v>1000</v>
      </c>
      <c r="W97">
        <v>0</v>
      </c>
      <c r="X97">
        <v>546198954</v>
      </c>
      <c r="Y97">
        <v>1E-3</v>
      </c>
      <c r="AA97">
        <v>96705.4</v>
      </c>
      <c r="AB97">
        <v>0</v>
      </c>
      <c r="AC97">
        <v>0</v>
      </c>
      <c r="AD97">
        <v>0</v>
      </c>
      <c r="AE97">
        <v>12430</v>
      </c>
      <c r="AF97">
        <v>0</v>
      </c>
      <c r="AG97">
        <v>0</v>
      </c>
      <c r="AH97">
        <v>0</v>
      </c>
      <c r="AI97">
        <v>7.78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0</v>
      </c>
      <c r="AQ97">
        <v>0</v>
      </c>
      <c r="AR97">
        <v>0</v>
      </c>
      <c r="AS97" t="s">
        <v>3</v>
      </c>
      <c r="AT97">
        <v>1E-3</v>
      </c>
      <c r="AU97" t="s">
        <v>3</v>
      </c>
      <c r="AV97">
        <v>0</v>
      </c>
      <c r="AW97">
        <v>2</v>
      </c>
      <c r="AX97">
        <v>43157275</v>
      </c>
      <c r="AY97">
        <v>1</v>
      </c>
      <c r="AZ97">
        <v>0</v>
      </c>
      <c r="BA97">
        <v>99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Y97*Source!I48</f>
        <v>2.0000000000000001E-4</v>
      </c>
      <c r="CY97">
        <f>AA97</f>
        <v>96705.4</v>
      </c>
      <c r="CZ97">
        <f>AE97</f>
        <v>12430</v>
      </c>
      <c r="DA97">
        <f>AI97</f>
        <v>7.78</v>
      </c>
      <c r="DB97">
        <f t="shared" ref="DB97:DB121" si="15">ROUND(ROUND(AT97*CZ97,2),2)</f>
        <v>12.43</v>
      </c>
      <c r="DC97">
        <f t="shared" ref="DC97:DC121" si="16">ROUND(ROUND(AT97*AG97,2),2)</f>
        <v>0</v>
      </c>
    </row>
    <row r="98" spans="1:107" x14ac:dyDescent="0.2">
      <c r="A98">
        <f>ROW(Source!A48)</f>
        <v>48</v>
      </c>
      <c r="B98">
        <v>43156991</v>
      </c>
      <c r="C98">
        <v>43157261</v>
      </c>
      <c r="D98">
        <v>29114472</v>
      </c>
      <c r="E98">
        <v>1</v>
      </c>
      <c r="F98">
        <v>1</v>
      </c>
      <c r="G98">
        <v>1</v>
      </c>
      <c r="H98">
        <v>3</v>
      </c>
      <c r="I98" t="s">
        <v>477</v>
      </c>
      <c r="J98" t="s">
        <v>478</v>
      </c>
      <c r="K98" t="s">
        <v>479</v>
      </c>
      <c r="L98">
        <v>1356</v>
      </c>
      <c r="N98">
        <v>1010</v>
      </c>
      <c r="O98" t="s">
        <v>480</v>
      </c>
      <c r="P98" t="s">
        <v>480</v>
      </c>
      <c r="Q98">
        <v>1000</v>
      </c>
      <c r="W98">
        <v>0</v>
      </c>
      <c r="X98">
        <v>1703397329</v>
      </c>
      <c r="Y98">
        <v>0.2</v>
      </c>
      <c r="AA98">
        <v>182.58</v>
      </c>
      <c r="AB98">
        <v>0</v>
      </c>
      <c r="AC98">
        <v>0</v>
      </c>
      <c r="AD98">
        <v>0</v>
      </c>
      <c r="AE98">
        <v>179</v>
      </c>
      <c r="AF98">
        <v>0</v>
      </c>
      <c r="AG98">
        <v>0</v>
      </c>
      <c r="AH98">
        <v>0</v>
      </c>
      <c r="AI98">
        <v>1.02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0</v>
      </c>
      <c r="AQ98">
        <v>0</v>
      </c>
      <c r="AR98">
        <v>0</v>
      </c>
      <c r="AS98" t="s">
        <v>3</v>
      </c>
      <c r="AT98">
        <v>0.2</v>
      </c>
      <c r="AU98" t="s">
        <v>3</v>
      </c>
      <c r="AV98">
        <v>0</v>
      </c>
      <c r="AW98">
        <v>2</v>
      </c>
      <c r="AX98">
        <v>43157276</v>
      </c>
      <c r="AY98">
        <v>1</v>
      </c>
      <c r="AZ98">
        <v>0</v>
      </c>
      <c r="BA98">
        <v>100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Y98*Source!I48</f>
        <v>4.0000000000000008E-2</v>
      </c>
      <c r="CY98">
        <f>AA98</f>
        <v>182.58</v>
      </c>
      <c r="CZ98">
        <f>AE98</f>
        <v>179</v>
      </c>
      <c r="DA98">
        <f>AI98</f>
        <v>1.02</v>
      </c>
      <c r="DB98">
        <f t="shared" si="15"/>
        <v>35.799999999999997</v>
      </c>
      <c r="DC98">
        <f t="shared" si="16"/>
        <v>0</v>
      </c>
    </row>
    <row r="99" spans="1:107" x14ac:dyDescent="0.2">
      <c r="A99">
        <f>ROW(Source!A48)</f>
        <v>48</v>
      </c>
      <c r="B99">
        <v>43156991</v>
      </c>
      <c r="C99">
        <v>43157261</v>
      </c>
      <c r="D99">
        <v>29171808</v>
      </c>
      <c r="E99">
        <v>1</v>
      </c>
      <c r="F99">
        <v>1</v>
      </c>
      <c r="G99">
        <v>1</v>
      </c>
      <c r="H99">
        <v>3</v>
      </c>
      <c r="I99" t="s">
        <v>334</v>
      </c>
      <c r="J99" t="s">
        <v>335</v>
      </c>
      <c r="K99" t="s">
        <v>336</v>
      </c>
      <c r="L99">
        <v>1374</v>
      </c>
      <c r="N99">
        <v>1013</v>
      </c>
      <c r="O99" t="s">
        <v>337</v>
      </c>
      <c r="P99" t="s">
        <v>337</v>
      </c>
      <c r="Q99">
        <v>1</v>
      </c>
      <c r="W99">
        <v>0</v>
      </c>
      <c r="X99">
        <v>-915781824</v>
      </c>
      <c r="Y99">
        <v>3.1</v>
      </c>
      <c r="AA99">
        <v>1</v>
      </c>
      <c r="AB99">
        <v>0</v>
      </c>
      <c r="AC99">
        <v>0</v>
      </c>
      <c r="AD99">
        <v>0</v>
      </c>
      <c r="AE99">
        <v>1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3</v>
      </c>
      <c r="AT99">
        <v>3.1</v>
      </c>
      <c r="AU99" t="s">
        <v>3</v>
      </c>
      <c r="AV99">
        <v>0</v>
      </c>
      <c r="AW99">
        <v>2</v>
      </c>
      <c r="AX99">
        <v>43157277</v>
      </c>
      <c r="AY99">
        <v>1</v>
      </c>
      <c r="AZ99">
        <v>0</v>
      </c>
      <c r="BA99">
        <v>101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Y99*Source!I48</f>
        <v>0.62000000000000011</v>
      </c>
      <c r="CY99">
        <f>AA99</f>
        <v>1</v>
      </c>
      <c r="CZ99">
        <f>AE99</f>
        <v>1</v>
      </c>
      <c r="DA99">
        <f>AI99</f>
        <v>1</v>
      </c>
      <c r="DB99">
        <f t="shared" si="15"/>
        <v>3.1</v>
      </c>
      <c r="DC99">
        <f t="shared" si="16"/>
        <v>0</v>
      </c>
    </row>
    <row r="100" spans="1:107" x14ac:dyDescent="0.2">
      <c r="A100">
        <f>ROW(Source!A51)</f>
        <v>51</v>
      </c>
      <c r="B100">
        <v>43156991</v>
      </c>
      <c r="C100">
        <v>43157280</v>
      </c>
      <c r="D100">
        <v>29361034</v>
      </c>
      <c r="E100">
        <v>1</v>
      </c>
      <c r="F100">
        <v>1</v>
      </c>
      <c r="G100">
        <v>1</v>
      </c>
      <c r="H100">
        <v>1</v>
      </c>
      <c r="I100" t="s">
        <v>458</v>
      </c>
      <c r="J100" t="s">
        <v>3</v>
      </c>
      <c r="K100" t="s">
        <v>459</v>
      </c>
      <c r="L100">
        <v>1369</v>
      </c>
      <c r="N100">
        <v>1013</v>
      </c>
      <c r="O100" t="s">
        <v>304</v>
      </c>
      <c r="P100" t="s">
        <v>304</v>
      </c>
      <c r="Q100">
        <v>1</v>
      </c>
      <c r="W100">
        <v>0</v>
      </c>
      <c r="X100">
        <v>184923391</v>
      </c>
      <c r="Y100">
        <v>5.39</v>
      </c>
      <c r="AA100">
        <v>0</v>
      </c>
      <c r="AB100">
        <v>0</v>
      </c>
      <c r="AC100">
        <v>0</v>
      </c>
      <c r="AD100">
        <v>9.4</v>
      </c>
      <c r="AE100">
        <v>0</v>
      </c>
      <c r="AF100">
        <v>0</v>
      </c>
      <c r="AG100">
        <v>0</v>
      </c>
      <c r="AH100">
        <v>9.4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3</v>
      </c>
      <c r="AT100">
        <v>5.39</v>
      </c>
      <c r="AU100" t="s">
        <v>3</v>
      </c>
      <c r="AV100">
        <v>1</v>
      </c>
      <c r="AW100">
        <v>2</v>
      </c>
      <c r="AX100">
        <v>43157291</v>
      </c>
      <c r="AY100">
        <v>1</v>
      </c>
      <c r="AZ100">
        <v>0</v>
      </c>
      <c r="BA100">
        <v>102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Y100*Source!I51</f>
        <v>0.80849999999999989</v>
      </c>
      <c r="CY100">
        <f>AD100</f>
        <v>9.4</v>
      </c>
      <c r="CZ100">
        <f>AH100</f>
        <v>9.4</v>
      </c>
      <c r="DA100">
        <f>AL100</f>
        <v>1</v>
      </c>
      <c r="DB100">
        <f t="shared" si="15"/>
        <v>50.67</v>
      </c>
      <c r="DC100">
        <f t="shared" si="16"/>
        <v>0</v>
      </c>
    </row>
    <row r="101" spans="1:107" x14ac:dyDescent="0.2">
      <c r="A101">
        <f>ROW(Source!A51)</f>
        <v>51</v>
      </c>
      <c r="B101">
        <v>43156991</v>
      </c>
      <c r="C101">
        <v>43157280</v>
      </c>
      <c r="D101">
        <v>121548</v>
      </c>
      <c r="E101">
        <v>1</v>
      </c>
      <c r="F101">
        <v>1</v>
      </c>
      <c r="G101">
        <v>1</v>
      </c>
      <c r="H101">
        <v>1</v>
      </c>
      <c r="I101" t="s">
        <v>28</v>
      </c>
      <c r="J101" t="s">
        <v>3</v>
      </c>
      <c r="K101" t="s">
        <v>353</v>
      </c>
      <c r="L101">
        <v>608254</v>
      </c>
      <c r="N101">
        <v>1013</v>
      </c>
      <c r="O101" t="s">
        <v>354</v>
      </c>
      <c r="P101" t="s">
        <v>354</v>
      </c>
      <c r="Q101">
        <v>1</v>
      </c>
      <c r="W101">
        <v>0</v>
      </c>
      <c r="X101">
        <v>-185737400</v>
      </c>
      <c r="Y101">
        <v>0.02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3</v>
      </c>
      <c r="AT101">
        <v>0.02</v>
      </c>
      <c r="AU101" t="s">
        <v>3</v>
      </c>
      <c r="AV101">
        <v>2</v>
      </c>
      <c r="AW101">
        <v>2</v>
      </c>
      <c r="AX101">
        <v>43157292</v>
      </c>
      <c r="AY101">
        <v>1</v>
      </c>
      <c r="AZ101">
        <v>0</v>
      </c>
      <c r="BA101">
        <v>103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Y101*Source!I51</f>
        <v>3.0000000000000001E-3</v>
      </c>
      <c r="CY101">
        <f>AD101</f>
        <v>0</v>
      </c>
      <c r="CZ101">
        <f>AH101</f>
        <v>0</v>
      </c>
      <c r="DA101">
        <f>AL101</f>
        <v>1</v>
      </c>
      <c r="DB101">
        <f t="shared" si="15"/>
        <v>0</v>
      </c>
      <c r="DC101">
        <f t="shared" si="16"/>
        <v>0</v>
      </c>
    </row>
    <row r="102" spans="1:107" x14ac:dyDescent="0.2">
      <c r="A102">
        <f>ROW(Source!A51)</f>
        <v>51</v>
      </c>
      <c r="B102">
        <v>43156991</v>
      </c>
      <c r="C102">
        <v>43157280</v>
      </c>
      <c r="D102">
        <v>29172362</v>
      </c>
      <c r="E102">
        <v>1</v>
      </c>
      <c r="F102">
        <v>1</v>
      </c>
      <c r="G102">
        <v>1</v>
      </c>
      <c r="H102">
        <v>2</v>
      </c>
      <c r="I102" t="s">
        <v>355</v>
      </c>
      <c r="J102" t="s">
        <v>356</v>
      </c>
      <c r="K102" t="s">
        <v>357</v>
      </c>
      <c r="L102">
        <v>1368</v>
      </c>
      <c r="N102">
        <v>1011</v>
      </c>
      <c r="O102" t="s">
        <v>343</v>
      </c>
      <c r="P102" t="s">
        <v>343</v>
      </c>
      <c r="Q102">
        <v>1</v>
      </c>
      <c r="W102">
        <v>0</v>
      </c>
      <c r="X102">
        <v>783836208</v>
      </c>
      <c r="Y102">
        <v>0.02</v>
      </c>
      <c r="AA102">
        <v>0</v>
      </c>
      <c r="AB102">
        <v>1067.77</v>
      </c>
      <c r="AC102">
        <v>412.02</v>
      </c>
      <c r="AD102">
        <v>0</v>
      </c>
      <c r="AE102">
        <v>0</v>
      </c>
      <c r="AF102">
        <v>134.65</v>
      </c>
      <c r="AG102">
        <v>13.5</v>
      </c>
      <c r="AH102">
        <v>0</v>
      </c>
      <c r="AI102">
        <v>1</v>
      </c>
      <c r="AJ102">
        <v>7.93</v>
      </c>
      <c r="AK102">
        <v>30.52</v>
      </c>
      <c r="AL102">
        <v>1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3</v>
      </c>
      <c r="AT102">
        <v>0.02</v>
      </c>
      <c r="AU102" t="s">
        <v>3</v>
      </c>
      <c r="AV102">
        <v>0</v>
      </c>
      <c r="AW102">
        <v>2</v>
      </c>
      <c r="AX102">
        <v>43157293</v>
      </c>
      <c r="AY102">
        <v>1</v>
      </c>
      <c r="AZ102">
        <v>0</v>
      </c>
      <c r="BA102">
        <v>104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Y102*Source!I51</f>
        <v>3.0000000000000001E-3</v>
      </c>
      <c r="CY102">
        <f>AB102</f>
        <v>1067.77</v>
      </c>
      <c r="CZ102">
        <f>AF102</f>
        <v>134.65</v>
      </c>
      <c r="DA102">
        <f>AJ102</f>
        <v>7.93</v>
      </c>
      <c r="DB102">
        <f t="shared" si="15"/>
        <v>2.69</v>
      </c>
      <c r="DC102">
        <f t="shared" si="16"/>
        <v>0.27</v>
      </c>
    </row>
    <row r="103" spans="1:107" x14ac:dyDescent="0.2">
      <c r="A103">
        <f>ROW(Source!A51)</f>
        <v>51</v>
      </c>
      <c r="B103">
        <v>43156991</v>
      </c>
      <c r="C103">
        <v>43157280</v>
      </c>
      <c r="D103">
        <v>29174913</v>
      </c>
      <c r="E103">
        <v>1</v>
      </c>
      <c r="F103">
        <v>1</v>
      </c>
      <c r="G103">
        <v>1</v>
      </c>
      <c r="H103">
        <v>2</v>
      </c>
      <c r="I103" t="s">
        <v>367</v>
      </c>
      <c r="J103" t="s">
        <v>368</v>
      </c>
      <c r="K103" t="s">
        <v>369</v>
      </c>
      <c r="L103">
        <v>1368</v>
      </c>
      <c r="N103">
        <v>1011</v>
      </c>
      <c r="O103" t="s">
        <v>343</v>
      </c>
      <c r="P103" t="s">
        <v>343</v>
      </c>
      <c r="Q103">
        <v>1</v>
      </c>
      <c r="W103">
        <v>0</v>
      </c>
      <c r="X103">
        <v>1230759911</v>
      </c>
      <c r="Y103">
        <v>0.02</v>
      </c>
      <c r="AA103">
        <v>0</v>
      </c>
      <c r="AB103">
        <v>894.36</v>
      </c>
      <c r="AC103">
        <v>354.03</v>
      </c>
      <c r="AD103">
        <v>0</v>
      </c>
      <c r="AE103">
        <v>0</v>
      </c>
      <c r="AF103">
        <v>87.17</v>
      </c>
      <c r="AG103">
        <v>11.6</v>
      </c>
      <c r="AH103">
        <v>0</v>
      </c>
      <c r="AI103">
        <v>1</v>
      </c>
      <c r="AJ103">
        <v>10.26</v>
      </c>
      <c r="AK103">
        <v>30.52</v>
      </c>
      <c r="AL103">
        <v>1</v>
      </c>
      <c r="AN103">
        <v>0</v>
      </c>
      <c r="AO103">
        <v>1</v>
      </c>
      <c r="AP103">
        <v>1</v>
      </c>
      <c r="AQ103">
        <v>0</v>
      </c>
      <c r="AR103">
        <v>0</v>
      </c>
      <c r="AS103" t="s">
        <v>3</v>
      </c>
      <c r="AT103">
        <v>0.02</v>
      </c>
      <c r="AU103" t="s">
        <v>3</v>
      </c>
      <c r="AV103">
        <v>0</v>
      </c>
      <c r="AW103">
        <v>2</v>
      </c>
      <c r="AX103">
        <v>43157294</v>
      </c>
      <c r="AY103">
        <v>1</v>
      </c>
      <c r="AZ103">
        <v>0</v>
      </c>
      <c r="BA103">
        <v>105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Y103*Source!I51</f>
        <v>3.0000000000000001E-3</v>
      </c>
      <c r="CY103">
        <f>AB103</f>
        <v>894.36</v>
      </c>
      <c r="CZ103">
        <f>AF103</f>
        <v>87.17</v>
      </c>
      <c r="DA103">
        <f>AJ103</f>
        <v>10.26</v>
      </c>
      <c r="DB103">
        <f t="shared" si="15"/>
        <v>1.74</v>
      </c>
      <c r="DC103">
        <f t="shared" si="16"/>
        <v>0.23</v>
      </c>
    </row>
    <row r="104" spans="1:107" x14ac:dyDescent="0.2">
      <c r="A104">
        <f>ROW(Source!A51)</f>
        <v>51</v>
      </c>
      <c r="B104">
        <v>43156991</v>
      </c>
      <c r="C104">
        <v>43157280</v>
      </c>
      <c r="D104">
        <v>29108269</v>
      </c>
      <c r="E104">
        <v>1</v>
      </c>
      <c r="F104">
        <v>1</v>
      </c>
      <c r="G104">
        <v>1</v>
      </c>
      <c r="H104">
        <v>3</v>
      </c>
      <c r="I104" t="s">
        <v>481</v>
      </c>
      <c r="J104" t="s">
        <v>482</v>
      </c>
      <c r="K104" t="s">
        <v>483</v>
      </c>
      <c r="L104">
        <v>1348</v>
      </c>
      <c r="N104">
        <v>1009</v>
      </c>
      <c r="O104" t="s">
        <v>308</v>
      </c>
      <c r="P104" t="s">
        <v>308</v>
      </c>
      <c r="Q104">
        <v>1000</v>
      </c>
      <c r="W104">
        <v>0</v>
      </c>
      <c r="X104">
        <v>-834843177</v>
      </c>
      <c r="Y104">
        <v>5.9999999999999995E-4</v>
      </c>
      <c r="AA104">
        <v>17417.5</v>
      </c>
      <c r="AB104">
        <v>0</v>
      </c>
      <c r="AC104">
        <v>0</v>
      </c>
      <c r="AD104">
        <v>0</v>
      </c>
      <c r="AE104">
        <v>1820.01</v>
      </c>
      <c r="AF104">
        <v>0</v>
      </c>
      <c r="AG104">
        <v>0</v>
      </c>
      <c r="AH104">
        <v>0</v>
      </c>
      <c r="AI104">
        <v>9.57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0</v>
      </c>
      <c r="AQ104">
        <v>0</v>
      </c>
      <c r="AR104">
        <v>0</v>
      </c>
      <c r="AS104" t="s">
        <v>3</v>
      </c>
      <c r="AT104">
        <v>5.9999999999999995E-4</v>
      </c>
      <c r="AU104" t="s">
        <v>3</v>
      </c>
      <c r="AV104">
        <v>0</v>
      </c>
      <c r="AW104">
        <v>2</v>
      </c>
      <c r="AX104">
        <v>43157295</v>
      </c>
      <c r="AY104">
        <v>1</v>
      </c>
      <c r="AZ104">
        <v>0</v>
      </c>
      <c r="BA104">
        <v>106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Y104*Source!I51</f>
        <v>8.9999999999999992E-5</v>
      </c>
      <c r="CY104">
        <f t="shared" ref="CY104:CY109" si="17">AA104</f>
        <v>17417.5</v>
      </c>
      <c r="CZ104">
        <f t="shared" ref="CZ104:CZ109" si="18">AE104</f>
        <v>1820.01</v>
      </c>
      <c r="DA104">
        <f t="shared" ref="DA104:DA109" si="19">AI104</f>
        <v>9.57</v>
      </c>
      <c r="DB104">
        <f t="shared" si="15"/>
        <v>1.0900000000000001</v>
      </c>
      <c r="DC104">
        <f t="shared" si="16"/>
        <v>0</v>
      </c>
    </row>
    <row r="105" spans="1:107" x14ac:dyDescent="0.2">
      <c r="A105">
        <f>ROW(Source!A51)</f>
        <v>51</v>
      </c>
      <c r="B105">
        <v>43156991</v>
      </c>
      <c r="C105">
        <v>43157280</v>
      </c>
      <c r="D105">
        <v>29110426</v>
      </c>
      <c r="E105">
        <v>1</v>
      </c>
      <c r="F105">
        <v>1</v>
      </c>
      <c r="G105">
        <v>1</v>
      </c>
      <c r="H105">
        <v>3</v>
      </c>
      <c r="I105" t="s">
        <v>376</v>
      </c>
      <c r="J105" t="s">
        <v>377</v>
      </c>
      <c r="K105" t="s">
        <v>378</v>
      </c>
      <c r="L105">
        <v>1346</v>
      </c>
      <c r="N105">
        <v>1009</v>
      </c>
      <c r="O105" t="s">
        <v>315</v>
      </c>
      <c r="P105" t="s">
        <v>315</v>
      </c>
      <c r="Q105">
        <v>1</v>
      </c>
      <c r="W105">
        <v>0</v>
      </c>
      <c r="X105">
        <v>-1768004575</v>
      </c>
      <c r="Y105">
        <v>0.02</v>
      </c>
      <c r="AA105">
        <v>63.36</v>
      </c>
      <c r="AB105">
        <v>0</v>
      </c>
      <c r="AC105">
        <v>0</v>
      </c>
      <c r="AD105">
        <v>0</v>
      </c>
      <c r="AE105">
        <v>28.67</v>
      </c>
      <c r="AF105">
        <v>0</v>
      </c>
      <c r="AG105">
        <v>0</v>
      </c>
      <c r="AH105">
        <v>0</v>
      </c>
      <c r="AI105">
        <v>2.21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0</v>
      </c>
      <c r="AQ105">
        <v>0</v>
      </c>
      <c r="AR105">
        <v>0</v>
      </c>
      <c r="AS105" t="s">
        <v>3</v>
      </c>
      <c r="AT105">
        <v>0.02</v>
      </c>
      <c r="AU105" t="s">
        <v>3</v>
      </c>
      <c r="AV105">
        <v>0</v>
      </c>
      <c r="AW105">
        <v>2</v>
      </c>
      <c r="AX105">
        <v>43157296</v>
      </c>
      <c r="AY105">
        <v>1</v>
      </c>
      <c r="AZ105">
        <v>0</v>
      </c>
      <c r="BA105">
        <v>107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Y105*Source!I51</f>
        <v>3.0000000000000001E-3</v>
      </c>
      <c r="CY105">
        <f t="shared" si="17"/>
        <v>63.36</v>
      </c>
      <c r="CZ105">
        <f t="shared" si="18"/>
        <v>28.67</v>
      </c>
      <c r="DA105">
        <f t="shared" si="19"/>
        <v>2.21</v>
      </c>
      <c r="DB105">
        <f t="shared" si="15"/>
        <v>0.56999999999999995</v>
      </c>
      <c r="DC105">
        <f t="shared" si="16"/>
        <v>0</v>
      </c>
    </row>
    <row r="106" spans="1:107" x14ac:dyDescent="0.2">
      <c r="A106">
        <f>ROW(Source!A51)</f>
        <v>51</v>
      </c>
      <c r="B106">
        <v>43156991</v>
      </c>
      <c r="C106">
        <v>43157280</v>
      </c>
      <c r="D106">
        <v>29110838</v>
      </c>
      <c r="E106">
        <v>1</v>
      </c>
      <c r="F106">
        <v>1</v>
      </c>
      <c r="G106">
        <v>1</v>
      </c>
      <c r="H106">
        <v>3</v>
      </c>
      <c r="I106" t="s">
        <v>443</v>
      </c>
      <c r="J106" t="s">
        <v>444</v>
      </c>
      <c r="K106" t="s">
        <v>445</v>
      </c>
      <c r="L106">
        <v>1346</v>
      </c>
      <c r="N106">
        <v>1009</v>
      </c>
      <c r="O106" t="s">
        <v>315</v>
      </c>
      <c r="P106" t="s">
        <v>315</v>
      </c>
      <c r="Q106">
        <v>1</v>
      </c>
      <c r="W106">
        <v>0</v>
      </c>
      <c r="X106">
        <v>-1294780295</v>
      </c>
      <c r="Y106">
        <v>0.16</v>
      </c>
      <c r="AA106">
        <v>100.04</v>
      </c>
      <c r="AB106">
        <v>0</v>
      </c>
      <c r="AC106">
        <v>0</v>
      </c>
      <c r="AD106">
        <v>0</v>
      </c>
      <c r="AE106">
        <v>30.5</v>
      </c>
      <c r="AF106">
        <v>0</v>
      </c>
      <c r="AG106">
        <v>0</v>
      </c>
      <c r="AH106">
        <v>0</v>
      </c>
      <c r="AI106">
        <v>3.28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0</v>
      </c>
      <c r="AQ106">
        <v>0</v>
      </c>
      <c r="AR106">
        <v>0</v>
      </c>
      <c r="AS106" t="s">
        <v>3</v>
      </c>
      <c r="AT106">
        <v>0.16</v>
      </c>
      <c r="AU106" t="s">
        <v>3</v>
      </c>
      <c r="AV106">
        <v>0</v>
      </c>
      <c r="AW106">
        <v>2</v>
      </c>
      <c r="AX106">
        <v>43157297</v>
      </c>
      <c r="AY106">
        <v>1</v>
      </c>
      <c r="AZ106">
        <v>0</v>
      </c>
      <c r="BA106">
        <v>108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Y106*Source!I51</f>
        <v>2.4E-2</v>
      </c>
      <c r="CY106">
        <f t="shared" si="17"/>
        <v>100.04</v>
      </c>
      <c r="CZ106">
        <f t="shared" si="18"/>
        <v>30.5</v>
      </c>
      <c r="DA106">
        <f t="shared" si="19"/>
        <v>3.28</v>
      </c>
      <c r="DB106">
        <f t="shared" si="15"/>
        <v>4.88</v>
      </c>
      <c r="DC106">
        <f t="shared" si="16"/>
        <v>0</v>
      </c>
    </row>
    <row r="107" spans="1:107" x14ac:dyDescent="0.2">
      <c r="A107">
        <f>ROW(Source!A51)</f>
        <v>51</v>
      </c>
      <c r="B107">
        <v>43156991</v>
      </c>
      <c r="C107">
        <v>43157280</v>
      </c>
      <c r="D107">
        <v>29170672</v>
      </c>
      <c r="E107">
        <v>1</v>
      </c>
      <c r="F107">
        <v>1</v>
      </c>
      <c r="G107">
        <v>1</v>
      </c>
      <c r="H107">
        <v>3</v>
      </c>
      <c r="I107" t="s">
        <v>484</v>
      </c>
      <c r="J107" t="s">
        <v>485</v>
      </c>
      <c r="K107" t="s">
        <v>486</v>
      </c>
      <c r="L107">
        <v>1356</v>
      </c>
      <c r="N107">
        <v>1010</v>
      </c>
      <c r="O107" t="s">
        <v>480</v>
      </c>
      <c r="P107" t="s">
        <v>480</v>
      </c>
      <c r="Q107">
        <v>1000</v>
      </c>
      <c r="W107">
        <v>0</v>
      </c>
      <c r="X107">
        <v>2016061969</v>
      </c>
      <c r="Y107">
        <v>1.2200000000000001E-2</v>
      </c>
      <c r="AA107">
        <v>1007.06</v>
      </c>
      <c r="AB107">
        <v>0</v>
      </c>
      <c r="AC107">
        <v>0</v>
      </c>
      <c r="AD107">
        <v>0</v>
      </c>
      <c r="AE107">
        <v>78.8</v>
      </c>
      <c r="AF107">
        <v>0</v>
      </c>
      <c r="AG107">
        <v>0</v>
      </c>
      <c r="AH107">
        <v>0</v>
      </c>
      <c r="AI107">
        <v>12.78</v>
      </c>
      <c r="AJ107">
        <v>1</v>
      </c>
      <c r="AK107">
        <v>1</v>
      </c>
      <c r="AL107">
        <v>1</v>
      </c>
      <c r="AN107">
        <v>0</v>
      </c>
      <c r="AO107">
        <v>1</v>
      </c>
      <c r="AP107">
        <v>0</v>
      </c>
      <c r="AQ107">
        <v>0</v>
      </c>
      <c r="AR107">
        <v>0</v>
      </c>
      <c r="AS107" t="s">
        <v>3</v>
      </c>
      <c r="AT107">
        <v>1.2200000000000001E-2</v>
      </c>
      <c r="AU107" t="s">
        <v>3</v>
      </c>
      <c r="AV107">
        <v>0</v>
      </c>
      <c r="AW107">
        <v>2</v>
      </c>
      <c r="AX107">
        <v>43157298</v>
      </c>
      <c r="AY107">
        <v>1</v>
      </c>
      <c r="AZ107">
        <v>0</v>
      </c>
      <c r="BA107">
        <v>109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Y107*Source!I51</f>
        <v>1.83E-3</v>
      </c>
      <c r="CY107">
        <f t="shared" si="17"/>
        <v>1007.06</v>
      </c>
      <c r="CZ107">
        <f t="shared" si="18"/>
        <v>78.8</v>
      </c>
      <c r="DA107">
        <f t="shared" si="19"/>
        <v>12.78</v>
      </c>
      <c r="DB107">
        <f t="shared" si="15"/>
        <v>0.96</v>
      </c>
      <c r="DC107">
        <f t="shared" si="16"/>
        <v>0</v>
      </c>
    </row>
    <row r="108" spans="1:107" x14ac:dyDescent="0.2">
      <c r="A108">
        <f>ROW(Source!A51)</f>
        <v>51</v>
      </c>
      <c r="B108">
        <v>43156991</v>
      </c>
      <c r="C108">
        <v>43157280</v>
      </c>
      <c r="D108">
        <v>29163450</v>
      </c>
      <c r="E108">
        <v>1</v>
      </c>
      <c r="F108">
        <v>1</v>
      </c>
      <c r="G108">
        <v>1</v>
      </c>
      <c r="H108">
        <v>3</v>
      </c>
      <c r="I108" t="s">
        <v>487</v>
      </c>
      <c r="J108" t="s">
        <v>488</v>
      </c>
      <c r="K108" t="s">
        <v>489</v>
      </c>
      <c r="L108">
        <v>1355</v>
      </c>
      <c r="N108">
        <v>1010</v>
      </c>
      <c r="O108" t="s">
        <v>347</v>
      </c>
      <c r="P108" t="s">
        <v>347</v>
      </c>
      <c r="Q108">
        <v>100</v>
      </c>
      <c r="W108">
        <v>0</v>
      </c>
      <c r="X108">
        <v>-1963595095</v>
      </c>
      <c r="Y108">
        <v>0.05</v>
      </c>
      <c r="AA108">
        <v>399.84</v>
      </c>
      <c r="AB108">
        <v>0</v>
      </c>
      <c r="AC108">
        <v>0</v>
      </c>
      <c r="AD108">
        <v>0</v>
      </c>
      <c r="AE108">
        <v>112</v>
      </c>
      <c r="AF108">
        <v>0</v>
      </c>
      <c r="AG108">
        <v>0</v>
      </c>
      <c r="AH108">
        <v>0</v>
      </c>
      <c r="AI108">
        <v>3.57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0</v>
      </c>
      <c r="AQ108">
        <v>0</v>
      </c>
      <c r="AR108">
        <v>0</v>
      </c>
      <c r="AS108" t="s">
        <v>3</v>
      </c>
      <c r="AT108">
        <v>0.05</v>
      </c>
      <c r="AU108" t="s">
        <v>3</v>
      </c>
      <c r="AV108">
        <v>0</v>
      </c>
      <c r="AW108">
        <v>2</v>
      </c>
      <c r="AX108">
        <v>43157299</v>
      </c>
      <c r="AY108">
        <v>1</v>
      </c>
      <c r="AZ108">
        <v>0</v>
      </c>
      <c r="BA108">
        <v>110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Y108*Source!I51</f>
        <v>7.4999999999999997E-3</v>
      </c>
      <c r="CY108">
        <f t="shared" si="17"/>
        <v>399.84</v>
      </c>
      <c r="CZ108">
        <f t="shared" si="18"/>
        <v>112</v>
      </c>
      <c r="DA108">
        <f t="shared" si="19"/>
        <v>3.57</v>
      </c>
      <c r="DB108">
        <f t="shared" si="15"/>
        <v>5.6</v>
      </c>
      <c r="DC108">
        <f t="shared" si="16"/>
        <v>0</v>
      </c>
    </row>
    <row r="109" spans="1:107" x14ac:dyDescent="0.2">
      <c r="A109">
        <f>ROW(Source!A51)</f>
        <v>51</v>
      </c>
      <c r="B109">
        <v>43156991</v>
      </c>
      <c r="C109">
        <v>43157280</v>
      </c>
      <c r="D109">
        <v>29171808</v>
      </c>
      <c r="E109">
        <v>1</v>
      </c>
      <c r="F109">
        <v>1</v>
      </c>
      <c r="G109">
        <v>1</v>
      </c>
      <c r="H109">
        <v>3</v>
      </c>
      <c r="I109" t="s">
        <v>334</v>
      </c>
      <c r="J109" t="s">
        <v>335</v>
      </c>
      <c r="K109" t="s">
        <v>336</v>
      </c>
      <c r="L109">
        <v>1374</v>
      </c>
      <c r="N109">
        <v>1013</v>
      </c>
      <c r="O109" t="s">
        <v>337</v>
      </c>
      <c r="P109" t="s">
        <v>337</v>
      </c>
      <c r="Q109">
        <v>1</v>
      </c>
      <c r="W109">
        <v>0</v>
      </c>
      <c r="X109">
        <v>-915781824</v>
      </c>
      <c r="Y109">
        <v>1.01</v>
      </c>
      <c r="AA109">
        <v>1</v>
      </c>
      <c r="AB109">
        <v>0</v>
      </c>
      <c r="AC109">
        <v>0</v>
      </c>
      <c r="AD109">
        <v>0</v>
      </c>
      <c r="AE109">
        <v>1</v>
      </c>
      <c r="AF109">
        <v>0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0</v>
      </c>
      <c r="AQ109">
        <v>0</v>
      </c>
      <c r="AR109">
        <v>0</v>
      </c>
      <c r="AS109" t="s">
        <v>3</v>
      </c>
      <c r="AT109">
        <v>1.01</v>
      </c>
      <c r="AU109" t="s">
        <v>3</v>
      </c>
      <c r="AV109">
        <v>0</v>
      </c>
      <c r="AW109">
        <v>2</v>
      </c>
      <c r="AX109">
        <v>43157300</v>
      </c>
      <c r="AY109">
        <v>1</v>
      </c>
      <c r="AZ109">
        <v>0</v>
      </c>
      <c r="BA109">
        <v>111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Y109*Source!I51</f>
        <v>0.1515</v>
      </c>
      <c r="CY109">
        <f t="shared" si="17"/>
        <v>1</v>
      </c>
      <c r="CZ109">
        <f t="shared" si="18"/>
        <v>1</v>
      </c>
      <c r="DA109">
        <f t="shared" si="19"/>
        <v>1</v>
      </c>
      <c r="DB109">
        <f t="shared" si="15"/>
        <v>1.01</v>
      </c>
      <c r="DC109">
        <f t="shared" si="16"/>
        <v>0</v>
      </c>
    </row>
    <row r="110" spans="1:107" x14ac:dyDescent="0.2">
      <c r="A110">
        <f>ROW(Source!A52)</f>
        <v>52</v>
      </c>
      <c r="B110">
        <v>43156991</v>
      </c>
      <c r="C110">
        <v>43157301</v>
      </c>
      <c r="D110">
        <v>29361034</v>
      </c>
      <c r="E110">
        <v>1</v>
      </c>
      <c r="F110">
        <v>1</v>
      </c>
      <c r="G110">
        <v>1</v>
      </c>
      <c r="H110">
        <v>1</v>
      </c>
      <c r="I110" t="s">
        <v>458</v>
      </c>
      <c r="J110" t="s">
        <v>3</v>
      </c>
      <c r="K110" t="s">
        <v>459</v>
      </c>
      <c r="L110">
        <v>1369</v>
      </c>
      <c r="N110">
        <v>1013</v>
      </c>
      <c r="O110" t="s">
        <v>304</v>
      </c>
      <c r="P110" t="s">
        <v>304</v>
      </c>
      <c r="Q110">
        <v>1</v>
      </c>
      <c r="W110">
        <v>0</v>
      </c>
      <c r="X110">
        <v>184923391</v>
      </c>
      <c r="Y110">
        <v>2.82</v>
      </c>
      <c r="AA110">
        <v>0</v>
      </c>
      <c r="AB110">
        <v>0</v>
      </c>
      <c r="AC110">
        <v>0</v>
      </c>
      <c r="AD110">
        <v>9.4</v>
      </c>
      <c r="AE110">
        <v>0</v>
      </c>
      <c r="AF110">
        <v>0</v>
      </c>
      <c r="AG110">
        <v>0</v>
      </c>
      <c r="AH110">
        <v>9.4</v>
      </c>
      <c r="AI110">
        <v>1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3</v>
      </c>
      <c r="AT110">
        <v>2.82</v>
      </c>
      <c r="AU110" t="s">
        <v>3</v>
      </c>
      <c r="AV110">
        <v>1</v>
      </c>
      <c r="AW110">
        <v>2</v>
      </c>
      <c r="AX110">
        <v>43157310</v>
      </c>
      <c r="AY110">
        <v>1</v>
      </c>
      <c r="AZ110">
        <v>0</v>
      </c>
      <c r="BA110">
        <v>112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Y110*Source!I52</f>
        <v>0.1128</v>
      </c>
      <c r="CY110">
        <f>AD110</f>
        <v>9.4</v>
      </c>
      <c r="CZ110">
        <f>AH110</f>
        <v>9.4</v>
      </c>
      <c r="DA110">
        <f>AL110</f>
        <v>1</v>
      </c>
      <c r="DB110">
        <f t="shared" si="15"/>
        <v>26.51</v>
      </c>
      <c r="DC110">
        <f t="shared" si="16"/>
        <v>0</v>
      </c>
    </row>
    <row r="111" spans="1:107" x14ac:dyDescent="0.2">
      <c r="A111">
        <f>ROW(Source!A52)</f>
        <v>52</v>
      </c>
      <c r="B111">
        <v>43156991</v>
      </c>
      <c r="C111">
        <v>43157301</v>
      </c>
      <c r="D111">
        <v>121548</v>
      </c>
      <c r="E111">
        <v>1</v>
      </c>
      <c r="F111">
        <v>1</v>
      </c>
      <c r="G111">
        <v>1</v>
      </c>
      <c r="H111">
        <v>1</v>
      </c>
      <c r="I111" t="s">
        <v>28</v>
      </c>
      <c r="J111" t="s">
        <v>3</v>
      </c>
      <c r="K111" t="s">
        <v>353</v>
      </c>
      <c r="L111">
        <v>608254</v>
      </c>
      <c r="N111">
        <v>1013</v>
      </c>
      <c r="O111" t="s">
        <v>354</v>
      </c>
      <c r="P111" t="s">
        <v>354</v>
      </c>
      <c r="Q111">
        <v>1</v>
      </c>
      <c r="W111">
        <v>0</v>
      </c>
      <c r="X111">
        <v>-185737400</v>
      </c>
      <c r="Y111">
        <v>0.01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3</v>
      </c>
      <c r="AT111">
        <v>0.01</v>
      </c>
      <c r="AU111" t="s">
        <v>3</v>
      </c>
      <c r="AV111">
        <v>2</v>
      </c>
      <c r="AW111">
        <v>2</v>
      </c>
      <c r="AX111">
        <v>43157311</v>
      </c>
      <c r="AY111">
        <v>1</v>
      </c>
      <c r="AZ111">
        <v>0</v>
      </c>
      <c r="BA111">
        <v>113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Y111*Source!I52</f>
        <v>4.0000000000000002E-4</v>
      </c>
      <c r="CY111">
        <f>AD111</f>
        <v>0</v>
      </c>
      <c r="CZ111">
        <f>AH111</f>
        <v>0</v>
      </c>
      <c r="DA111">
        <f>AL111</f>
        <v>1</v>
      </c>
      <c r="DB111">
        <f t="shared" si="15"/>
        <v>0</v>
      </c>
      <c r="DC111">
        <f t="shared" si="16"/>
        <v>0</v>
      </c>
    </row>
    <row r="112" spans="1:107" x14ac:dyDescent="0.2">
      <c r="A112">
        <f>ROW(Source!A52)</f>
        <v>52</v>
      </c>
      <c r="B112">
        <v>43156991</v>
      </c>
      <c r="C112">
        <v>43157301</v>
      </c>
      <c r="D112">
        <v>29172362</v>
      </c>
      <c r="E112">
        <v>1</v>
      </c>
      <c r="F112">
        <v>1</v>
      </c>
      <c r="G112">
        <v>1</v>
      </c>
      <c r="H112">
        <v>2</v>
      </c>
      <c r="I112" t="s">
        <v>355</v>
      </c>
      <c r="J112" t="s">
        <v>356</v>
      </c>
      <c r="K112" t="s">
        <v>357</v>
      </c>
      <c r="L112">
        <v>1368</v>
      </c>
      <c r="N112">
        <v>1011</v>
      </c>
      <c r="O112" t="s">
        <v>343</v>
      </c>
      <c r="P112" t="s">
        <v>343</v>
      </c>
      <c r="Q112">
        <v>1</v>
      </c>
      <c r="W112">
        <v>0</v>
      </c>
      <c r="X112">
        <v>783836208</v>
      </c>
      <c r="Y112">
        <v>0.01</v>
      </c>
      <c r="AA112">
        <v>0</v>
      </c>
      <c r="AB112">
        <v>1067.77</v>
      </c>
      <c r="AC112">
        <v>412.02</v>
      </c>
      <c r="AD112">
        <v>0</v>
      </c>
      <c r="AE112">
        <v>0</v>
      </c>
      <c r="AF112">
        <v>134.65</v>
      </c>
      <c r="AG112">
        <v>13.5</v>
      </c>
      <c r="AH112">
        <v>0</v>
      </c>
      <c r="AI112">
        <v>1</v>
      </c>
      <c r="AJ112">
        <v>7.93</v>
      </c>
      <c r="AK112">
        <v>30.52</v>
      </c>
      <c r="AL112">
        <v>1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3</v>
      </c>
      <c r="AT112">
        <v>0.01</v>
      </c>
      <c r="AU112" t="s">
        <v>3</v>
      </c>
      <c r="AV112">
        <v>0</v>
      </c>
      <c r="AW112">
        <v>2</v>
      </c>
      <c r="AX112">
        <v>43157312</v>
      </c>
      <c r="AY112">
        <v>1</v>
      </c>
      <c r="AZ112">
        <v>0</v>
      </c>
      <c r="BA112">
        <v>114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Y112*Source!I52</f>
        <v>4.0000000000000002E-4</v>
      </c>
      <c r="CY112">
        <f>AB112</f>
        <v>1067.77</v>
      </c>
      <c r="CZ112">
        <f>AF112</f>
        <v>134.65</v>
      </c>
      <c r="DA112">
        <f>AJ112</f>
        <v>7.93</v>
      </c>
      <c r="DB112">
        <f t="shared" si="15"/>
        <v>1.35</v>
      </c>
      <c r="DC112">
        <f t="shared" si="16"/>
        <v>0.14000000000000001</v>
      </c>
    </row>
    <row r="113" spans="1:107" x14ac:dyDescent="0.2">
      <c r="A113">
        <f>ROW(Source!A52)</f>
        <v>52</v>
      </c>
      <c r="B113">
        <v>43156991</v>
      </c>
      <c r="C113">
        <v>43157301</v>
      </c>
      <c r="D113">
        <v>29174913</v>
      </c>
      <c r="E113">
        <v>1</v>
      </c>
      <c r="F113">
        <v>1</v>
      </c>
      <c r="G113">
        <v>1</v>
      </c>
      <c r="H113">
        <v>2</v>
      </c>
      <c r="I113" t="s">
        <v>367</v>
      </c>
      <c r="J113" t="s">
        <v>368</v>
      </c>
      <c r="K113" t="s">
        <v>369</v>
      </c>
      <c r="L113">
        <v>1368</v>
      </c>
      <c r="N113">
        <v>1011</v>
      </c>
      <c r="O113" t="s">
        <v>343</v>
      </c>
      <c r="P113" t="s">
        <v>343</v>
      </c>
      <c r="Q113">
        <v>1</v>
      </c>
      <c r="W113">
        <v>0</v>
      </c>
      <c r="X113">
        <v>1230759911</v>
      </c>
      <c r="Y113">
        <v>0.01</v>
      </c>
      <c r="AA113">
        <v>0</v>
      </c>
      <c r="AB113">
        <v>894.36</v>
      </c>
      <c r="AC113">
        <v>354.03</v>
      </c>
      <c r="AD113">
        <v>0</v>
      </c>
      <c r="AE113">
        <v>0</v>
      </c>
      <c r="AF113">
        <v>87.17</v>
      </c>
      <c r="AG113">
        <v>11.6</v>
      </c>
      <c r="AH113">
        <v>0</v>
      </c>
      <c r="AI113">
        <v>1</v>
      </c>
      <c r="AJ113">
        <v>10.26</v>
      </c>
      <c r="AK113">
        <v>30.52</v>
      </c>
      <c r="AL113">
        <v>1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3</v>
      </c>
      <c r="AT113">
        <v>0.01</v>
      </c>
      <c r="AU113" t="s">
        <v>3</v>
      </c>
      <c r="AV113">
        <v>0</v>
      </c>
      <c r="AW113">
        <v>2</v>
      </c>
      <c r="AX113">
        <v>43157313</v>
      </c>
      <c r="AY113">
        <v>1</v>
      </c>
      <c r="AZ113">
        <v>0</v>
      </c>
      <c r="BA113">
        <v>115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Y113*Source!I52</f>
        <v>4.0000000000000002E-4</v>
      </c>
      <c r="CY113">
        <f>AB113</f>
        <v>894.36</v>
      </c>
      <c r="CZ113">
        <f>AF113</f>
        <v>87.17</v>
      </c>
      <c r="DA113">
        <f>AJ113</f>
        <v>10.26</v>
      </c>
      <c r="DB113">
        <f t="shared" si="15"/>
        <v>0.87</v>
      </c>
      <c r="DC113">
        <f t="shared" si="16"/>
        <v>0.12</v>
      </c>
    </row>
    <row r="114" spans="1:107" x14ac:dyDescent="0.2">
      <c r="A114">
        <f>ROW(Source!A52)</f>
        <v>52</v>
      </c>
      <c r="B114">
        <v>43156991</v>
      </c>
      <c r="C114">
        <v>43157301</v>
      </c>
      <c r="D114">
        <v>29110426</v>
      </c>
      <c r="E114">
        <v>1</v>
      </c>
      <c r="F114">
        <v>1</v>
      </c>
      <c r="G114">
        <v>1</v>
      </c>
      <c r="H114">
        <v>3</v>
      </c>
      <c r="I114" t="s">
        <v>376</v>
      </c>
      <c r="J114" t="s">
        <v>377</v>
      </c>
      <c r="K114" t="s">
        <v>378</v>
      </c>
      <c r="L114">
        <v>1346</v>
      </c>
      <c r="N114">
        <v>1009</v>
      </c>
      <c r="O114" t="s">
        <v>315</v>
      </c>
      <c r="P114" t="s">
        <v>315</v>
      </c>
      <c r="Q114">
        <v>1</v>
      </c>
      <c r="W114">
        <v>0</v>
      </c>
      <c r="X114">
        <v>-1768004575</v>
      </c>
      <c r="Y114">
        <v>0.05</v>
      </c>
      <c r="AA114">
        <v>63.36</v>
      </c>
      <c r="AB114">
        <v>0</v>
      </c>
      <c r="AC114">
        <v>0</v>
      </c>
      <c r="AD114">
        <v>0</v>
      </c>
      <c r="AE114">
        <v>28.67</v>
      </c>
      <c r="AF114">
        <v>0</v>
      </c>
      <c r="AG114">
        <v>0</v>
      </c>
      <c r="AH114">
        <v>0</v>
      </c>
      <c r="AI114">
        <v>2.21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3</v>
      </c>
      <c r="AT114">
        <v>0.05</v>
      </c>
      <c r="AU114" t="s">
        <v>3</v>
      </c>
      <c r="AV114">
        <v>0</v>
      </c>
      <c r="AW114">
        <v>2</v>
      </c>
      <c r="AX114">
        <v>43157314</v>
      </c>
      <c r="AY114">
        <v>1</v>
      </c>
      <c r="AZ114">
        <v>0</v>
      </c>
      <c r="BA114">
        <v>116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Y114*Source!I52</f>
        <v>2E-3</v>
      </c>
      <c r="CY114">
        <f>AA114</f>
        <v>63.36</v>
      </c>
      <c r="CZ114">
        <f>AE114</f>
        <v>28.67</v>
      </c>
      <c r="DA114">
        <f>AI114</f>
        <v>2.21</v>
      </c>
      <c r="DB114">
        <f t="shared" si="15"/>
        <v>1.43</v>
      </c>
      <c r="DC114">
        <f t="shared" si="16"/>
        <v>0</v>
      </c>
    </row>
    <row r="115" spans="1:107" x14ac:dyDescent="0.2">
      <c r="A115">
        <f>ROW(Source!A52)</f>
        <v>52</v>
      </c>
      <c r="B115">
        <v>43156991</v>
      </c>
      <c r="C115">
        <v>43157301</v>
      </c>
      <c r="D115">
        <v>29110793</v>
      </c>
      <c r="E115">
        <v>1</v>
      </c>
      <c r="F115">
        <v>1</v>
      </c>
      <c r="G115">
        <v>1</v>
      </c>
      <c r="H115">
        <v>3</v>
      </c>
      <c r="I115" t="s">
        <v>490</v>
      </c>
      <c r="J115" t="s">
        <v>491</v>
      </c>
      <c r="K115" t="s">
        <v>492</v>
      </c>
      <c r="L115">
        <v>1308</v>
      </c>
      <c r="N115">
        <v>1003</v>
      </c>
      <c r="O115" t="s">
        <v>120</v>
      </c>
      <c r="P115" t="s">
        <v>120</v>
      </c>
      <c r="Q115">
        <v>100</v>
      </c>
      <c r="W115">
        <v>0</v>
      </c>
      <c r="X115">
        <v>611857035</v>
      </c>
      <c r="Y115">
        <v>0.05</v>
      </c>
      <c r="AA115">
        <v>565.69000000000005</v>
      </c>
      <c r="AB115">
        <v>0</v>
      </c>
      <c r="AC115">
        <v>0</v>
      </c>
      <c r="AD115">
        <v>0</v>
      </c>
      <c r="AE115">
        <v>120.36</v>
      </c>
      <c r="AF115">
        <v>0</v>
      </c>
      <c r="AG115">
        <v>0</v>
      </c>
      <c r="AH115">
        <v>0</v>
      </c>
      <c r="AI115">
        <v>4.7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3</v>
      </c>
      <c r="AT115">
        <v>0.05</v>
      </c>
      <c r="AU115" t="s">
        <v>3</v>
      </c>
      <c r="AV115">
        <v>0</v>
      </c>
      <c r="AW115">
        <v>2</v>
      </c>
      <c r="AX115">
        <v>43157315</v>
      </c>
      <c r="AY115">
        <v>1</v>
      </c>
      <c r="AZ115">
        <v>0</v>
      </c>
      <c r="BA115">
        <v>117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Y115*Source!I52</f>
        <v>2E-3</v>
      </c>
      <c r="CY115">
        <f>AA115</f>
        <v>565.69000000000005</v>
      </c>
      <c r="CZ115">
        <f>AE115</f>
        <v>120.36</v>
      </c>
      <c r="DA115">
        <f>AI115</f>
        <v>4.7</v>
      </c>
      <c r="DB115">
        <f t="shared" si="15"/>
        <v>6.02</v>
      </c>
      <c r="DC115">
        <f t="shared" si="16"/>
        <v>0</v>
      </c>
    </row>
    <row r="116" spans="1:107" x14ac:dyDescent="0.2">
      <c r="A116">
        <f>ROW(Source!A52)</f>
        <v>52</v>
      </c>
      <c r="B116">
        <v>43156991</v>
      </c>
      <c r="C116">
        <v>43157301</v>
      </c>
      <c r="D116">
        <v>29110838</v>
      </c>
      <c r="E116">
        <v>1</v>
      </c>
      <c r="F116">
        <v>1</v>
      </c>
      <c r="G116">
        <v>1</v>
      </c>
      <c r="H116">
        <v>3</v>
      </c>
      <c r="I116" t="s">
        <v>443</v>
      </c>
      <c r="J116" t="s">
        <v>444</v>
      </c>
      <c r="K116" t="s">
        <v>445</v>
      </c>
      <c r="L116">
        <v>1346</v>
      </c>
      <c r="N116">
        <v>1009</v>
      </c>
      <c r="O116" t="s">
        <v>315</v>
      </c>
      <c r="P116" t="s">
        <v>315</v>
      </c>
      <c r="Q116">
        <v>1</v>
      </c>
      <c r="W116">
        <v>0</v>
      </c>
      <c r="X116">
        <v>-1294780295</v>
      </c>
      <c r="Y116">
        <v>0.16</v>
      </c>
      <c r="AA116">
        <v>100.04</v>
      </c>
      <c r="AB116">
        <v>0</v>
      </c>
      <c r="AC116">
        <v>0</v>
      </c>
      <c r="AD116">
        <v>0</v>
      </c>
      <c r="AE116">
        <v>30.5</v>
      </c>
      <c r="AF116">
        <v>0</v>
      </c>
      <c r="AG116">
        <v>0</v>
      </c>
      <c r="AH116">
        <v>0</v>
      </c>
      <c r="AI116">
        <v>3.28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3</v>
      </c>
      <c r="AT116">
        <v>0.16</v>
      </c>
      <c r="AU116" t="s">
        <v>3</v>
      </c>
      <c r="AV116">
        <v>0</v>
      </c>
      <c r="AW116">
        <v>2</v>
      </c>
      <c r="AX116">
        <v>43157316</v>
      </c>
      <c r="AY116">
        <v>1</v>
      </c>
      <c r="AZ116">
        <v>0</v>
      </c>
      <c r="BA116">
        <v>118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Y116*Source!I52</f>
        <v>6.4000000000000003E-3</v>
      </c>
      <c r="CY116">
        <f>AA116</f>
        <v>100.04</v>
      </c>
      <c r="CZ116">
        <f>AE116</f>
        <v>30.5</v>
      </c>
      <c r="DA116">
        <f>AI116</f>
        <v>3.28</v>
      </c>
      <c r="DB116">
        <f t="shared" si="15"/>
        <v>4.88</v>
      </c>
      <c r="DC116">
        <f t="shared" si="16"/>
        <v>0</v>
      </c>
    </row>
    <row r="117" spans="1:107" x14ac:dyDescent="0.2">
      <c r="A117">
        <f>ROW(Source!A52)</f>
        <v>52</v>
      </c>
      <c r="B117">
        <v>43156991</v>
      </c>
      <c r="C117">
        <v>43157301</v>
      </c>
      <c r="D117">
        <v>29171808</v>
      </c>
      <c r="E117">
        <v>1</v>
      </c>
      <c r="F117">
        <v>1</v>
      </c>
      <c r="G117">
        <v>1</v>
      </c>
      <c r="H117">
        <v>3</v>
      </c>
      <c r="I117" t="s">
        <v>334</v>
      </c>
      <c r="J117" t="s">
        <v>335</v>
      </c>
      <c r="K117" t="s">
        <v>336</v>
      </c>
      <c r="L117">
        <v>1374</v>
      </c>
      <c r="N117">
        <v>1013</v>
      </c>
      <c r="O117" t="s">
        <v>337</v>
      </c>
      <c r="P117" t="s">
        <v>337</v>
      </c>
      <c r="Q117">
        <v>1</v>
      </c>
      <c r="W117">
        <v>0</v>
      </c>
      <c r="X117">
        <v>-915781824</v>
      </c>
      <c r="Y117">
        <v>0.53</v>
      </c>
      <c r="AA117">
        <v>1</v>
      </c>
      <c r="AB117">
        <v>0</v>
      </c>
      <c r="AC117">
        <v>0</v>
      </c>
      <c r="AD117">
        <v>0</v>
      </c>
      <c r="AE117">
        <v>1</v>
      </c>
      <c r="AF117">
        <v>0</v>
      </c>
      <c r="AG117">
        <v>0</v>
      </c>
      <c r="AH117">
        <v>0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3</v>
      </c>
      <c r="AT117">
        <v>0.53</v>
      </c>
      <c r="AU117" t="s">
        <v>3</v>
      </c>
      <c r="AV117">
        <v>0</v>
      </c>
      <c r="AW117">
        <v>2</v>
      </c>
      <c r="AX117">
        <v>43157317</v>
      </c>
      <c r="AY117">
        <v>1</v>
      </c>
      <c r="AZ117">
        <v>0</v>
      </c>
      <c r="BA117">
        <v>119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Y117*Source!I52</f>
        <v>2.12E-2</v>
      </c>
      <c r="CY117">
        <f>AA117</f>
        <v>1</v>
      </c>
      <c r="CZ117">
        <f>AE117</f>
        <v>1</v>
      </c>
      <c r="DA117">
        <f>AI117</f>
        <v>1</v>
      </c>
      <c r="DB117">
        <f t="shared" si="15"/>
        <v>0.53</v>
      </c>
      <c r="DC117">
        <f t="shared" si="16"/>
        <v>0</v>
      </c>
    </row>
    <row r="118" spans="1:107" x14ac:dyDescent="0.2">
      <c r="A118">
        <f>ROW(Source!A57)</f>
        <v>57</v>
      </c>
      <c r="B118">
        <v>43156991</v>
      </c>
      <c r="C118">
        <v>43159500</v>
      </c>
      <c r="D118">
        <v>29412067</v>
      </c>
      <c r="E118">
        <v>1</v>
      </c>
      <c r="F118">
        <v>1</v>
      </c>
      <c r="G118">
        <v>1</v>
      </c>
      <c r="H118">
        <v>1</v>
      </c>
      <c r="I118" t="s">
        <v>493</v>
      </c>
      <c r="J118" t="s">
        <v>3</v>
      </c>
      <c r="K118" t="s">
        <v>494</v>
      </c>
      <c r="L118">
        <v>1369</v>
      </c>
      <c r="N118">
        <v>1013</v>
      </c>
      <c r="O118" t="s">
        <v>304</v>
      </c>
      <c r="P118" t="s">
        <v>304</v>
      </c>
      <c r="Q118">
        <v>1</v>
      </c>
      <c r="W118">
        <v>0</v>
      </c>
      <c r="X118">
        <v>-492150492</v>
      </c>
      <c r="Y118">
        <v>3.52</v>
      </c>
      <c r="AA118">
        <v>0</v>
      </c>
      <c r="AB118">
        <v>0</v>
      </c>
      <c r="AC118">
        <v>0</v>
      </c>
      <c r="AD118">
        <v>15.49</v>
      </c>
      <c r="AE118">
        <v>0</v>
      </c>
      <c r="AF118">
        <v>0</v>
      </c>
      <c r="AG118">
        <v>0</v>
      </c>
      <c r="AH118">
        <v>15.49</v>
      </c>
      <c r="AI118">
        <v>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3</v>
      </c>
      <c r="AT118">
        <v>3.52</v>
      </c>
      <c r="AU118" t="s">
        <v>3</v>
      </c>
      <c r="AV118">
        <v>1</v>
      </c>
      <c r="AW118">
        <v>2</v>
      </c>
      <c r="AX118">
        <v>43159501</v>
      </c>
      <c r="AY118">
        <v>1</v>
      </c>
      <c r="AZ118">
        <v>0</v>
      </c>
      <c r="BA118">
        <v>120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Y118*Source!I57</f>
        <v>3.52</v>
      </c>
      <c r="CY118">
        <f>AD118</f>
        <v>15.49</v>
      </c>
      <c r="CZ118">
        <f>AH118</f>
        <v>15.49</v>
      </c>
      <c r="DA118">
        <f>AL118</f>
        <v>1</v>
      </c>
      <c r="DB118">
        <f t="shared" si="15"/>
        <v>54.52</v>
      </c>
      <c r="DC118">
        <f t="shared" si="16"/>
        <v>0</v>
      </c>
    </row>
    <row r="119" spans="1:107" x14ac:dyDescent="0.2">
      <c r="A119">
        <f>ROW(Source!A57)</f>
        <v>57</v>
      </c>
      <c r="B119">
        <v>43156991</v>
      </c>
      <c r="C119">
        <v>43159500</v>
      </c>
      <c r="D119">
        <v>29420508</v>
      </c>
      <c r="E119">
        <v>1</v>
      </c>
      <c r="F119">
        <v>1</v>
      </c>
      <c r="G119">
        <v>1</v>
      </c>
      <c r="H119">
        <v>1</v>
      </c>
      <c r="I119" t="s">
        <v>495</v>
      </c>
      <c r="J119" t="s">
        <v>3</v>
      </c>
      <c r="K119" t="s">
        <v>496</v>
      </c>
      <c r="L119">
        <v>1369</v>
      </c>
      <c r="N119">
        <v>1013</v>
      </c>
      <c r="O119" t="s">
        <v>304</v>
      </c>
      <c r="P119" t="s">
        <v>304</v>
      </c>
      <c r="Q119">
        <v>1</v>
      </c>
      <c r="W119">
        <v>0</v>
      </c>
      <c r="X119">
        <v>1660935601</v>
      </c>
      <c r="Y119">
        <v>8.8000000000000007</v>
      </c>
      <c r="AA119">
        <v>0</v>
      </c>
      <c r="AB119">
        <v>0</v>
      </c>
      <c r="AC119">
        <v>0</v>
      </c>
      <c r="AD119">
        <v>14.09</v>
      </c>
      <c r="AE119">
        <v>0</v>
      </c>
      <c r="AF119">
        <v>0</v>
      </c>
      <c r="AG119">
        <v>0</v>
      </c>
      <c r="AH119">
        <v>14.09</v>
      </c>
      <c r="AI119">
        <v>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3</v>
      </c>
      <c r="AT119">
        <v>8.8000000000000007</v>
      </c>
      <c r="AU119" t="s">
        <v>3</v>
      </c>
      <c r="AV119">
        <v>1</v>
      </c>
      <c r="AW119">
        <v>2</v>
      </c>
      <c r="AX119">
        <v>43159502</v>
      </c>
      <c r="AY119">
        <v>1</v>
      </c>
      <c r="AZ119">
        <v>0</v>
      </c>
      <c r="BA119">
        <v>121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Y119*Source!I57</f>
        <v>8.8000000000000007</v>
      </c>
      <c r="CY119">
        <f>AD119</f>
        <v>14.09</v>
      </c>
      <c r="CZ119">
        <f>AH119</f>
        <v>14.09</v>
      </c>
      <c r="DA119">
        <f>AL119</f>
        <v>1</v>
      </c>
      <c r="DB119">
        <f t="shared" si="15"/>
        <v>123.99</v>
      </c>
      <c r="DC119">
        <f t="shared" si="16"/>
        <v>0</v>
      </c>
    </row>
    <row r="120" spans="1:107" x14ac:dyDescent="0.2">
      <c r="A120">
        <f>ROW(Source!A57)</f>
        <v>57</v>
      </c>
      <c r="B120">
        <v>43156991</v>
      </c>
      <c r="C120">
        <v>43159500</v>
      </c>
      <c r="D120">
        <v>29479234</v>
      </c>
      <c r="E120">
        <v>1</v>
      </c>
      <c r="F120">
        <v>1</v>
      </c>
      <c r="G120">
        <v>1</v>
      </c>
      <c r="H120">
        <v>1</v>
      </c>
      <c r="I120" t="s">
        <v>497</v>
      </c>
      <c r="J120" t="s">
        <v>3</v>
      </c>
      <c r="K120" t="s">
        <v>498</v>
      </c>
      <c r="L120">
        <v>1369</v>
      </c>
      <c r="N120">
        <v>1013</v>
      </c>
      <c r="O120" t="s">
        <v>304</v>
      </c>
      <c r="P120" t="s">
        <v>304</v>
      </c>
      <c r="Q120">
        <v>1</v>
      </c>
      <c r="W120">
        <v>0</v>
      </c>
      <c r="X120">
        <v>-1635369557</v>
      </c>
      <c r="Y120">
        <v>1.76</v>
      </c>
      <c r="AA120">
        <v>0</v>
      </c>
      <c r="AB120">
        <v>0</v>
      </c>
      <c r="AC120">
        <v>0</v>
      </c>
      <c r="AD120">
        <v>12.69</v>
      </c>
      <c r="AE120">
        <v>0</v>
      </c>
      <c r="AF120">
        <v>0</v>
      </c>
      <c r="AG120">
        <v>0</v>
      </c>
      <c r="AH120">
        <v>12.69</v>
      </c>
      <c r="AI120">
        <v>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3</v>
      </c>
      <c r="AT120">
        <v>1.76</v>
      </c>
      <c r="AU120" t="s">
        <v>3</v>
      </c>
      <c r="AV120">
        <v>1</v>
      </c>
      <c r="AW120">
        <v>2</v>
      </c>
      <c r="AX120">
        <v>43159503</v>
      </c>
      <c r="AY120">
        <v>1</v>
      </c>
      <c r="AZ120">
        <v>0</v>
      </c>
      <c r="BA120">
        <v>122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Y120*Source!I57</f>
        <v>1.76</v>
      </c>
      <c r="CY120">
        <f>AD120</f>
        <v>12.69</v>
      </c>
      <c r="CZ120">
        <f>AH120</f>
        <v>12.69</v>
      </c>
      <c r="DA120">
        <f>AL120</f>
        <v>1</v>
      </c>
      <c r="DB120">
        <f t="shared" si="15"/>
        <v>22.33</v>
      </c>
      <c r="DC120">
        <f t="shared" si="16"/>
        <v>0</v>
      </c>
    </row>
    <row r="121" spans="1:107" x14ac:dyDescent="0.2">
      <c r="A121">
        <f>ROW(Source!A57)</f>
        <v>57</v>
      </c>
      <c r="B121">
        <v>43156991</v>
      </c>
      <c r="C121">
        <v>43159500</v>
      </c>
      <c r="D121">
        <v>29420467</v>
      </c>
      <c r="E121">
        <v>1</v>
      </c>
      <c r="F121">
        <v>1</v>
      </c>
      <c r="G121">
        <v>1</v>
      </c>
      <c r="H121">
        <v>1</v>
      </c>
      <c r="I121" t="s">
        <v>499</v>
      </c>
      <c r="J121" t="s">
        <v>3</v>
      </c>
      <c r="K121" t="s">
        <v>500</v>
      </c>
      <c r="L121">
        <v>1369</v>
      </c>
      <c r="N121">
        <v>1013</v>
      </c>
      <c r="O121" t="s">
        <v>304</v>
      </c>
      <c r="P121" t="s">
        <v>304</v>
      </c>
      <c r="Q121">
        <v>1</v>
      </c>
      <c r="W121">
        <v>0</v>
      </c>
      <c r="X121">
        <v>1876455240</v>
      </c>
      <c r="Y121">
        <v>3.52</v>
      </c>
      <c r="AA121">
        <v>0</v>
      </c>
      <c r="AB121">
        <v>0</v>
      </c>
      <c r="AC121">
        <v>0</v>
      </c>
      <c r="AD121">
        <v>16.93</v>
      </c>
      <c r="AE121">
        <v>0</v>
      </c>
      <c r="AF121">
        <v>0</v>
      </c>
      <c r="AG121">
        <v>0</v>
      </c>
      <c r="AH121">
        <v>16.93</v>
      </c>
      <c r="AI121">
        <v>1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0</v>
      </c>
      <c r="AQ121">
        <v>0</v>
      </c>
      <c r="AR121">
        <v>0</v>
      </c>
      <c r="AS121" t="s">
        <v>3</v>
      </c>
      <c r="AT121">
        <v>3.52</v>
      </c>
      <c r="AU121" t="s">
        <v>3</v>
      </c>
      <c r="AV121">
        <v>1</v>
      </c>
      <c r="AW121">
        <v>2</v>
      </c>
      <c r="AX121">
        <v>43159504</v>
      </c>
      <c r="AY121">
        <v>1</v>
      </c>
      <c r="AZ121">
        <v>0</v>
      </c>
      <c r="BA121">
        <v>123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Y121*Source!I57</f>
        <v>3.52</v>
      </c>
      <c r="CY121">
        <f>AD121</f>
        <v>16.93</v>
      </c>
      <c r="CZ121">
        <f>AH121</f>
        <v>16.93</v>
      </c>
      <c r="DA121">
        <f>AL121</f>
        <v>1</v>
      </c>
      <c r="DB121">
        <f t="shared" si="15"/>
        <v>59.59</v>
      </c>
      <c r="DC121">
        <f t="shared" si="16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123"/>
  <sheetViews>
    <sheetView workbookViewId="0"/>
  </sheetViews>
  <sheetFormatPr defaultRowHeight="12.75" x14ac:dyDescent="0.2"/>
  <sheetData>
    <row r="1" spans="1:44" x14ac:dyDescent="0.2">
      <c r="A1">
        <f>ROW(Source!A25)</f>
        <v>25</v>
      </c>
      <c r="B1">
        <v>43157066</v>
      </c>
      <c r="C1">
        <v>43157054</v>
      </c>
      <c r="D1">
        <v>29362762</v>
      </c>
      <c r="E1">
        <v>1</v>
      </c>
      <c r="F1">
        <v>1</v>
      </c>
      <c r="G1">
        <v>1</v>
      </c>
      <c r="H1">
        <v>1</v>
      </c>
      <c r="I1" t="s">
        <v>302</v>
      </c>
      <c r="J1" t="s">
        <v>3</v>
      </c>
      <c r="K1" t="s">
        <v>303</v>
      </c>
      <c r="L1">
        <v>1369</v>
      </c>
      <c r="N1">
        <v>1013</v>
      </c>
      <c r="O1" t="s">
        <v>304</v>
      </c>
      <c r="P1" t="s">
        <v>304</v>
      </c>
      <c r="Q1">
        <v>1</v>
      </c>
      <c r="X1">
        <v>10</v>
      </c>
      <c r="Y1">
        <v>0</v>
      </c>
      <c r="Z1">
        <v>0</v>
      </c>
      <c r="AA1">
        <v>0</v>
      </c>
      <c r="AB1">
        <v>9.6199999999999992</v>
      </c>
      <c r="AC1">
        <v>0</v>
      </c>
      <c r="AD1">
        <v>1</v>
      </c>
      <c r="AE1">
        <v>1</v>
      </c>
      <c r="AF1" t="s">
        <v>3</v>
      </c>
      <c r="AG1">
        <v>10</v>
      </c>
      <c r="AH1">
        <v>2</v>
      </c>
      <c r="AI1">
        <v>43157055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ROW(Source!A25)</f>
        <v>25</v>
      </c>
      <c r="B2">
        <v>43157067</v>
      </c>
      <c r="C2">
        <v>43157054</v>
      </c>
      <c r="D2">
        <v>29110522</v>
      </c>
      <c r="E2">
        <v>1</v>
      </c>
      <c r="F2">
        <v>1</v>
      </c>
      <c r="G2">
        <v>1</v>
      </c>
      <c r="H2">
        <v>3</v>
      </c>
      <c r="I2" t="s">
        <v>305</v>
      </c>
      <c r="J2" t="s">
        <v>306</v>
      </c>
      <c r="K2" t="s">
        <v>307</v>
      </c>
      <c r="L2">
        <v>1348</v>
      </c>
      <c r="N2">
        <v>1009</v>
      </c>
      <c r="O2" t="s">
        <v>308</v>
      </c>
      <c r="P2" t="s">
        <v>308</v>
      </c>
      <c r="Q2">
        <v>1000</v>
      </c>
      <c r="X2">
        <v>2.0000000000000002E-5</v>
      </c>
      <c r="Y2">
        <v>52539.7</v>
      </c>
      <c r="Z2">
        <v>0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2.0000000000000002E-5</v>
      </c>
      <c r="AH2">
        <v>2</v>
      </c>
      <c r="AI2">
        <v>43157056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ROW(Source!A25)</f>
        <v>25</v>
      </c>
      <c r="B3">
        <v>43157068</v>
      </c>
      <c r="C3">
        <v>43157054</v>
      </c>
      <c r="D3">
        <v>29112716</v>
      </c>
      <c r="E3">
        <v>1</v>
      </c>
      <c r="F3">
        <v>1</v>
      </c>
      <c r="G3">
        <v>1</v>
      </c>
      <c r="H3">
        <v>3</v>
      </c>
      <c r="I3" t="s">
        <v>309</v>
      </c>
      <c r="J3" t="s">
        <v>310</v>
      </c>
      <c r="K3" t="s">
        <v>311</v>
      </c>
      <c r="L3">
        <v>1348</v>
      </c>
      <c r="N3">
        <v>1009</v>
      </c>
      <c r="O3" t="s">
        <v>308</v>
      </c>
      <c r="P3" t="s">
        <v>308</v>
      </c>
      <c r="Q3">
        <v>1000</v>
      </c>
      <c r="X3">
        <v>2.0000000000000001E-4</v>
      </c>
      <c r="Y3">
        <v>11003.96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2.0000000000000001E-4</v>
      </c>
      <c r="AH3">
        <v>2</v>
      </c>
      <c r="AI3">
        <v>43157057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ROW(Source!A25)</f>
        <v>25</v>
      </c>
      <c r="B4">
        <v>43157069</v>
      </c>
      <c r="C4">
        <v>43157054</v>
      </c>
      <c r="D4">
        <v>29107468</v>
      </c>
      <c r="E4">
        <v>1</v>
      </c>
      <c r="F4">
        <v>1</v>
      </c>
      <c r="G4">
        <v>1</v>
      </c>
      <c r="H4">
        <v>3</v>
      </c>
      <c r="I4" t="s">
        <v>312</v>
      </c>
      <c r="J4" t="s">
        <v>313</v>
      </c>
      <c r="K4" t="s">
        <v>314</v>
      </c>
      <c r="L4">
        <v>1346</v>
      </c>
      <c r="N4">
        <v>1009</v>
      </c>
      <c r="O4" t="s">
        <v>315</v>
      </c>
      <c r="P4" t="s">
        <v>315</v>
      </c>
      <c r="Q4">
        <v>1</v>
      </c>
      <c r="X4">
        <v>0.05</v>
      </c>
      <c r="Y4">
        <v>12.62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0.05</v>
      </c>
      <c r="AH4">
        <v>2</v>
      </c>
      <c r="AI4">
        <v>43157058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ROW(Source!A25)</f>
        <v>25</v>
      </c>
      <c r="B5">
        <v>43157070</v>
      </c>
      <c r="C5">
        <v>43157054</v>
      </c>
      <c r="D5">
        <v>29107959</v>
      </c>
      <c r="E5">
        <v>1</v>
      </c>
      <c r="F5">
        <v>1</v>
      </c>
      <c r="G5">
        <v>1</v>
      </c>
      <c r="H5">
        <v>3</v>
      </c>
      <c r="I5" t="s">
        <v>316</v>
      </c>
      <c r="J5" t="s">
        <v>317</v>
      </c>
      <c r="K5" t="s">
        <v>318</v>
      </c>
      <c r="L5">
        <v>1346</v>
      </c>
      <c r="N5">
        <v>1009</v>
      </c>
      <c r="O5" t="s">
        <v>315</v>
      </c>
      <c r="P5" t="s">
        <v>315</v>
      </c>
      <c r="Q5">
        <v>1</v>
      </c>
      <c r="X5">
        <v>0.1</v>
      </c>
      <c r="Y5">
        <v>155.01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0.1</v>
      </c>
      <c r="AH5">
        <v>2</v>
      </c>
      <c r="AI5">
        <v>43157059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ROW(Source!A25)</f>
        <v>25</v>
      </c>
      <c r="B6">
        <v>43157071</v>
      </c>
      <c r="C6">
        <v>43157054</v>
      </c>
      <c r="D6">
        <v>29107501</v>
      </c>
      <c r="E6">
        <v>1</v>
      </c>
      <c r="F6">
        <v>1</v>
      </c>
      <c r="G6">
        <v>1</v>
      </c>
      <c r="H6">
        <v>3</v>
      </c>
      <c r="I6" t="s">
        <v>319</v>
      </c>
      <c r="J6" t="s">
        <v>320</v>
      </c>
      <c r="K6" t="s">
        <v>321</v>
      </c>
      <c r="L6">
        <v>1348</v>
      </c>
      <c r="N6">
        <v>1009</v>
      </c>
      <c r="O6" t="s">
        <v>308</v>
      </c>
      <c r="P6" t="s">
        <v>308</v>
      </c>
      <c r="Q6">
        <v>1000</v>
      </c>
      <c r="X6">
        <v>1.0000000000000001E-5</v>
      </c>
      <c r="Y6">
        <v>1205.71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1.0000000000000001E-5</v>
      </c>
      <c r="AH6">
        <v>2</v>
      </c>
      <c r="AI6">
        <v>43157060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ROW(Source!A25)</f>
        <v>25</v>
      </c>
      <c r="B7">
        <v>43157072</v>
      </c>
      <c r="C7">
        <v>43157054</v>
      </c>
      <c r="D7">
        <v>29110831</v>
      </c>
      <c r="E7">
        <v>1</v>
      </c>
      <c r="F7">
        <v>1</v>
      </c>
      <c r="G7">
        <v>1</v>
      </c>
      <c r="H7">
        <v>3</v>
      </c>
      <c r="I7" t="s">
        <v>322</v>
      </c>
      <c r="J7" t="s">
        <v>323</v>
      </c>
      <c r="K7" t="s">
        <v>324</v>
      </c>
      <c r="L7">
        <v>1346</v>
      </c>
      <c r="N7">
        <v>1009</v>
      </c>
      <c r="O7" t="s">
        <v>315</v>
      </c>
      <c r="P7" t="s">
        <v>315</v>
      </c>
      <c r="Q7">
        <v>1</v>
      </c>
      <c r="X7">
        <v>0.04</v>
      </c>
      <c r="Y7">
        <v>91.29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0.04</v>
      </c>
      <c r="AH7">
        <v>2</v>
      </c>
      <c r="AI7">
        <v>43157061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ROW(Source!A25)</f>
        <v>25</v>
      </c>
      <c r="B8">
        <v>43157073</v>
      </c>
      <c r="C8">
        <v>43157054</v>
      </c>
      <c r="D8">
        <v>29122886</v>
      </c>
      <c r="E8">
        <v>1</v>
      </c>
      <c r="F8">
        <v>1</v>
      </c>
      <c r="G8">
        <v>1</v>
      </c>
      <c r="H8">
        <v>3</v>
      </c>
      <c r="I8" t="s">
        <v>325</v>
      </c>
      <c r="J8" t="s">
        <v>326</v>
      </c>
      <c r="K8" t="s">
        <v>327</v>
      </c>
      <c r="L8">
        <v>1346</v>
      </c>
      <c r="N8">
        <v>1009</v>
      </c>
      <c r="O8" t="s">
        <v>315</v>
      </c>
      <c r="P8" t="s">
        <v>315</v>
      </c>
      <c r="Q8">
        <v>1</v>
      </c>
      <c r="X8">
        <v>0.5</v>
      </c>
      <c r="Y8">
        <v>31.15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0.5</v>
      </c>
      <c r="AH8">
        <v>2</v>
      </c>
      <c r="AI8">
        <v>43157062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ROW(Source!A25)</f>
        <v>25</v>
      </c>
      <c r="B9">
        <v>43157074</v>
      </c>
      <c r="C9">
        <v>43157054</v>
      </c>
      <c r="D9">
        <v>29158010</v>
      </c>
      <c r="E9">
        <v>1</v>
      </c>
      <c r="F9">
        <v>1</v>
      </c>
      <c r="G9">
        <v>1</v>
      </c>
      <c r="H9">
        <v>3</v>
      </c>
      <c r="I9" t="s">
        <v>328</v>
      </c>
      <c r="J9" t="s">
        <v>329</v>
      </c>
      <c r="K9" t="s">
        <v>330</v>
      </c>
      <c r="L9">
        <v>1346</v>
      </c>
      <c r="N9">
        <v>1009</v>
      </c>
      <c r="O9" t="s">
        <v>315</v>
      </c>
      <c r="P9" t="s">
        <v>315</v>
      </c>
      <c r="Q9">
        <v>1</v>
      </c>
      <c r="X9">
        <v>0.2</v>
      </c>
      <c r="Y9">
        <v>65.930000000000007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0.2</v>
      </c>
      <c r="AH9">
        <v>2</v>
      </c>
      <c r="AI9">
        <v>43157063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ROW(Source!A25)</f>
        <v>25</v>
      </c>
      <c r="B10">
        <v>43157075</v>
      </c>
      <c r="C10">
        <v>43157054</v>
      </c>
      <c r="D10">
        <v>29171488</v>
      </c>
      <c r="E10">
        <v>1</v>
      </c>
      <c r="F10">
        <v>1</v>
      </c>
      <c r="G10">
        <v>1</v>
      </c>
      <c r="H10">
        <v>3</v>
      </c>
      <c r="I10" t="s">
        <v>331</v>
      </c>
      <c r="J10" t="s">
        <v>332</v>
      </c>
      <c r="K10" t="s">
        <v>333</v>
      </c>
      <c r="L10">
        <v>1346</v>
      </c>
      <c r="N10">
        <v>1009</v>
      </c>
      <c r="O10" t="s">
        <v>315</v>
      </c>
      <c r="P10" t="s">
        <v>315</v>
      </c>
      <c r="Q10">
        <v>1</v>
      </c>
      <c r="X10">
        <v>0.2</v>
      </c>
      <c r="Y10">
        <v>47.57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0.2</v>
      </c>
      <c r="AH10">
        <v>2</v>
      </c>
      <c r="AI10">
        <v>43157064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ROW(Source!A25)</f>
        <v>25</v>
      </c>
      <c r="B11">
        <v>43157076</v>
      </c>
      <c r="C11">
        <v>43157054</v>
      </c>
      <c r="D11">
        <v>29171807</v>
      </c>
      <c r="E11">
        <v>1</v>
      </c>
      <c r="F11">
        <v>1</v>
      </c>
      <c r="G11">
        <v>1</v>
      </c>
      <c r="H11">
        <v>3</v>
      </c>
      <c r="I11" t="s">
        <v>501</v>
      </c>
      <c r="J11" t="s">
        <v>502</v>
      </c>
      <c r="K11" t="s">
        <v>503</v>
      </c>
      <c r="L11">
        <v>1348</v>
      </c>
      <c r="N11">
        <v>1009</v>
      </c>
      <c r="O11" t="s">
        <v>308</v>
      </c>
      <c r="P11" t="s">
        <v>308</v>
      </c>
      <c r="Q11">
        <v>1000</v>
      </c>
      <c r="X11">
        <v>1.2E-2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 t="s">
        <v>3</v>
      </c>
      <c r="AG11">
        <v>1.2E-2</v>
      </c>
      <c r="AH11">
        <v>3</v>
      </c>
      <c r="AI11">
        <v>-1</v>
      </c>
      <c r="AJ11" t="s">
        <v>3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ROW(Source!A25)</f>
        <v>25</v>
      </c>
      <c r="B12">
        <v>43157077</v>
      </c>
      <c r="C12">
        <v>43157054</v>
      </c>
      <c r="D12">
        <v>29171808</v>
      </c>
      <c r="E12">
        <v>1</v>
      </c>
      <c r="F12">
        <v>1</v>
      </c>
      <c r="G12">
        <v>1</v>
      </c>
      <c r="H12">
        <v>3</v>
      </c>
      <c r="I12" t="s">
        <v>334</v>
      </c>
      <c r="J12" t="s">
        <v>335</v>
      </c>
      <c r="K12" t="s">
        <v>336</v>
      </c>
      <c r="L12">
        <v>1374</v>
      </c>
      <c r="N12">
        <v>1013</v>
      </c>
      <c r="O12" t="s">
        <v>337</v>
      </c>
      <c r="P12" t="s">
        <v>337</v>
      </c>
      <c r="Q12">
        <v>1</v>
      </c>
      <c r="X12">
        <v>1.92</v>
      </c>
      <c r="Y12">
        <v>1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1.92</v>
      </c>
      <c r="AH12">
        <v>2</v>
      </c>
      <c r="AI12">
        <v>43157065</v>
      </c>
      <c r="AJ12">
        <v>11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ROW(Source!A27)</f>
        <v>27</v>
      </c>
      <c r="B13">
        <v>43157087</v>
      </c>
      <c r="C13">
        <v>43157079</v>
      </c>
      <c r="D13">
        <v>29364928</v>
      </c>
      <c r="E13">
        <v>1</v>
      </c>
      <c r="F13">
        <v>1</v>
      </c>
      <c r="G13">
        <v>1</v>
      </c>
      <c r="H13">
        <v>1</v>
      </c>
      <c r="I13" t="s">
        <v>338</v>
      </c>
      <c r="J13" t="s">
        <v>3</v>
      </c>
      <c r="K13" t="s">
        <v>339</v>
      </c>
      <c r="L13">
        <v>1369</v>
      </c>
      <c r="N13">
        <v>1013</v>
      </c>
      <c r="O13" t="s">
        <v>304</v>
      </c>
      <c r="P13" t="s">
        <v>304</v>
      </c>
      <c r="Q13">
        <v>1</v>
      </c>
      <c r="X13">
        <v>2.4</v>
      </c>
      <c r="Y13">
        <v>0</v>
      </c>
      <c r="Z13">
        <v>0</v>
      </c>
      <c r="AA13">
        <v>0</v>
      </c>
      <c r="AB13">
        <v>10.5</v>
      </c>
      <c r="AC13">
        <v>0</v>
      </c>
      <c r="AD13">
        <v>1</v>
      </c>
      <c r="AE13">
        <v>1</v>
      </c>
      <c r="AF13" t="s">
        <v>3</v>
      </c>
      <c r="AG13">
        <v>2.4</v>
      </c>
      <c r="AH13">
        <v>2</v>
      </c>
      <c r="AI13">
        <v>43157080</v>
      </c>
      <c r="AJ13">
        <v>12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ROW(Source!A27)</f>
        <v>27</v>
      </c>
      <c r="B14">
        <v>43157088</v>
      </c>
      <c r="C14">
        <v>43157079</v>
      </c>
      <c r="D14">
        <v>29174500</v>
      </c>
      <c r="E14">
        <v>1</v>
      </c>
      <c r="F14">
        <v>1</v>
      </c>
      <c r="G14">
        <v>1</v>
      </c>
      <c r="H14">
        <v>2</v>
      </c>
      <c r="I14" t="s">
        <v>340</v>
      </c>
      <c r="J14" t="s">
        <v>341</v>
      </c>
      <c r="K14" t="s">
        <v>342</v>
      </c>
      <c r="L14">
        <v>1368</v>
      </c>
      <c r="N14">
        <v>1011</v>
      </c>
      <c r="O14" t="s">
        <v>343</v>
      </c>
      <c r="P14" t="s">
        <v>343</v>
      </c>
      <c r="Q14">
        <v>1</v>
      </c>
      <c r="X14">
        <v>0.13</v>
      </c>
      <c r="Y14">
        <v>0</v>
      </c>
      <c r="Z14">
        <v>1.95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0.13</v>
      </c>
      <c r="AH14">
        <v>2</v>
      </c>
      <c r="AI14">
        <v>43157081</v>
      </c>
      <c r="AJ14">
        <v>13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ROW(Source!A27)</f>
        <v>27</v>
      </c>
      <c r="B15">
        <v>43157089</v>
      </c>
      <c r="C15">
        <v>43157079</v>
      </c>
      <c r="D15">
        <v>29107468</v>
      </c>
      <c r="E15">
        <v>1</v>
      </c>
      <c r="F15">
        <v>1</v>
      </c>
      <c r="G15">
        <v>1</v>
      </c>
      <c r="H15">
        <v>3</v>
      </c>
      <c r="I15" t="s">
        <v>312</v>
      </c>
      <c r="J15" t="s">
        <v>313</v>
      </c>
      <c r="K15" t="s">
        <v>314</v>
      </c>
      <c r="L15">
        <v>1346</v>
      </c>
      <c r="N15">
        <v>1009</v>
      </c>
      <c r="O15" t="s">
        <v>315</v>
      </c>
      <c r="P15" t="s">
        <v>315</v>
      </c>
      <c r="Q15">
        <v>1</v>
      </c>
      <c r="X15">
        <v>1.8E-3</v>
      </c>
      <c r="Y15">
        <v>12.62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1.8E-3</v>
      </c>
      <c r="AH15">
        <v>2</v>
      </c>
      <c r="AI15">
        <v>43157082</v>
      </c>
      <c r="AJ15">
        <v>14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ROW(Source!A27)</f>
        <v>27</v>
      </c>
      <c r="B16">
        <v>43157090</v>
      </c>
      <c r="C16">
        <v>43157079</v>
      </c>
      <c r="D16">
        <v>29114480</v>
      </c>
      <c r="E16">
        <v>1</v>
      </c>
      <c r="F16">
        <v>1</v>
      </c>
      <c r="G16">
        <v>1</v>
      </c>
      <c r="H16">
        <v>3</v>
      </c>
      <c r="I16" t="s">
        <v>344</v>
      </c>
      <c r="J16" t="s">
        <v>345</v>
      </c>
      <c r="K16" t="s">
        <v>346</v>
      </c>
      <c r="L16">
        <v>1355</v>
      </c>
      <c r="N16">
        <v>1010</v>
      </c>
      <c r="O16" t="s">
        <v>347</v>
      </c>
      <c r="P16" t="s">
        <v>347</v>
      </c>
      <c r="Q16">
        <v>100</v>
      </c>
      <c r="X16">
        <v>0.03</v>
      </c>
      <c r="Y16">
        <v>83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0.03</v>
      </c>
      <c r="AH16">
        <v>2</v>
      </c>
      <c r="AI16">
        <v>43157083</v>
      </c>
      <c r="AJ16">
        <v>15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ROW(Source!A27)</f>
        <v>27</v>
      </c>
      <c r="B17">
        <v>43157091</v>
      </c>
      <c r="C17">
        <v>43157079</v>
      </c>
      <c r="D17">
        <v>29149204</v>
      </c>
      <c r="E17">
        <v>1</v>
      </c>
      <c r="F17">
        <v>1</v>
      </c>
      <c r="G17">
        <v>1</v>
      </c>
      <c r="H17">
        <v>3</v>
      </c>
      <c r="I17" t="s">
        <v>348</v>
      </c>
      <c r="J17" t="s">
        <v>349</v>
      </c>
      <c r="K17" t="s">
        <v>350</v>
      </c>
      <c r="L17">
        <v>1348</v>
      </c>
      <c r="N17">
        <v>1009</v>
      </c>
      <c r="O17" t="s">
        <v>308</v>
      </c>
      <c r="P17" t="s">
        <v>308</v>
      </c>
      <c r="Q17">
        <v>1000</v>
      </c>
      <c r="X17">
        <v>2.0000000000000002E-5</v>
      </c>
      <c r="Y17">
        <v>729.98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2.0000000000000002E-5</v>
      </c>
      <c r="AH17">
        <v>2</v>
      </c>
      <c r="AI17">
        <v>43157084</v>
      </c>
      <c r="AJ17">
        <v>16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ROW(Source!A27)</f>
        <v>27</v>
      </c>
      <c r="B18">
        <v>43157092</v>
      </c>
      <c r="C18">
        <v>43157079</v>
      </c>
      <c r="D18">
        <v>29158010</v>
      </c>
      <c r="E18">
        <v>1</v>
      </c>
      <c r="F18">
        <v>1</v>
      </c>
      <c r="G18">
        <v>1</v>
      </c>
      <c r="H18">
        <v>3</v>
      </c>
      <c r="I18" t="s">
        <v>328</v>
      </c>
      <c r="J18" t="s">
        <v>329</v>
      </c>
      <c r="K18" t="s">
        <v>330</v>
      </c>
      <c r="L18">
        <v>1346</v>
      </c>
      <c r="N18">
        <v>1009</v>
      </c>
      <c r="O18" t="s">
        <v>315</v>
      </c>
      <c r="P18" t="s">
        <v>315</v>
      </c>
      <c r="Q18">
        <v>1</v>
      </c>
      <c r="X18">
        <v>1.7999999999999999E-2</v>
      </c>
      <c r="Y18">
        <v>65.930000000000007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1.7999999999999999E-2</v>
      </c>
      <c r="AH18">
        <v>2</v>
      </c>
      <c r="AI18">
        <v>43157085</v>
      </c>
      <c r="AJ18">
        <v>17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ROW(Source!A27)</f>
        <v>27</v>
      </c>
      <c r="B19">
        <v>43157093</v>
      </c>
      <c r="C19">
        <v>43157079</v>
      </c>
      <c r="D19">
        <v>29171808</v>
      </c>
      <c r="E19">
        <v>1</v>
      </c>
      <c r="F19">
        <v>1</v>
      </c>
      <c r="G19">
        <v>1</v>
      </c>
      <c r="H19">
        <v>3</v>
      </c>
      <c r="I19" t="s">
        <v>334</v>
      </c>
      <c r="J19" t="s">
        <v>335</v>
      </c>
      <c r="K19" t="s">
        <v>336</v>
      </c>
      <c r="L19">
        <v>1374</v>
      </c>
      <c r="N19">
        <v>1013</v>
      </c>
      <c r="O19" t="s">
        <v>337</v>
      </c>
      <c r="P19" t="s">
        <v>337</v>
      </c>
      <c r="Q19">
        <v>1</v>
      </c>
      <c r="X19">
        <v>0.5</v>
      </c>
      <c r="Y19">
        <v>1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0.5</v>
      </c>
      <c r="AH19">
        <v>2</v>
      </c>
      <c r="AI19">
        <v>43157086</v>
      </c>
      <c r="AJ19">
        <v>18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ROW(Source!A29)</f>
        <v>29</v>
      </c>
      <c r="B20">
        <v>43157107</v>
      </c>
      <c r="C20">
        <v>43157095</v>
      </c>
      <c r="D20">
        <v>29364679</v>
      </c>
      <c r="E20">
        <v>1</v>
      </c>
      <c r="F20">
        <v>1</v>
      </c>
      <c r="G20">
        <v>1</v>
      </c>
      <c r="H20">
        <v>1</v>
      </c>
      <c r="I20" t="s">
        <v>351</v>
      </c>
      <c r="J20" t="s">
        <v>3</v>
      </c>
      <c r="K20" t="s">
        <v>352</v>
      </c>
      <c r="L20">
        <v>1369</v>
      </c>
      <c r="N20">
        <v>1013</v>
      </c>
      <c r="O20" t="s">
        <v>304</v>
      </c>
      <c r="P20" t="s">
        <v>304</v>
      </c>
      <c r="Q20">
        <v>1</v>
      </c>
      <c r="X20">
        <v>2.37</v>
      </c>
      <c r="Y20">
        <v>0</v>
      </c>
      <c r="Z20">
        <v>0</v>
      </c>
      <c r="AA20">
        <v>0</v>
      </c>
      <c r="AB20">
        <v>9.92</v>
      </c>
      <c r="AC20">
        <v>0</v>
      </c>
      <c r="AD20">
        <v>1</v>
      </c>
      <c r="AE20">
        <v>1</v>
      </c>
      <c r="AF20" t="s">
        <v>3</v>
      </c>
      <c r="AG20">
        <v>2.37</v>
      </c>
      <c r="AH20">
        <v>2</v>
      </c>
      <c r="AI20">
        <v>43157096</v>
      </c>
      <c r="AJ20">
        <v>19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ROW(Source!A29)</f>
        <v>29</v>
      </c>
      <c r="B21">
        <v>43157108</v>
      </c>
      <c r="C21">
        <v>43157095</v>
      </c>
      <c r="D21">
        <v>121548</v>
      </c>
      <c r="E21">
        <v>1</v>
      </c>
      <c r="F21">
        <v>1</v>
      </c>
      <c r="G21">
        <v>1</v>
      </c>
      <c r="H21">
        <v>1</v>
      </c>
      <c r="I21" t="s">
        <v>28</v>
      </c>
      <c r="J21" t="s">
        <v>3</v>
      </c>
      <c r="K21" t="s">
        <v>353</v>
      </c>
      <c r="L21">
        <v>608254</v>
      </c>
      <c r="N21">
        <v>1013</v>
      </c>
      <c r="O21" t="s">
        <v>354</v>
      </c>
      <c r="P21" t="s">
        <v>354</v>
      </c>
      <c r="Q21">
        <v>1</v>
      </c>
      <c r="X21">
        <v>0.28999999999999998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2</v>
      </c>
      <c r="AF21" t="s">
        <v>3</v>
      </c>
      <c r="AG21">
        <v>0.28999999999999998</v>
      </c>
      <c r="AH21">
        <v>2</v>
      </c>
      <c r="AI21">
        <v>43157097</v>
      </c>
      <c r="AJ21">
        <v>20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ROW(Source!A29)</f>
        <v>29</v>
      </c>
      <c r="B22">
        <v>43157109</v>
      </c>
      <c r="C22">
        <v>43157095</v>
      </c>
      <c r="D22">
        <v>29172362</v>
      </c>
      <c r="E22">
        <v>1</v>
      </c>
      <c r="F22">
        <v>1</v>
      </c>
      <c r="G22">
        <v>1</v>
      </c>
      <c r="H22">
        <v>2</v>
      </c>
      <c r="I22" t="s">
        <v>355</v>
      </c>
      <c r="J22" t="s">
        <v>356</v>
      </c>
      <c r="K22" t="s">
        <v>357</v>
      </c>
      <c r="L22">
        <v>1368</v>
      </c>
      <c r="N22">
        <v>1011</v>
      </c>
      <c r="O22" t="s">
        <v>343</v>
      </c>
      <c r="P22" t="s">
        <v>343</v>
      </c>
      <c r="Q22">
        <v>1</v>
      </c>
      <c r="X22">
        <v>7.0000000000000007E-2</v>
      </c>
      <c r="Y22">
        <v>0</v>
      </c>
      <c r="Z22">
        <v>134.65</v>
      </c>
      <c r="AA22">
        <v>13.5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7.0000000000000007E-2</v>
      </c>
      <c r="AH22">
        <v>2</v>
      </c>
      <c r="AI22">
        <v>43157098</v>
      </c>
      <c r="AJ22">
        <v>21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ROW(Source!A29)</f>
        <v>29</v>
      </c>
      <c r="B23">
        <v>43157110</v>
      </c>
      <c r="C23">
        <v>43157095</v>
      </c>
      <c r="D23">
        <v>29172657</v>
      </c>
      <c r="E23">
        <v>1</v>
      </c>
      <c r="F23">
        <v>1</v>
      </c>
      <c r="G23">
        <v>1</v>
      </c>
      <c r="H23">
        <v>2</v>
      </c>
      <c r="I23" t="s">
        <v>358</v>
      </c>
      <c r="J23" t="s">
        <v>359</v>
      </c>
      <c r="K23" t="s">
        <v>360</v>
      </c>
      <c r="L23">
        <v>1368</v>
      </c>
      <c r="N23">
        <v>1011</v>
      </c>
      <c r="O23" t="s">
        <v>343</v>
      </c>
      <c r="P23" t="s">
        <v>343</v>
      </c>
      <c r="Q23">
        <v>1</v>
      </c>
      <c r="X23">
        <v>0.71</v>
      </c>
      <c r="Y23">
        <v>0</v>
      </c>
      <c r="Z23">
        <v>8.1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0.71</v>
      </c>
      <c r="AH23">
        <v>2</v>
      </c>
      <c r="AI23">
        <v>43157099</v>
      </c>
      <c r="AJ23">
        <v>22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ROW(Source!A29)</f>
        <v>29</v>
      </c>
      <c r="B24">
        <v>43157111</v>
      </c>
      <c r="C24">
        <v>43157095</v>
      </c>
      <c r="D24">
        <v>29172710</v>
      </c>
      <c r="E24">
        <v>1</v>
      </c>
      <c r="F24">
        <v>1</v>
      </c>
      <c r="G24">
        <v>1</v>
      </c>
      <c r="H24">
        <v>2</v>
      </c>
      <c r="I24" t="s">
        <v>361</v>
      </c>
      <c r="J24" t="s">
        <v>362</v>
      </c>
      <c r="K24" t="s">
        <v>363</v>
      </c>
      <c r="L24">
        <v>1368</v>
      </c>
      <c r="N24">
        <v>1011</v>
      </c>
      <c r="O24" t="s">
        <v>343</v>
      </c>
      <c r="P24" t="s">
        <v>343</v>
      </c>
      <c r="Q24">
        <v>1</v>
      </c>
      <c r="X24">
        <v>0.22</v>
      </c>
      <c r="Y24">
        <v>0</v>
      </c>
      <c r="Z24">
        <v>46.56</v>
      </c>
      <c r="AA24">
        <v>10.06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0.22</v>
      </c>
      <c r="AH24">
        <v>2</v>
      </c>
      <c r="AI24">
        <v>43157100</v>
      </c>
      <c r="AJ24">
        <v>23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ROW(Source!A29)</f>
        <v>29</v>
      </c>
      <c r="B25">
        <v>43157112</v>
      </c>
      <c r="C25">
        <v>43157095</v>
      </c>
      <c r="D25">
        <v>29173040</v>
      </c>
      <c r="E25">
        <v>1</v>
      </c>
      <c r="F25">
        <v>1</v>
      </c>
      <c r="G25">
        <v>1</v>
      </c>
      <c r="H25">
        <v>2</v>
      </c>
      <c r="I25" t="s">
        <v>364</v>
      </c>
      <c r="J25" t="s">
        <v>365</v>
      </c>
      <c r="K25" t="s">
        <v>366</v>
      </c>
      <c r="L25">
        <v>1368</v>
      </c>
      <c r="N25">
        <v>1011</v>
      </c>
      <c r="O25" t="s">
        <v>343</v>
      </c>
      <c r="P25" t="s">
        <v>343</v>
      </c>
      <c r="Q25">
        <v>1</v>
      </c>
      <c r="X25">
        <v>0.22</v>
      </c>
      <c r="Y25">
        <v>0</v>
      </c>
      <c r="Z25">
        <v>2.99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0.22</v>
      </c>
      <c r="AH25">
        <v>2</v>
      </c>
      <c r="AI25">
        <v>43157101</v>
      </c>
      <c r="AJ25">
        <v>24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ROW(Source!A29)</f>
        <v>29</v>
      </c>
      <c r="B26">
        <v>43157113</v>
      </c>
      <c r="C26">
        <v>43157095</v>
      </c>
      <c r="D26">
        <v>29174913</v>
      </c>
      <c r="E26">
        <v>1</v>
      </c>
      <c r="F26">
        <v>1</v>
      </c>
      <c r="G26">
        <v>1</v>
      </c>
      <c r="H26">
        <v>2</v>
      </c>
      <c r="I26" t="s">
        <v>367</v>
      </c>
      <c r="J26" t="s">
        <v>368</v>
      </c>
      <c r="K26" t="s">
        <v>369</v>
      </c>
      <c r="L26">
        <v>1368</v>
      </c>
      <c r="N26">
        <v>1011</v>
      </c>
      <c r="O26" t="s">
        <v>343</v>
      </c>
      <c r="P26" t="s">
        <v>343</v>
      </c>
      <c r="Q26">
        <v>1</v>
      </c>
      <c r="X26">
        <v>7.0000000000000007E-2</v>
      </c>
      <c r="Y26">
        <v>0</v>
      </c>
      <c r="Z26">
        <v>87.17</v>
      </c>
      <c r="AA26">
        <v>11.6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7.0000000000000007E-2</v>
      </c>
      <c r="AH26">
        <v>2</v>
      </c>
      <c r="AI26">
        <v>43157102</v>
      </c>
      <c r="AJ26">
        <v>25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ROW(Source!A29)</f>
        <v>29</v>
      </c>
      <c r="B27">
        <v>43157114</v>
      </c>
      <c r="C27">
        <v>43157095</v>
      </c>
      <c r="D27">
        <v>29113980</v>
      </c>
      <c r="E27">
        <v>1</v>
      </c>
      <c r="F27">
        <v>1</v>
      </c>
      <c r="G27">
        <v>1</v>
      </c>
      <c r="H27">
        <v>3</v>
      </c>
      <c r="I27" t="s">
        <v>370</v>
      </c>
      <c r="J27" t="s">
        <v>371</v>
      </c>
      <c r="K27" t="s">
        <v>372</v>
      </c>
      <c r="L27">
        <v>1346</v>
      </c>
      <c r="N27">
        <v>1009</v>
      </c>
      <c r="O27" t="s">
        <v>315</v>
      </c>
      <c r="P27" t="s">
        <v>315</v>
      </c>
      <c r="Q27">
        <v>1</v>
      </c>
      <c r="X27">
        <v>0.1</v>
      </c>
      <c r="Y27">
        <v>14.31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0.1</v>
      </c>
      <c r="AH27">
        <v>2</v>
      </c>
      <c r="AI27">
        <v>43157103</v>
      </c>
      <c r="AJ27">
        <v>26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ROW(Source!A29)</f>
        <v>29</v>
      </c>
      <c r="B28">
        <v>43157115</v>
      </c>
      <c r="C28">
        <v>43157095</v>
      </c>
      <c r="D28">
        <v>29114246</v>
      </c>
      <c r="E28">
        <v>1</v>
      </c>
      <c r="F28">
        <v>1</v>
      </c>
      <c r="G28">
        <v>1</v>
      </c>
      <c r="H28">
        <v>3</v>
      </c>
      <c r="I28" t="s">
        <v>373</v>
      </c>
      <c r="J28" t="s">
        <v>374</v>
      </c>
      <c r="K28" t="s">
        <v>375</v>
      </c>
      <c r="L28">
        <v>1346</v>
      </c>
      <c r="N28">
        <v>1009</v>
      </c>
      <c r="O28" t="s">
        <v>315</v>
      </c>
      <c r="P28" t="s">
        <v>315</v>
      </c>
      <c r="Q28">
        <v>1</v>
      </c>
      <c r="X28">
        <v>0.1</v>
      </c>
      <c r="Y28">
        <v>9.0399999999999991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0.1</v>
      </c>
      <c r="AH28">
        <v>2</v>
      </c>
      <c r="AI28">
        <v>43157104</v>
      </c>
      <c r="AJ28">
        <v>27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ROW(Source!A29)</f>
        <v>29</v>
      </c>
      <c r="B29">
        <v>43157116</v>
      </c>
      <c r="C29">
        <v>43157095</v>
      </c>
      <c r="D29">
        <v>29110426</v>
      </c>
      <c r="E29">
        <v>1</v>
      </c>
      <c r="F29">
        <v>1</v>
      </c>
      <c r="G29">
        <v>1</v>
      </c>
      <c r="H29">
        <v>3</v>
      </c>
      <c r="I29" t="s">
        <v>376</v>
      </c>
      <c r="J29" t="s">
        <v>377</v>
      </c>
      <c r="K29" t="s">
        <v>378</v>
      </c>
      <c r="L29">
        <v>1346</v>
      </c>
      <c r="N29">
        <v>1009</v>
      </c>
      <c r="O29" t="s">
        <v>315</v>
      </c>
      <c r="P29" t="s">
        <v>315</v>
      </c>
      <c r="Q29">
        <v>1</v>
      </c>
      <c r="X29">
        <v>0.02</v>
      </c>
      <c r="Y29">
        <v>28.67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0.02</v>
      </c>
      <c r="AH29">
        <v>2</v>
      </c>
      <c r="AI29">
        <v>43157105</v>
      </c>
      <c r="AJ29">
        <v>28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ROW(Source!A29)</f>
        <v>29</v>
      </c>
      <c r="B30">
        <v>43157117</v>
      </c>
      <c r="C30">
        <v>43157095</v>
      </c>
      <c r="D30">
        <v>29171808</v>
      </c>
      <c r="E30">
        <v>1</v>
      </c>
      <c r="F30">
        <v>1</v>
      </c>
      <c r="G30">
        <v>1</v>
      </c>
      <c r="H30">
        <v>3</v>
      </c>
      <c r="I30" t="s">
        <v>334</v>
      </c>
      <c r="J30" t="s">
        <v>335</v>
      </c>
      <c r="K30" t="s">
        <v>336</v>
      </c>
      <c r="L30">
        <v>1374</v>
      </c>
      <c r="N30">
        <v>1013</v>
      </c>
      <c r="O30" t="s">
        <v>337</v>
      </c>
      <c r="P30" t="s">
        <v>337</v>
      </c>
      <c r="Q30">
        <v>1</v>
      </c>
      <c r="X30">
        <v>0.47</v>
      </c>
      <c r="Y30">
        <v>1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0.47</v>
      </c>
      <c r="AH30">
        <v>2</v>
      </c>
      <c r="AI30">
        <v>43157106</v>
      </c>
      <c r="AJ30">
        <v>29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ROW(Source!A31)</f>
        <v>31</v>
      </c>
      <c r="B31">
        <v>43157136</v>
      </c>
      <c r="C31">
        <v>43157119</v>
      </c>
      <c r="D31">
        <v>29372988</v>
      </c>
      <c r="E31">
        <v>1</v>
      </c>
      <c r="F31">
        <v>1</v>
      </c>
      <c r="G31">
        <v>1</v>
      </c>
      <c r="H31">
        <v>1</v>
      </c>
      <c r="I31" t="s">
        <v>379</v>
      </c>
      <c r="J31" t="s">
        <v>3</v>
      </c>
      <c r="K31" t="s">
        <v>380</v>
      </c>
      <c r="L31">
        <v>1369</v>
      </c>
      <c r="N31">
        <v>1013</v>
      </c>
      <c r="O31" t="s">
        <v>304</v>
      </c>
      <c r="P31" t="s">
        <v>304</v>
      </c>
      <c r="Q31">
        <v>1</v>
      </c>
      <c r="X31">
        <v>10.1</v>
      </c>
      <c r="Y31">
        <v>0</v>
      </c>
      <c r="Z31">
        <v>0</v>
      </c>
      <c r="AA31">
        <v>0</v>
      </c>
      <c r="AB31">
        <v>11.09</v>
      </c>
      <c r="AC31">
        <v>0</v>
      </c>
      <c r="AD31">
        <v>1</v>
      </c>
      <c r="AE31">
        <v>1</v>
      </c>
      <c r="AF31" t="s">
        <v>3</v>
      </c>
      <c r="AG31">
        <v>10.1</v>
      </c>
      <c r="AH31">
        <v>2</v>
      </c>
      <c r="AI31">
        <v>43157125</v>
      </c>
      <c r="AJ31">
        <v>30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ROW(Source!A31)</f>
        <v>31</v>
      </c>
      <c r="B32">
        <v>43157137</v>
      </c>
      <c r="C32">
        <v>43157119</v>
      </c>
      <c r="D32">
        <v>121548</v>
      </c>
      <c r="E32">
        <v>1</v>
      </c>
      <c r="F32">
        <v>1</v>
      </c>
      <c r="G32">
        <v>1</v>
      </c>
      <c r="H32">
        <v>1</v>
      </c>
      <c r="I32" t="s">
        <v>28</v>
      </c>
      <c r="J32" t="s">
        <v>3</v>
      </c>
      <c r="K32" t="s">
        <v>353</v>
      </c>
      <c r="L32">
        <v>608254</v>
      </c>
      <c r="N32">
        <v>1013</v>
      </c>
      <c r="O32" t="s">
        <v>354</v>
      </c>
      <c r="P32" t="s">
        <v>354</v>
      </c>
      <c r="Q32">
        <v>1</v>
      </c>
      <c r="X32">
        <v>0.44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2</v>
      </c>
      <c r="AF32" t="s">
        <v>3</v>
      </c>
      <c r="AG32">
        <v>0.44</v>
      </c>
      <c r="AH32">
        <v>2</v>
      </c>
      <c r="AI32">
        <v>43157126</v>
      </c>
      <c r="AJ32">
        <v>31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ROW(Source!A31)</f>
        <v>31</v>
      </c>
      <c r="B33">
        <v>43157138</v>
      </c>
      <c r="C33">
        <v>43157119</v>
      </c>
      <c r="D33">
        <v>29172479</v>
      </c>
      <c r="E33">
        <v>1</v>
      </c>
      <c r="F33">
        <v>1</v>
      </c>
      <c r="G33">
        <v>1</v>
      </c>
      <c r="H33">
        <v>2</v>
      </c>
      <c r="I33" t="s">
        <v>381</v>
      </c>
      <c r="J33" t="s">
        <v>382</v>
      </c>
      <c r="K33" t="s">
        <v>383</v>
      </c>
      <c r="L33">
        <v>1368</v>
      </c>
      <c r="N33">
        <v>1011</v>
      </c>
      <c r="O33" t="s">
        <v>343</v>
      </c>
      <c r="P33" t="s">
        <v>343</v>
      </c>
      <c r="Q33">
        <v>1</v>
      </c>
      <c r="X33">
        <v>0.44</v>
      </c>
      <c r="Y33">
        <v>0</v>
      </c>
      <c r="Z33">
        <v>99.89</v>
      </c>
      <c r="AA33">
        <v>10.06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0.44</v>
      </c>
      <c r="AH33">
        <v>2</v>
      </c>
      <c r="AI33">
        <v>43157127</v>
      </c>
      <c r="AJ33">
        <v>32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ROW(Source!A31)</f>
        <v>31</v>
      </c>
      <c r="B34">
        <v>43157139</v>
      </c>
      <c r="C34">
        <v>43157119</v>
      </c>
      <c r="D34">
        <v>29110546</v>
      </c>
      <c r="E34">
        <v>1</v>
      </c>
      <c r="F34">
        <v>1</v>
      </c>
      <c r="G34">
        <v>1</v>
      </c>
      <c r="H34">
        <v>3</v>
      </c>
      <c r="I34" t="s">
        <v>384</v>
      </c>
      <c r="J34" t="s">
        <v>385</v>
      </c>
      <c r="K34" t="s">
        <v>386</v>
      </c>
      <c r="L34">
        <v>1346</v>
      </c>
      <c r="N34">
        <v>1009</v>
      </c>
      <c r="O34" t="s">
        <v>315</v>
      </c>
      <c r="P34" t="s">
        <v>315</v>
      </c>
      <c r="Q34">
        <v>1</v>
      </c>
      <c r="X34">
        <v>0.03</v>
      </c>
      <c r="Y34">
        <v>35.630000000000003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0.03</v>
      </c>
      <c r="AH34">
        <v>2</v>
      </c>
      <c r="AI34">
        <v>43157128</v>
      </c>
      <c r="AJ34">
        <v>33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ROW(Source!A31)</f>
        <v>31</v>
      </c>
      <c r="B35">
        <v>43157140</v>
      </c>
      <c r="C35">
        <v>43157119</v>
      </c>
      <c r="D35">
        <v>29110439</v>
      </c>
      <c r="E35">
        <v>1</v>
      </c>
      <c r="F35">
        <v>1</v>
      </c>
      <c r="G35">
        <v>1</v>
      </c>
      <c r="H35">
        <v>3</v>
      </c>
      <c r="I35" t="s">
        <v>387</v>
      </c>
      <c r="J35" t="s">
        <v>388</v>
      </c>
      <c r="K35" t="s">
        <v>389</v>
      </c>
      <c r="L35">
        <v>1348</v>
      </c>
      <c r="N35">
        <v>1009</v>
      </c>
      <c r="O35" t="s">
        <v>308</v>
      </c>
      <c r="P35" t="s">
        <v>308</v>
      </c>
      <c r="Q35">
        <v>1000</v>
      </c>
      <c r="X35">
        <v>2.0000000000000002E-5</v>
      </c>
      <c r="Y35">
        <v>15481.01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2.0000000000000002E-5</v>
      </c>
      <c r="AH35">
        <v>2</v>
      </c>
      <c r="AI35">
        <v>43157129</v>
      </c>
      <c r="AJ35">
        <v>34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ROW(Source!A31)</f>
        <v>31</v>
      </c>
      <c r="B36">
        <v>43157141</v>
      </c>
      <c r="C36">
        <v>43157119</v>
      </c>
      <c r="D36">
        <v>29107468</v>
      </c>
      <c r="E36">
        <v>1</v>
      </c>
      <c r="F36">
        <v>1</v>
      </c>
      <c r="G36">
        <v>1</v>
      </c>
      <c r="H36">
        <v>3</v>
      </c>
      <c r="I36" t="s">
        <v>312</v>
      </c>
      <c r="J36" t="s">
        <v>313</v>
      </c>
      <c r="K36" t="s">
        <v>314</v>
      </c>
      <c r="L36">
        <v>1346</v>
      </c>
      <c r="N36">
        <v>1009</v>
      </c>
      <c r="O36" t="s">
        <v>315</v>
      </c>
      <c r="P36" t="s">
        <v>315</v>
      </c>
      <c r="Q36">
        <v>1</v>
      </c>
      <c r="X36">
        <v>0.01</v>
      </c>
      <c r="Y36">
        <v>12.62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0.01</v>
      </c>
      <c r="AH36">
        <v>2</v>
      </c>
      <c r="AI36">
        <v>43157130</v>
      </c>
      <c r="AJ36">
        <v>35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ROW(Source!A31)</f>
        <v>31</v>
      </c>
      <c r="B37">
        <v>43157142</v>
      </c>
      <c r="C37">
        <v>43157119</v>
      </c>
      <c r="D37">
        <v>29114246</v>
      </c>
      <c r="E37">
        <v>1</v>
      </c>
      <c r="F37">
        <v>1</v>
      </c>
      <c r="G37">
        <v>1</v>
      </c>
      <c r="H37">
        <v>3</v>
      </c>
      <c r="I37" t="s">
        <v>373</v>
      </c>
      <c r="J37" t="s">
        <v>374</v>
      </c>
      <c r="K37" t="s">
        <v>375</v>
      </c>
      <c r="L37">
        <v>1346</v>
      </c>
      <c r="N37">
        <v>1009</v>
      </c>
      <c r="O37" t="s">
        <v>315</v>
      </c>
      <c r="P37" t="s">
        <v>315</v>
      </c>
      <c r="Q37">
        <v>1</v>
      </c>
      <c r="X37">
        <v>0.3</v>
      </c>
      <c r="Y37">
        <v>9.0399999999999991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0.3</v>
      </c>
      <c r="AH37">
        <v>2</v>
      </c>
      <c r="AI37">
        <v>43157131</v>
      </c>
      <c r="AJ37">
        <v>36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ROW(Source!A31)</f>
        <v>31</v>
      </c>
      <c r="B38">
        <v>43157143</v>
      </c>
      <c r="C38">
        <v>43157119</v>
      </c>
      <c r="D38">
        <v>29114480</v>
      </c>
      <c r="E38">
        <v>1</v>
      </c>
      <c r="F38">
        <v>1</v>
      </c>
      <c r="G38">
        <v>1</v>
      </c>
      <c r="H38">
        <v>3</v>
      </c>
      <c r="I38" t="s">
        <v>344</v>
      </c>
      <c r="J38" t="s">
        <v>345</v>
      </c>
      <c r="K38" t="s">
        <v>346</v>
      </c>
      <c r="L38">
        <v>1355</v>
      </c>
      <c r="N38">
        <v>1010</v>
      </c>
      <c r="O38" t="s">
        <v>347</v>
      </c>
      <c r="P38" t="s">
        <v>347</v>
      </c>
      <c r="Q38">
        <v>100</v>
      </c>
      <c r="X38">
        <v>0.1</v>
      </c>
      <c r="Y38">
        <v>83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0.1</v>
      </c>
      <c r="AH38">
        <v>2</v>
      </c>
      <c r="AI38">
        <v>43157132</v>
      </c>
      <c r="AJ38">
        <v>37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ROW(Source!A31)</f>
        <v>31</v>
      </c>
      <c r="B39">
        <v>43157144</v>
      </c>
      <c r="C39">
        <v>43157119</v>
      </c>
      <c r="D39">
        <v>29110831</v>
      </c>
      <c r="E39">
        <v>1</v>
      </c>
      <c r="F39">
        <v>1</v>
      </c>
      <c r="G39">
        <v>1</v>
      </c>
      <c r="H39">
        <v>3</v>
      </c>
      <c r="I39" t="s">
        <v>322</v>
      </c>
      <c r="J39" t="s">
        <v>323</v>
      </c>
      <c r="K39" t="s">
        <v>324</v>
      </c>
      <c r="L39">
        <v>1346</v>
      </c>
      <c r="N39">
        <v>1009</v>
      </c>
      <c r="O39" t="s">
        <v>315</v>
      </c>
      <c r="P39" t="s">
        <v>315</v>
      </c>
      <c r="Q39">
        <v>1</v>
      </c>
      <c r="X39">
        <v>0.02</v>
      </c>
      <c r="Y39">
        <v>91.29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0.02</v>
      </c>
      <c r="AH39">
        <v>2</v>
      </c>
      <c r="AI39">
        <v>43157133</v>
      </c>
      <c r="AJ39">
        <v>38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ROW(Source!A31)</f>
        <v>31</v>
      </c>
      <c r="B40">
        <v>43157145</v>
      </c>
      <c r="C40">
        <v>43157119</v>
      </c>
      <c r="D40">
        <v>29121587</v>
      </c>
      <c r="E40">
        <v>1</v>
      </c>
      <c r="F40">
        <v>1</v>
      </c>
      <c r="G40">
        <v>1</v>
      </c>
      <c r="H40">
        <v>3</v>
      </c>
      <c r="I40" t="s">
        <v>390</v>
      </c>
      <c r="J40" t="s">
        <v>391</v>
      </c>
      <c r="K40" t="s">
        <v>392</v>
      </c>
      <c r="L40">
        <v>1346</v>
      </c>
      <c r="N40">
        <v>1009</v>
      </c>
      <c r="O40" t="s">
        <v>315</v>
      </c>
      <c r="P40" t="s">
        <v>315</v>
      </c>
      <c r="Q40">
        <v>1</v>
      </c>
      <c r="X40">
        <v>0.02</v>
      </c>
      <c r="Y40">
        <v>15.36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0.02</v>
      </c>
      <c r="AH40">
        <v>2</v>
      </c>
      <c r="AI40">
        <v>43157134</v>
      </c>
      <c r="AJ40">
        <v>39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ROW(Source!A31)</f>
        <v>31</v>
      </c>
      <c r="B41">
        <v>43157146</v>
      </c>
      <c r="C41">
        <v>43157119</v>
      </c>
      <c r="D41">
        <v>29149204</v>
      </c>
      <c r="E41">
        <v>1</v>
      </c>
      <c r="F41">
        <v>1</v>
      </c>
      <c r="G41">
        <v>1</v>
      </c>
      <c r="H41">
        <v>3</v>
      </c>
      <c r="I41" t="s">
        <v>348</v>
      </c>
      <c r="J41" t="s">
        <v>349</v>
      </c>
      <c r="K41" t="s">
        <v>350</v>
      </c>
      <c r="L41">
        <v>1348</v>
      </c>
      <c r="N41">
        <v>1009</v>
      </c>
      <c r="O41" t="s">
        <v>308</v>
      </c>
      <c r="P41" t="s">
        <v>308</v>
      </c>
      <c r="Q41">
        <v>1000</v>
      </c>
      <c r="X41">
        <v>2.9999999999999997E-4</v>
      </c>
      <c r="Y41">
        <v>729.98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2.9999999999999997E-4</v>
      </c>
      <c r="AH41">
        <v>2</v>
      </c>
      <c r="AI41">
        <v>43157135</v>
      </c>
      <c r="AJ41">
        <v>40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ROW(Source!A31)</f>
        <v>31</v>
      </c>
      <c r="B42">
        <v>43157147</v>
      </c>
      <c r="C42">
        <v>43157119</v>
      </c>
      <c r="D42">
        <v>29157436</v>
      </c>
      <c r="E42">
        <v>1</v>
      </c>
      <c r="F42">
        <v>1</v>
      </c>
      <c r="G42">
        <v>1</v>
      </c>
      <c r="H42">
        <v>3</v>
      </c>
      <c r="I42" t="s">
        <v>393</v>
      </c>
      <c r="J42" t="s">
        <v>394</v>
      </c>
      <c r="K42" t="s">
        <v>395</v>
      </c>
      <c r="L42">
        <v>1348</v>
      </c>
      <c r="N42">
        <v>1009</v>
      </c>
      <c r="O42" t="s">
        <v>308</v>
      </c>
      <c r="P42" t="s">
        <v>308</v>
      </c>
      <c r="Q42">
        <v>1000</v>
      </c>
      <c r="X42">
        <v>1E-4</v>
      </c>
      <c r="Y42">
        <v>37517.01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1E-4</v>
      </c>
      <c r="AH42">
        <v>2</v>
      </c>
      <c r="AI42">
        <v>43157120</v>
      </c>
      <c r="AJ42">
        <v>41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ROW(Source!A31)</f>
        <v>31</v>
      </c>
      <c r="B43">
        <v>43157148</v>
      </c>
      <c r="C43">
        <v>43157119</v>
      </c>
      <c r="D43">
        <v>29158010</v>
      </c>
      <c r="E43">
        <v>1</v>
      </c>
      <c r="F43">
        <v>1</v>
      </c>
      <c r="G43">
        <v>1</v>
      </c>
      <c r="H43">
        <v>3</v>
      </c>
      <c r="I43" t="s">
        <v>328</v>
      </c>
      <c r="J43" t="s">
        <v>329</v>
      </c>
      <c r="K43" t="s">
        <v>330</v>
      </c>
      <c r="L43">
        <v>1346</v>
      </c>
      <c r="N43">
        <v>1009</v>
      </c>
      <c r="O43" t="s">
        <v>315</v>
      </c>
      <c r="P43" t="s">
        <v>315</v>
      </c>
      <c r="Q43">
        <v>1</v>
      </c>
      <c r="X43">
        <v>0.06</v>
      </c>
      <c r="Y43">
        <v>65.930000000000007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0.06</v>
      </c>
      <c r="AH43">
        <v>2</v>
      </c>
      <c r="AI43">
        <v>43157121</v>
      </c>
      <c r="AJ43">
        <v>42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ROW(Source!A31)</f>
        <v>31</v>
      </c>
      <c r="B44">
        <v>43157149</v>
      </c>
      <c r="C44">
        <v>43157119</v>
      </c>
      <c r="D44">
        <v>29159023</v>
      </c>
      <c r="E44">
        <v>1</v>
      </c>
      <c r="F44">
        <v>1</v>
      </c>
      <c r="G44">
        <v>1</v>
      </c>
      <c r="H44">
        <v>3</v>
      </c>
      <c r="I44" t="s">
        <v>396</v>
      </c>
      <c r="J44" t="s">
        <v>397</v>
      </c>
      <c r="K44" t="s">
        <v>398</v>
      </c>
      <c r="L44">
        <v>1346</v>
      </c>
      <c r="N44">
        <v>1009</v>
      </c>
      <c r="O44" t="s">
        <v>315</v>
      </c>
      <c r="P44" t="s">
        <v>315</v>
      </c>
      <c r="Q44">
        <v>1</v>
      </c>
      <c r="X44">
        <v>0.08</v>
      </c>
      <c r="Y44">
        <v>38.450000000000003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0.08</v>
      </c>
      <c r="AH44">
        <v>2</v>
      </c>
      <c r="AI44">
        <v>43157122</v>
      </c>
      <c r="AJ44">
        <v>43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ROW(Source!A31)</f>
        <v>31</v>
      </c>
      <c r="B45">
        <v>43157150</v>
      </c>
      <c r="C45">
        <v>43157119</v>
      </c>
      <c r="D45">
        <v>29164287</v>
      </c>
      <c r="E45">
        <v>1</v>
      </c>
      <c r="F45">
        <v>1</v>
      </c>
      <c r="G45">
        <v>1</v>
      </c>
      <c r="H45">
        <v>3</v>
      </c>
      <c r="I45" t="s">
        <v>399</v>
      </c>
      <c r="J45" t="s">
        <v>400</v>
      </c>
      <c r="K45" t="s">
        <v>401</v>
      </c>
      <c r="L45">
        <v>1355</v>
      </c>
      <c r="N45">
        <v>1010</v>
      </c>
      <c r="O45" t="s">
        <v>347</v>
      </c>
      <c r="P45" t="s">
        <v>347</v>
      </c>
      <c r="Q45">
        <v>100</v>
      </c>
      <c r="X45">
        <v>0.1</v>
      </c>
      <c r="Y45">
        <v>60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0.1</v>
      </c>
      <c r="AH45">
        <v>2</v>
      </c>
      <c r="AI45">
        <v>43157123</v>
      </c>
      <c r="AJ45">
        <v>44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ROW(Source!A31)</f>
        <v>31</v>
      </c>
      <c r="B46">
        <v>43157151</v>
      </c>
      <c r="C46">
        <v>43157119</v>
      </c>
      <c r="D46">
        <v>29171807</v>
      </c>
      <c r="E46">
        <v>1</v>
      </c>
      <c r="F46">
        <v>1</v>
      </c>
      <c r="G46">
        <v>1</v>
      </c>
      <c r="H46">
        <v>3</v>
      </c>
      <c r="I46" t="s">
        <v>501</v>
      </c>
      <c r="J46" t="s">
        <v>502</v>
      </c>
      <c r="K46" t="s">
        <v>503</v>
      </c>
      <c r="L46">
        <v>1348</v>
      </c>
      <c r="N46">
        <v>1009</v>
      </c>
      <c r="O46" t="s">
        <v>308</v>
      </c>
      <c r="P46" t="s">
        <v>308</v>
      </c>
      <c r="Q46">
        <v>1000</v>
      </c>
      <c r="X46">
        <v>1E-3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 t="s">
        <v>3</v>
      </c>
      <c r="AG46">
        <v>1E-3</v>
      </c>
      <c r="AH46">
        <v>3</v>
      </c>
      <c r="AI46">
        <v>-1</v>
      </c>
      <c r="AJ46" t="s">
        <v>3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ROW(Source!A31)</f>
        <v>31</v>
      </c>
      <c r="B47">
        <v>43157152</v>
      </c>
      <c r="C47">
        <v>43157119</v>
      </c>
      <c r="D47">
        <v>29171808</v>
      </c>
      <c r="E47">
        <v>1</v>
      </c>
      <c r="F47">
        <v>1</v>
      </c>
      <c r="G47">
        <v>1</v>
      </c>
      <c r="H47">
        <v>3</v>
      </c>
      <c r="I47" t="s">
        <v>334</v>
      </c>
      <c r="J47" t="s">
        <v>335</v>
      </c>
      <c r="K47" t="s">
        <v>336</v>
      </c>
      <c r="L47">
        <v>1374</v>
      </c>
      <c r="N47">
        <v>1013</v>
      </c>
      <c r="O47" t="s">
        <v>337</v>
      </c>
      <c r="P47" t="s">
        <v>337</v>
      </c>
      <c r="Q47">
        <v>1</v>
      </c>
      <c r="X47">
        <v>2.2400000000000002</v>
      </c>
      <c r="Y47">
        <v>1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2.2400000000000002</v>
      </c>
      <c r="AH47">
        <v>2</v>
      </c>
      <c r="AI47">
        <v>43157124</v>
      </c>
      <c r="AJ47">
        <v>45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ROW(Source!A33)</f>
        <v>33</v>
      </c>
      <c r="B48">
        <v>43157161</v>
      </c>
      <c r="C48">
        <v>43157154</v>
      </c>
      <c r="D48">
        <v>29362762</v>
      </c>
      <c r="E48">
        <v>1</v>
      </c>
      <c r="F48">
        <v>1</v>
      </c>
      <c r="G48">
        <v>1</v>
      </c>
      <c r="H48">
        <v>1</v>
      </c>
      <c r="I48" t="s">
        <v>302</v>
      </c>
      <c r="J48" t="s">
        <v>3</v>
      </c>
      <c r="K48" t="s">
        <v>303</v>
      </c>
      <c r="L48">
        <v>1369</v>
      </c>
      <c r="N48">
        <v>1013</v>
      </c>
      <c r="O48" t="s">
        <v>304</v>
      </c>
      <c r="P48" t="s">
        <v>304</v>
      </c>
      <c r="Q48">
        <v>1</v>
      </c>
      <c r="X48">
        <v>2.06</v>
      </c>
      <c r="Y48">
        <v>0</v>
      </c>
      <c r="Z48">
        <v>0</v>
      </c>
      <c r="AA48">
        <v>0</v>
      </c>
      <c r="AB48">
        <v>9.6199999999999992</v>
      </c>
      <c r="AC48">
        <v>0</v>
      </c>
      <c r="AD48">
        <v>1</v>
      </c>
      <c r="AE48">
        <v>1</v>
      </c>
      <c r="AF48" t="s">
        <v>3</v>
      </c>
      <c r="AG48">
        <v>2.06</v>
      </c>
      <c r="AH48">
        <v>2</v>
      </c>
      <c r="AI48">
        <v>43157155</v>
      </c>
      <c r="AJ48">
        <v>46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ROW(Source!A33)</f>
        <v>33</v>
      </c>
      <c r="B49">
        <v>43157162</v>
      </c>
      <c r="C49">
        <v>43157154</v>
      </c>
      <c r="D49">
        <v>29107590</v>
      </c>
      <c r="E49">
        <v>1</v>
      </c>
      <c r="F49">
        <v>1</v>
      </c>
      <c r="G49">
        <v>1</v>
      </c>
      <c r="H49">
        <v>3</v>
      </c>
      <c r="I49" t="s">
        <v>402</v>
      </c>
      <c r="J49" t="s">
        <v>403</v>
      </c>
      <c r="K49" t="s">
        <v>404</v>
      </c>
      <c r="L49">
        <v>1348</v>
      </c>
      <c r="N49">
        <v>1009</v>
      </c>
      <c r="O49" t="s">
        <v>308</v>
      </c>
      <c r="P49" t="s">
        <v>308</v>
      </c>
      <c r="Q49">
        <v>1000</v>
      </c>
      <c r="X49">
        <v>1.1E-4</v>
      </c>
      <c r="Y49">
        <v>5850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1.1E-4</v>
      </c>
      <c r="AH49">
        <v>2</v>
      </c>
      <c r="AI49">
        <v>43157156</v>
      </c>
      <c r="AJ49">
        <v>47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ROW(Source!A33)</f>
        <v>33</v>
      </c>
      <c r="B50">
        <v>43157163</v>
      </c>
      <c r="C50">
        <v>43157154</v>
      </c>
      <c r="D50">
        <v>29107494</v>
      </c>
      <c r="E50">
        <v>1</v>
      </c>
      <c r="F50">
        <v>1</v>
      </c>
      <c r="G50">
        <v>1</v>
      </c>
      <c r="H50">
        <v>3</v>
      </c>
      <c r="I50" t="s">
        <v>405</v>
      </c>
      <c r="J50" t="s">
        <v>406</v>
      </c>
      <c r="K50" t="s">
        <v>407</v>
      </c>
      <c r="L50">
        <v>1348</v>
      </c>
      <c r="N50">
        <v>1009</v>
      </c>
      <c r="O50" t="s">
        <v>308</v>
      </c>
      <c r="P50" t="s">
        <v>308</v>
      </c>
      <c r="Q50">
        <v>1000</v>
      </c>
      <c r="X50">
        <v>1E-3</v>
      </c>
      <c r="Y50">
        <v>3651.11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1E-3</v>
      </c>
      <c r="AH50">
        <v>2</v>
      </c>
      <c r="AI50">
        <v>43157157</v>
      </c>
      <c r="AJ50">
        <v>48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ROW(Source!A33)</f>
        <v>33</v>
      </c>
      <c r="B51">
        <v>43157164</v>
      </c>
      <c r="C51">
        <v>43157154</v>
      </c>
      <c r="D51">
        <v>29150044</v>
      </c>
      <c r="E51">
        <v>1</v>
      </c>
      <c r="F51">
        <v>1</v>
      </c>
      <c r="G51">
        <v>1</v>
      </c>
      <c r="H51">
        <v>3</v>
      </c>
      <c r="I51" t="s">
        <v>408</v>
      </c>
      <c r="J51" t="s">
        <v>409</v>
      </c>
      <c r="K51" t="s">
        <v>410</v>
      </c>
      <c r="L51">
        <v>1346</v>
      </c>
      <c r="N51">
        <v>1009</v>
      </c>
      <c r="O51" t="s">
        <v>315</v>
      </c>
      <c r="P51" t="s">
        <v>315</v>
      </c>
      <c r="Q51">
        <v>1</v>
      </c>
      <c r="X51">
        <v>2.8</v>
      </c>
      <c r="Y51">
        <v>4.16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2.8</v>
      </c>
      <c r="AH51">
        <v>2</v>
      </c>
      <c r="AI51">
        <v>43157158</v>
      </c>
      <c r="AJ51">
        <v>49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ROW(Source!A33)</f>
        <v>33</v>
      </c>
      <c r="B52">
        <v>43157165</v>
      </c>
      <c r="C52">
        <v>43157154</v>
      </c>
      <c r="D52">
        <v>29157967</v>
      </c>
      <c r="E52">
        <v>1</v>
      </c>
      <c r="F52">
        <v>1</v>
      </c>
      <c r="G52">
        <v>1</v>
      </c>
      <c r="H52">
        <v>3</v>
      </c>
      <c r="I52" t="s">
        <v>411</v>
      </c>
      <c r="J52" t="s">
        <v>412</v>
      </c>
      <c r="K52" t="s">
        <v>413</v>
      </c>
      <c r="L52">
        <v>1348</v>
      </c>
      <c r="N52">
        <v>1009</v>
      </c>
      <c r="O52" t="s">
        <v>308</v>
      </c>
      <c r="P52" t="s">
        <v>308</v>
      </c>
      <c r="Q52">
        <v>1000</v>
      </c>
      <c r="X52">
        <v>3.0000000000000001E-5</v>
      </c>
      <c r="Y52">
        <v>17762.810000000001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3.0000000000000001E-5</v>
      </c>
      <c r="AH52">
        <v>2</v>
      </c>
      <c r="AI52">
        <v>43157159</v>
      </c>
      <c r="AJ52">
        <v>50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ROW(Source!A33)</f>
        <v>33</v>
      </c>
      <c r="B53">
        <v>43157166</v>
      </c>
      <c r="C53">
        <v>43157154</v>
      </c>
      <c r="D53">
        <v>29171808</v>
      </c>
      <c r="E53">
        <v>1</v>
      </c>
      <c r="F53">
        <v>1</v>
      </c>
      <c r="G53">
        <v>1</v>
      </c>
      <c r="H53">
        <v>3</v>
      </c>
      <c r="I53" t="s">
        <v>334</v>
      </c>
      <c r="J53" t="s">
        <v>335</v>
      </c>
      <c r="K53" t="s">
        <v>336</v>
      </c>
      <c r="L53">
        <v>1374</v>
      </c>
      <c r="N53">
        <v>1013</v>
      </c>
      <c r="O53" t="s">
        <v>337</v>
      </c>
      <c r="P53" t="s">
        <v>337</v>
      </c>
      <c r="Q53">
        <v>1</v>
      </c>
      <c r="X53">
        <v>0.4</v>
      </c>
      <c r="Y53">
        <v>1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0.4</v>
      </c>
      <c r="AH53">
        <v>2</v>
      </c>
      <c r="AI53">
        <v>43157160</v>
      </c>
      <c r="AJ53">
        <v>51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ROW(Source!A35)</f>
        <v>35</v>
      </c>
      <c r="B54">
        <v>43157172</v>
      </c>
      <c r="C54">
        <v>43157168</v>
      </c>
      <c r="D54">
        <v>29372988</v>
      </c>
      <c r="E54">
        <v>1</v>
      </c>
      <c r="F54">
        <v>1</v>
      </c>
      <c r="G54">
        <v>1</v>
      </c>
      <c r="H54">
        <v>1</v>
      </c>
      <c r="I54" t="s">
        <v>379</v>
      </c>
      <c r="J54" t="s">
        <v>3</v>
      </c>
      <c r="K54" t="s">
        <v>380</v>
      </c>
      <c r="L54">
        <v>1369</v>
      </c>
      <c r="N54">
        <v>1013</v>
      </c>
      <c r="O54" t="s">
        <v>304</v>
      </c>
      <c r="P54" t="s">
        <v>304</v>
      </c>
      <c r="Q54">
        <v>1</v>
      </c>
      <c r="X54">
        <v>9.16</v>
      </c>
      <c r="Y54">
        <v>0</v>
      </c>
      <c r="Z54">
        <v>0</v>
      </c>
      <c r="AA54">
        <v>0</v>
      </c>
      <c r="AB54">
        <v>11.09</v>
      </c>
      <c r="AC54">
        <v>0</v>
      </c>
      <c r="AD54">
        <v>1</v>
      </c>
      <c r="AE54">
        <v>1</v>
      </c>
      <c r="AF54" t="s">
        <v>3</v>
      </c>
      <c r="AG54">
        <v>9.16</v>
      </c>
      <c r="AH54">
        <v>2</v>
      </c>
      <c r="AI54">
        <v>43157169</v>
      </c>
      <c r="AJ54">
        <v>52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ROW(Source!A35)</f>
        <v>35</v>
      </c>
      <c r="B55">
        <v>43157173</v>
      </c>
      <c r="C55">
        <v>43157168</v>
      </c>
      <c r="D55">
        <v>29172514</v>
      </c>
      <c r="E55">
        <v>1</v>
      </c>
      <c r="F55">
        <v>1</v>
      </c>
      <c r="G55">
        <v>1</v>
      </c>
      <c r="H55">
        <v>2</v>
      </c>
      <c r="I55" t="s">
        <v>414</v>
      </c>
      <c r="J55" t="s">
        <v>415</v>
      </c>
      <c r="K55" t="s">
        <v>416</v>
      </c>
      <c r="L55">
        <v>1368</v>
      </c>
      <c r="N55">
        <v>1011</v>
      </c>
      <c r="O55" t="s">
        <v>343</v>
      </c>
      <c r="P55" t="s">
        <v>343</v>
      </c>
      <c r="Q55">
        <v>1</v>
      </c>
      <c r="X55">
        <v>0.12</v>
      </c>
      <c r="Y55">
        <v>0</v>
      </c>
      <c r="Z55">
        <v>3.6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0.12</v>
      </c>
      <c r="AH55">
        <v>2</v>
      </c>
      <c r="AI55">
        <v>43157170</v>
      </c>
      <c r="AJ55">
        <v>53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ROW(Source!A35)</f>
        <v>35</v>
      </c>
      <c r="B56">
        <v>43157174</v>
      </c>
      <c r="C56">
        <v>43157168</v>
      </c>
      <c r="D56">
        <v>29171808</v>
      </c>
      <c r="E56">
        <v>1</v>
      </c>
      <c r="F56">
        <v>1</v>
      </c>
      <c r="G56">
        <v>1</v>
      </c>
      <c r="H56">
        <v>3</v>
      </c>
      <c r="I56" t="s">
        <v>334</v>
      </c>
      <c r="J56" t="s">
        <v>335</v>
      </c>
      <c r="K56" t="s">
        <v>336</v>
      </c>
      <c r="L56">
        <v>1374</v>
      </c>
      <c r="N56">
        <v>1013</v>
      </c>
      <c r="O56" t="s">
        <v>337</v>
      </c>
      <c r="P56" t="s">
        <v>337</v>
      </c>
      <c r="Q56">
        <v>1</v>
      </c>
      <c r="X56">
        <v>2.0299999999999998</v>
      </c>
      <c r="Y56">
        <v>1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2.0299999999999998</v>
      </c>
      <c r="AH56">
        <v>2</v>
      </c>
      <c r="AI56">
        <v>43157171</v>
      </c>
      <c r="AJ56">
        <v>54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ROW(Source!A37)</f>
        <v>37</v>
      </c>
      <c r="B57">
        <v>43157185</v>
      </c>
      <c r="C57">
        <v>43157176</v>
      </c>
      <c r="D57">
        <v>29365789</v>
      </c>
      <c r="E57">
        <v>1</v>
      </c>
      <c r="F57">
        <v>1</v>
      </c>
      <c r="G57">
        <v>1</v>
      </c>
      <c r="H57">
        <v>1</v>
      </c>
      <c r="I57" t="s">
        <v>417</v>
      </c>
      <c r="J57" t="s">
        <v>3</v>
      </c>
      <c r="K57" t="s">
        <v>418</v>
      </c>
      <c r="L57">
        <v>1369</v>
      </c>
      <c r="N57">
        <v>1013</v>
      </c>
      <c r="O57" t="s">
        <v>304</v>
      </c>
      <c r="P57" t="s">
        <v>304</v>
      </c>
      <c r="Q57">
        <v>1</v>
      </c>
      <c r="X57">
        <v>4.47</v>
      </c>
      <c r="Y57">
        <v>0</v>
      </c>
      <c r="Z57">
        <v>0</v>
      </c>
      <c r="AA57">
        <v>0</v>
      </c>
      <c r="AB57">
        <v>8.5299999999999994</v>
      </c>
      <c r="AC57">
        <v>0</v>
      </c>
      <c r="AD57">
        <v>1</v>
      </c>
      <c r="AE57">
        <v>1</v>
      </c>
      <c r="AF57" t="s">
        <v>3</v>
      </c>
      <c r="AG57">
        <v>4.47</v>
      </c>
      <c r="AH57">
        <v>2</v>
      </c>
      <c r="AI57">
        <v>43157177</v>
      </c>
      <c r="AJ57">
        <v>55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ROW(Source!A37)</f>
        <v>37</v>
      </c>
      <c r="B58">
        <v>43157186</v>
      </c>
      <c r="C58">
        <v>43157176</v>
      </c>
      <c r="D58">
        <v>121548</v>
      </c>
      <c r="E58">
        <v>1</v>
      </c>
      <c r="F58">
        <v>1</v>
      </c>
      <c r="G58">
        <v>1</v>
      </c>
      <c r="H58">
        <v>1</v>
      </c>
      <c r="I58" t="s">
        <v>28</v>
      </c>
      <c r="J58" t="s">
        <v>3</v>
      </c>
      <c r="K58" t="s">
        <v>353</v>
      </c>
      <c r="L58">
        <v>608254</v>
      </c>
      <c r="N58">
        <v>1013</v>
      </c>
      <c r="O58" t="s">
        <v>354</v>
      </c>
      <c r="P58" t="s">
        <v>354</v>
      </c>
      <c r="Q58">
        <v>1</v>
      </c>
      <c r="X58">
        <v>0.17</v>
      </c>
      <c r="Y58">
        <v>0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2</v>
      </c>
      <c r="AF58" t="s">
        <v>3</v>
      </c>
      <c r="AG58">
        <v>0.17</v>
      </c>
      <c r="AH58">
        <v>2</v>
      </c>
      <c r="AI58">
        <v>43157178</v>
      </c>
      <c r="AJ58">
        <v>56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ROW(Source!A37)</f>
        <v>37</v>
      </c>
      <c r="B59">
        <v>43157187</v>
      </c>
      <c r="C59">
        <v>43157176</v>
      </c>
      <c r="D59">
        <v>29172479</v>
      </c>
      <c r="E59">
        <v>1</v>
      </c>
      <c r="F59">
        <v>1</v>
      </c>
      <c r="G59">
        <v>1</v>
      </c>
      <c r="H59">
        <v>2</v>
      </c>
      <c r="I59" t="s">
        <v>381</v>
      </c>
      <c r="J59" t="s">
        <v>382</v>
      </c>
      <c r="K59" t="s">
        <v>383</v>
      </c>
      <c r="L59">
        <v>1368</v>
      </c>
      <c r="N59">
        <v>1011</v>
      </c>
      <c r="O59" t="s">
        <v>343</v>
      </c>
      <c r="P59" t="s">
        <v>343</v>
      </c>
      <c r="Q59">
        <v>1</v>
      </c>
      <c r="X59">
        <v>0.17</v>
      </c>
      <c r="Y59">
        <v>0</v>
      </c>
      <c r="Z59">
        <v>99.89</v>
      </c>
      <c r="AA59">
        <v>10.06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0.17</v>
      </c>
      <c r="AH59">
        <v>2</v>
      </c>
      <c r="AI59">
        <v>43157179</v>
      </c>
      <c r="AJ59">
        <v>57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ROW(Source!A37)</f>
        <v>37</v>
      </c>
      <c r="B60">
        <v>43157188</v>
      </c>
      <c r="C60">
        <v>43157176</v>
      </c>
      <c r="D60">
        <v>29110405</v>
      </c>
      <c r="E60">
        <v>1</v>
      </c>
      <c r="F60">
        <v>1</v>
      </c>
      <c r="G60">
        <v>1</v>
      </c>
      <c r="H60">
        <v>3</v>
      </c>
      <c r="I60" t="s">
        <v>419</v>
      </c>
      <c r="J60" t="s">
        <v>420</v>
      </c>
      <c r="K60" t="s">
        <v>421</v>
      </c>
      <c r="L60">
        <v>1348</v>
      </c>
      <c r="N60">
        <v>1009</v>
      </c>
      <c r="O60" t="s">
        <v>308</v>
      </c>
      <c r="P60" t="s">
        <v>308</v>
      </c>
      <c r="Q60">
        <v>1000</v>
      </c>
      <c r="X60">
        <v>2.0000000000000001E-4</v>
      </c>
      <c r="Y60">
        <v>26932.43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2.0000000000000001E-4</v>
      </c>
      <c r="AH60">
        <v>2</v>
      </c>
      <c r="AI60">
        <v>43157180</v>
      </c>
      <c r="AJ60">
        <v>58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ROW(Source!A37)</f>
        <v>37</v>
      </c>
      <c r="B61">
        <v>43157189</v>
      </c>
      <c r="C61">
        <v>43157176</v>
      </c>
      <c r="D61">
        <v>29110575</v>
      </c>
      <c r="E61">
        <v>1</v>
      </c>
      <c r="F61">
        <v>1</v>
      </c>
      <c r="G61">
        <v>1</v>
      </c>
      <c r="H61">
        <v>3</v>
      </c>
      <c r="I61" t="s">
        <v>422</v>
      </c>
      <c r="J61" t="s">
        <v>423</v>
      </c>
      <c r="K61" t="s">
        <v>424</v>
      </c>
      <c r="L61">
        <v>1346</v>
      </c>
      <c r="N61">
        <v>1009</v>
      </c>
      <c r="O61" t="s">
        <v>315</v>
      </c>
      <c r="P61" t="s">
        <v>315</v>
      </c>
      <c r="Q61">
        <v>1</v>
      </c>
      <c r="X61">
        <v>0.01</v>
      </c>
      <c r="Y61">
        <v>32.590000000000003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0.01</v>
      </c>
      <c r="AH61">
        <v>2</v>
      </c>
      <c r="AI61">
        <v>43157181</v>
      </c>
      <c r="AJ61">
        <v>59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ROW(Source!A37)</f>
        <v>37</v>
      </c>
      <c r="B62">
        <v>43157190</v>
      </c>
      <c r="C62">
        <v>43157176</v>
      </c>
      <c r="D62">
        <v>29115231</v>
      </c>
      <c r="E62">
        <v>1</v>
      </c>
      <c r="F62">
        <v>1</v>
      </c>
      <c r="G62">
        <v>1</v>
      </c>
      <c r="H62">
        <v>3</v>
      </c>
      <c r="I62" t="s">
        <v>425</v>
      </c>
      <c r="J62" t="s">
        <v>426</v>
      </c>
      <c r="K62" t="s">
        <v>427</v>
      </c>
      <c r="L62">
        <v>1339</v>
      </c>
      <c r="N62">
        <v>1007</v>
      </c>
      <c r="O62" t="s">
        <v>428</v>
      </c>
      <c r="P62" t="s">
        <v>428</v>
      </c>
      <c r="Q62">
        <v>1</v>
      </c>
      <c r="X62">
        <v>5.0000000000000001E-3</v>
      </c>
      <c r="Y62">
        <v>4788.54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5.0000000000000001E-3</v>
      </c>
      <c r="AH62">
        <v>2</v>
      </c>
      <c r="AI62">
        <v>43157182</v>
      </c>
      <c r="AJ62">
        <v>60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ROW(Source!A37)</f>
        <v>37</v>
      </c>
      <c r="B63">
        <v>43157191</v>
      </c>
      <c r="C63">
        <v>43157176</v>
      </c>
      <c r="D63">
        <v>29149204</v>
      </c>
      <c r="E63">
        <v>1</v>
      </c>
      <c r="F63">
        <v>1</v>
      </c>
      <c r="G63">
        <v>1</v>
      </c>
      <c r="H63">
        <v>3</v>
      </c>
      <c r="I63" t="s">
        <v>348</v>
      </c>
      <c r="J63" t="s">
        <v>349</v>
      </c>
      <c r="K63" t="s">
        <v>350</v>
      </c>
      <c r="L63">
        <v>1348</v>
      </c>
      <c r="N63">
        <v>1009</v>
      </c>
      <c r="O63" t="s">
        <v>308</v>
      </c>
      <c r="P63" t="s">
        <v>308</v>
      </c>
      <c r="Q63">
        <v>1000</v>
      </c>
      <c r="X63">
        <v>2.9999999999999997E-4</v>
      </c>
      <c r="Y63">
        <v>729.98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2.9999999999999997E-4</v>
      </c>
      <c r="AH63">
        <v>2</v>
      </c>
      <c r="AI63">
        <v>43157183</v>
      </c>
      <c r="AJ63">
        <v>61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ROW(Source!A37)</f>
        <v>37</v>
      </c>
      <c r="B64">
        <v>43157192</v>
      </c>
      <c r="C64">
        <v>43157176</v>
      </c>
      <c r="D64">
        <v>29171808</v>
      </c>
      <c r="E64">
        <v>1</v>
      </c>
      <c r="F64">
        <v>1</v>
      </c>
      <c r="G64">
        <v>1</v>
      </c>
      <c r="H64">
        <v>3</v>
      </c>
      <c r="I64" t="s">
        <v>334</v>
      </c>
      <c r="J64" t="s">
        <v>335</v>
      </c>
      <c r="K64" t="s">
        <v>336</v>
      </c>
      <c r="L64">
        <v>1374</v>
      </c>
      <c r="N64">
        <v>1013</v>
      </c>
      <c r="O64" t="s">
        <v>337</v>
      </c>
      <c r="P64" t="s">
        <v>337</v>
      </c>
      <c r="Q64">
        <v>1</v>
      </c>
      <c r="X64">
        <v>0.76</v>
      </c>
      <c r="Y64">
        <v>1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0.76</v>
      </c>
      <c r="AH64">
        <v>2</v>
      </c>
      <c r="AI64">
        <v>43157184</v>
      </c>
      <c r="AJ64">
        <v>62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ROW(Source!A39)</f>
        <v>39</v>
      </c>
      <c r="B65">
        <v>43157200</v>
      </c>
      <c r="C65">
        <v>43157194</v>
      </c>
      <c r="D65">
        <v>29362762</v>
      </c>
      <c r="E65">
        <v>1</v>
      </c>
      <c r="F65">
        <v>1</v>
      </c>
      <c r="G65">
        <v>1</v>
      </c>
      <c r="H65">
        <v>1</v>
      </c>
      <c r="I65" t="s">
        <v>302</v>
      </c>
      <c r="J65" t="s">
        <v>3</v>
      </c>
      <c r="K65" t="s">
        <v>303</v>
      </c>
      <c r="L65">
        <v>1369</v>
      </c>
      <c r="N65">
        <v>1013</v>
      </c>
      <c r="O65" t="s">
        <v>304</v>
      </c>
      <c r="P65" t="s">
        <v>304</v>
      </c>
      <c r="Q65">
        <v>1</v>
      </c>
      <c r="X65">
        <v>8.1999999999999993</v>
      </c>
      <c r="Y65">
        <v>0</v>
      </c>
      <c r="Z65">
        <v>0</v>
      </c>
      <c r="AA65">
        <v>0</v>
      </c>
      <c r="AB65">
        <v>9.6199999999999992</v>
      </c>
      <c r="AC65">
        <v>0</v>
      </c>
      <c r="AD65">
        <v>1</v>
      </c>
      <c r="AE65">
        <v>1</v>
      </c>
      <c r="AF65" t="s">
        <v>3</v>
      </c>
      <c r="AG65">
        <v>8.1999999999999993</v>
      </c>
      <c r="AH65">
        <v>2</v>
      </c>
      <c r="AI65">
        <v>43157195</v>
      </c>
      <c r="AJ65">
        <v>63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ROW(Source!A39)</f>
        <v>39</v>
      </c>
      <c r="B66">
        <v>43157201</v>
      </c>
      <c r="C66">
        <v>43157194</v>
      </c>
      <c r="D66">
        <v>29107959</v>
      </c>
      <c r="E66">
        <v>1</v>
      </c>
      <c r="F66">
        <v>1</v>
      </c>
      <c r="G66">
        <v>1</v>
      </c>
      <c r="H66">
        <v>3</v>
      </c>
      <c r="I66" t="s">
        <v>316</v>
      </c>
      <c r="J66" t="s">
        <v>317</v>
      </c>
      <c r="K66" t="s">
        <v>318</v>
      </c>
      <c r="L66">
        <v>1346</v>
      </c>
      <c r="N66">
        <v>1009</v>
      </c>
      <c r="O66" t="s">
        <v>315</v>
      </c>
      <c r="P66" t="s">
        <v>315</v>
      </c>
      <c r="Q66">
        <v>1</v>
      </c>
      <c r="X66">
        <v>2.3E-2</v>
      </c>
      <c r="Y66">
        <v>155.01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2.3E-2</v>
      </c>
      <c r="AH66">
        <v>2</v>
      </c>
      <c r="AI66">
        <v>43157196</v>
      </c>
      <c r="AJ66">
        <v>64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ROW(Source!A39)</f>
        <v>39</v>
      </c>
      <c r="B67">
        <v>43157202</v>
      </c>
      <c r="C67">
        <v>43157194</v>
      </c>
      <c r="D67">
        <v>29110748</v>
      </c>
      <c r="E67">
        <v>1</v>
      </c>
      <c r="F67">
        <v>1</v>
      </c>
      <c r="G67">
        <v>1</v>
      </c>
      <c r="H67">
        <v>3</v>
      </c>
      <c r="I67" t="s">
        <v>429</v>
      </c>
      <c r="J67" t="s">
        <v>430</v>
      </c>
      <c r="K67" t="s">
        <v>431</v>
      </c>
      <c r="L67">
        <v>1308</v>
      </c>
      <c r="N67">
        <v>1003</v>
      </c>
      <c r="O67" t="s">
        <v>120</v>
      </c>
      <c r="P67" t="s">
        <v>120</v>
      </c>
      <c r="Q67">
        <v>100</v>
      </c>
      <c r="X67">
        <v>0.03</v>
      </c>
      <c r="Y67">
        <v>94.4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0.03</v>
      </c>
      <c r="AH67">
        <v>2</v>
      </c>
      <c r="AI67">
        <v>43157197</v>
      </c>
      <c r="AJ67">
        <v>65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ROW(Source!A39)</f>
        <v>39</v>
      </c>
      <c r="B68">
        <v>43157203</v>
      </c>
      <c r="C68">
        <v>43157194</v>
      </c>
      <c r="D68">
        <v>29158009</v>
      </c>
      <c r="E68">
        <v>1</v>
      </c>
      <c r="F68">
        <v>1</v>
      </c>
      <c r="G68">
        <v>1</v>
      </c>
      <c r="H68">
        <v>3</v>
      </c>
      <c r="I68" t="s">
        <v>432</v>
      </c>
      <c r="J68" t="s">
        <v>433</v>
      </c>
      <c r="K68" t="s">
        <v>434</v>
      </c>
      <c r="L68">
        <v>1346</v>
      </c>
      <c r="N68">
        <v>1009</v>
      </c>
      <c r="O68" t="s">
        <v>315</v>
      </c>
      <c r="P68" t="s">
        <v>315</v>
      </c>
      <c r="Q68">
        <v>1</v>
      </c>
      <c r="X68">
        <v>1.4999999999999999E-2</v>
      </c>
      <c r="Y68">
        <v>114.57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1.4999999999999999E-2</v>
      </c>
      <c r="AH68">
        <v>2</v>
      </c>
      <c r="AI68">
        <v>43157198</v>
      </c>
      <c r="AJ68">
        <v>66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ROW(Source!A39)</f>
        <v>39</v>
      </c>
      <c r="B69">
        <v>43157204</v>
      </c>
      <c r="C69">
        <v>43157194</v>
      </c>
      <c r="D69">
        <v>29171808</v>
      </c>
      <c r="E69">
        <v>1</v>
      </c>
      <c r="F69">
        <v>1</v>
      </c>
      <c r="G69">
        <v>1</v>
      </c>
      <c r="H69">
        <v>3</v>
      </c>
      <c r="I69" t="s">
        <v>334</v>
      </c>
      <c r="J69" t="s">
        <v>335</v>
      </c>
      <c r="K69" t="s">
        <v>336</v>
      </c>
      <c r="L69">
        <v>1374</v>
      </c>
      <c r="N69">
        <v>1013</v>
      </c>
      <c r="O69" t="s">
        <v>337</v>
      </c>
      <c r="P69" t="s">
        <v>337</v>
      </c>
      <c r="Q69">
        <v>1</v>
      </c>
      <c r="X69">
        <v>1.58</v>
      </c>
      <c r="Y69">
        <v>1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1.58</v>
      </c>
      <c r="AH69">
        <v>2</v>
      </c>
      <c r="AI69">
        <v>43157199</v>
      </c>
      <c r="AJ69">
        <v>67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ROW(Source!A42)</f>
        <v>42</v>
      </c>
      <c r="B70">
        <v>43157223</v>
      </c>
      <c r="C70">
        <v>43157207</v>
      </c>
      <c r="D70">
        <v>29361307</v>
      </c>
      <c r="E70">
        <v>1</v>
      </c>
      <c r="F70">
        <v>1</v>
      </c>
      <c r="G70">
        <v>1</v>
      </c>
      <c r="H70">
        <v>1</v>
      </c>
      <c r="I70" t="s">
        <v>435</v>
      </c>
      <c r="J70" t="s">
        <v>3</v>
      </c>
      <c r="K70" t="s">
        <v>436</v>
      </c>
      <c r="L70">
        <v>1369</v>
      </c>
      <c r="N70">
        <v>1013</v>
      </c>
      <c r="O70" t="s">
        <v>304</v>
      </c>
      <c r="P70" t="s">
        <v>304</v>
      </c>
      <c r="Q70">
        <v>1</v>
      </c>
      <c r="X70">
        <v>1.56</v>
      </c>
      <c r="Y70">
        <v>0</v>
      </c>
      <c r="Z70">
        <v>0</v>
      </c>
      <c r="AA70">
        <v>0</v>
      </c>
      <c r="AB70">
        <v>9.51</v>
      </c>
      <c r="AC70">
        <v>0</v>
      </c>
      <c r="AD70">
        <v>1</v>
      </c>
      <c r="AE70">
        <v>1</v>
      </c>
      <c r="AF70" t="s">
        <v>3</v>
      </c>
      <c r="AG70">
        <v>1.56</v>
      </c>
      <c r="AH70">
        <v>2</v>
      </c>
      <c r="AI70">
        <v>43157208</v>
      </c>
      <c r="AJ70">
        <v>68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ROW(Source!A42)</f>
        <v>42</v>
      </c>
      <c r="B71">
        <v>43157224</v>
      </c>
      <c r="C71">
        <v>43157207</v>
      </c>
      <c r="D71">
        <v>29172657</v>
      </c>
      <c r="E71">
        <v>1</v>
      </c>
      <c r="F71">
        <v>1</v>
      </c>
      <c r="G71">
        <v>1</v>
      </c>
      <c r="H71">
        <v>2</v>
      </c>
      <c r="I71" t="s">
        <v>358</v>
      </c>
      <c r="J71" t="s">
        <v>359</v>
      </c>
      <c r="K71" t="s">
        <v>360</v>
      </c>
      <c r="L71">
        <v>1368</v>
      </c>
      <c r="N71">
        <v>1011</v>
      </c>
      <c r="O71" t="s">
        <v>343</v>
      </c>
      <c r="P71" t="s">
        <v>343</v>
      </c>
      <c r="Q71">
        <v>1</v>
      </c>
      <c r="X71">
        <v>0.13</v>
      </c>
      <c r="Y71">
        <v>0</v>
      </c>
      <c r="Z71">
        <v>8.1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0.13</v>
      </c>
      <c r="AH71">
        <v>2</v>
      </c>
      <c r="AI71">
        <v>43157209</v>
      </c>
      <c r="AJ71">
        <v>69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ROW(Source!A42)</f>
        <v>42</v>
      </c>
      <c r="B72">
        <v>43157225</v>
      </c>
      <c r="C72">
        <v>43157207</v>
      </c>
      <c r="D72">
        <v>29174500</v>
      </c>
      <c r="E72">
        <v>1</v>
      </c>
      <c r="F72">
        <v>1</v>
      </c>
      <c r="G72">
        <v>1</v>
      </c>
      <c r="H72">
        <v>2</v>
      </c>
      <c r="I72" t="s">
        <v>340</v>
      </c>
      <c r="J72" t="s">
        <v>341</v>
      </c>
      <c r="K72" t="s">
        <v>342</v>
      </c>
      <c r="L72">
        <v>1368</v>
      </c>
      <c r="N72">
        <v>1011</v>
      </c>
      <c r="O72" t="s">
        <v>343</v>
      </c>
      <c r="P72" t="s">
        <v>343</v>
      </c>
      <c r="Q72">
        <v>1</v>
      </c>
      <c r="X72">
        <v>0.04</v>
      </c>
      <c r="Y72">
        <v>0</v>
      </c>
      <c r="Z72">
        <v>1.95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0.04</v>
      </c>
      <c r="AH72">
        <v>2</v>
      </c>
      <c r="AI72">
        <v>43157210</v>
      </c>
      <c r="AJ72">
        <v>70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ROW(Source!A42)</f>
        <v>42</v>
      </c>
      <c r="B73">
        <v>43157226</v>
      </c>
      <c r="C73">
        <v>43157207</v>
      </c>
      <c r="D73">
        <v>29110546</v>
      </c>
      <c r="E73">
        <v>1</v>
      </c>
      <c r="F73">
        <v>1</v>
      </c>
      <c r="G73">
        <v>1</v>
      </c>
      <c r="H73">
        <v>3</v>
      </c>
      <c r="I73" t="s">
        <v>384</v>
      </c>
      <c r="J73" t="s">
        <v>385</v>
      </c>
      <c r="K73" t="s">
        <v>386</v>
      </c>
      <c r="L73">
        <v>1346</v>
      </c>
      <c r="N73">
        <v>1009</v>
      </c>
      <c r="O73" t="s">
        <v>315</v>
      </c>
      <c r="P73" t="s">
        <v>315</v>
      </c>
      <c r="Q73">
        <v>1</v>
      </c>
      <c r="X73">
        <v>6.0000000000000001E-3</v>
      </c>
      <c r="Y73">
        <v>35.630000000000003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6.0000000000000001E-3</v>
      </c>
      <c r="AH73">
        <v>2</v>
      </c>
      <c r="AI73">
        <v>43157211</v>
      </c>
      <c r="AJ73">
        <v>71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ROW(Source!A42)</f>
        <v>42</v>
      </c>
      <c r="B74">
        <v>43157227</v>
      </c>
      <c r="C74">
        <v>43157207</v>
      </c>
      <c r="D74">
        <v>29113980</v>
      </c>
      <c r="E74">
        <v>1</v>
      </c>
      <c r="F74">
        <v>1</v>
      </c>
      <c r="G74">
        <v>1</v>
      </c>
      <c r="H74">
        <v>3</v>
      </c>
      <c r="I74" t="s">
        <v>370</v>
      </c>
      <c r="J74" t="s">
        <v>371</v>
      </c>
      <c r="K74" t="s">
        <v>372</v>
      </c>
      <c r="L74">
        <v>1346</v>
      </c>
      <c r="N74">
        <v>1009</v>
      </c>
      <c r="O74" t="s">
        <v>315</v>
      </c>
      <c r="P74" t="s">
        <v>315</v>
      </c>
      <c r="Q74">
        <v>1</v>
      </c>
      <c r="X74">
        <v>7.0000000000000007E-2</v>
      </c>
      <c r="Y74">
        <v>14.31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7.0000000000000007E-2</v>
      </c>
      <c r="AH74">
        <v>2</v>
      </c>
      <c r="AI74">
        <v>43157212</v>
      </c>
      <c r="AJ74">
        <v>72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ROW(Source!A42)</f>
        <v>42</v>
      </c>
      <c r="B75">
        <v>43157228</v>
      </c>
      <c r="C75">
        <v>43157207</v>
      </c>
      <c r="D75">
        <v>29108369</v>
      </c>
      <c r="E75">
        <v>1</v>
      </c>
      <c r="F75">
        <v>1</v>
      </c>
      <c r="G75">
        <v>1</v>
      </c>
      <c r="H75">
        <v>3</v>
      </c>
      <c r="I75" t="s">
        <v>437</v>
      </c>
      <c r="J75" t="s">
        <v>438</v>
      </c>
      <c r="K75" t="s">
        <v>439</v>
      </c>
      <c r="L75">
        <v>1346</v>
      </c>
      <c r="N75">
        <v>1009</v>
      </c>
      <c r="O75" t="s">
        <v>315</v>
      </c>
      <c r="P75" t="s">
        <v>315</v>
      </c>
      <c r="Q75">
        <v>1</v>
      </c>
      <c r="X75">
        <v>1E-3</v>
      </c>
      <c r="Y75">
        <v>18.899999999999999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1E-3</v>
      </c>
      <c r="AH75">
        <v>2</v>
      </c>
      <c r="AI75">
        <v>43157213</v>
      </c>
      <c r="AJ75">
        <v>73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ROW(Source!A42)</f>
        <v>42</v>
      </c>
      <c r="B76">
        <v>43157229</v>
      </c>
      <c r="C76">
        <v>43157207</v>
      </c>
      <c r="D76">
        <v>29114246</v>
      </c>
      <c r="E76">
        <v>1</v>
      </c>
      <c r="F76">
        <v>1</v>
      </c>
      <c r="G76">
        <v>1</v>
      </c>
      <c r="H76">
        <v>3</v>
      </c>
      <c r="I76" t="s">
        <v>373</v>
      </c>
      <c r="J76" t="s">
        <v>374</v>
      </c>
      <c r="K76" t="s">
        <v>375</v>
      </c>
      <c r="L76">
        <v>1346</v>
      </c>
      <c r="N76">
        <v>1009</v>
      </c>
      <c r="O76" t="s">
        <v>315</v>
      </c>
      <c r="P76" t="s">
        <v>315</v>
      </c>
      <c r="Q76">
        <v>1</v>
      </c>
      <c r="X76">
        <v>4.9000000000000002E-2</v>
      </c>
      <c r="Y76">
        <v>9.0399999999999991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4.9000000000000002E-2</v>
      </c>
      <c r="AH76">
        <v>2</v>
      </c>
      <c r="AI76">
        <v>43157214</v>
      </c>
      <c r="AJ76">
        <v>74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ROW(Source!A42)</f>
        <v>42</v>
      </c>
      <c r="B77">
        <v>43157230</v>
      </c>
      <c r="C77">
        <v>43157207</v>
      </c>
      <c r="D77">
        <v>29110426</v>
      </c>
      <c r="E77">
        <v>1</v>
      </c>
      <c r="F77">
        <v>1</v>
      </c>
      <c r="G77">
        <v>1</v>
      </c>
      <c r="H77">
        <v>3</v>
      </c>
      <c r="I77" t="s">
        <v>376</v>
      </c>
      <c r="J77" t="s">
        <v>377</v>
      </c>
      <c r="K77" t="s">
        <v>378</v>
      </c>
      <c r="L77">
        <v>1346</v>
      </c>
      <c r="N77">
        <v>1009</v>
      </c>
      <c r="O77" t="s">
        <v>315</v>
      </c>
      <c r="P77" t="s">
        <v>315</v>
      </c>
      <c r="Q77">
        <v>1</v>
      </c>
      <c r="X77">
        <v>3.5999999999999997E-2</v>
      </c>
      <c r="Y77">
        <v>28.67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3.5999999999999997E-2</v>
      </c>
      <c r="AH77">
        <v>2</v>
      </c>
      <c r="AI77">
        <v>43157215</v>
      </c>
      <c r="AJ77">
        <v>75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ROW(Source!A42)</f>
        <v>42</v>
      </c>
      <c r="B78">
        <v>43157231</v>
      </c>
      <c r="C78">
        <v>43157207</v>
      </c>
      <c r="D78">
        <v>29107961</v>
      </c>
      <c r="E78">
        <v>1</v>
      </c>
      <c r="F78">
        <v>1</v>
      </c>
      <c r="G78">
        <v>1</v>
      </c>
      <c r="H78">
        <v>3</v>
      </c>
      <c r="I78" t="s">
        <v>440</v>
      </c>
      <c r="J78" t="s">
        <v>441</v>
      </c>
      <c r="K78" t="s">
        <v>442</v>
      </c>
      <c r="L78">
        <v>1346</v>
      </c>
      <c r="N78">
        <v>1009</v>
      </c>
      <c r="O78" t="s">
        <v>315</v>
      </c>
      <c r="P78" t="s">
        <v>315</v>
      </c>
      <c r="Q78">
        <v>1</v>
      </c>
      <c r="X78">
        <v>1E-3</v>
      </c>
      <c r="Y78">
        <v>133.05000000000001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1E-3</v>
      </c>
      <c r="AH78">
        <v>2</v>
      </c>
      <c r="AI78">
        <v>43157216</v>
      </c>
      <c r="AJ78">
        <v>76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ROW(Source!A42)</f>
        <v>42</v>
      </c>
      <c r="B79">
        <v>43157232</v>
      </c>
      <c r="C79">
        <v>43157207</v>
      </c>
      <c r="D79">
        <v>29110838</v>
      </c>
      <c r="E79">
        <v>1</v>
      </c>
      <c r="F79">
        <v>1</v>
      </c>
      <c r="G79">
        <v>1</v>
      </c>
      <c r="H79">
        <v>3</v>
      </c>
      <c r="I79" t="s">
        <v>443</v>
      </c>
      <c r="J79" t="s">
        <v>444</v>
      </c>
      <c r="K79" t="s">
        <v>445</v>
      </c>
      <c r="L79">
        <v>1346</v>
      </c>
      <c r="N79">
        <v>1009</v>
      </c>
      <c r="O79" t="s">
        <v>315</v>
      </c>
      <c r="P79" t="s">
        <v>315</v>
      </c>
      <c r="Q79">
        <v>1</v>
      </c>
      <c r="X79">
        <v>1.2E-2</v>
      </c>
      <c r="Y79">
        <v>30.5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1.2E-2</v>
      </c>
      <c r="AH79">
        <v>2</v>
      </c>
      <c r="AI79">
        <v>43157217</v>
      </c>
      <c r="AJ79">
        <v>77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ROW(Source!A42)</f>
        <v>42</v>
      </c>
      <c r="B80">
        <v>43157233</v>
      </c>
      <c r="C80">
        <v>43157207</v>
      </c>
      <c r="D80">
        <v>29114470</v>
      </c>
      <c r="E80">
        <v>1</v>
      </c>
      <c r="F80">
        <v>1</v>
      </c>
      <c r="G80">
        <v>1</v>
      </c>
      <c r="H80">
        <v>3</v>
      </c>
      <c r="I80" t="s">
        <v>446</v>
      </c>
      <c r="J80" t="s">
        <v>447</v>
      </c>
      <c r="K80" t="s">
        <v>448</v>
      </c>
      <c r="L80">
        <v>1355</v>
      </c>
      <c r="N80">
        <v>1010</v>
      </c>
      <c r="O80" t="s">
        <v>347</v>
      </c>
      <c r="P80" t="s">
        <v>347</v>
      </c>
      <c r="Q80">
        <v>100</v>
      </c>
      <c r="X80">
        <v>1.4E-2</v>
      </c>
      <c r="Y80">
        <v>86.24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1.4E-2</v>
      </c>
      <c r="AH80">
        <v>2</v>
      </c>
      <c r="AI80">
        <v>43157218</v>
      </c>
      <c r="AJ80">
        <v>78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ROW(Source!A42)</f>
        <v>42</v>
      </c>
      <c r="B81">
        <v>43157234</v>
      </c>
      <c r="C81">
        <v>43157207</v>
      </c>
      <c r="D81">
        <v>29129474</v>
      </c>
      <c r="E81">
        <v>1</v>
      </c>
      <c r="F81">
        <v>1</v>
      </c>
      <c r="G81">
        <v>1</v>
      </c>
      <c r="H81">
        <v>3</v>
      </c>
      <c r="I81" t="s">
        <v>449</v>
      </c>
      <c r="J81" t="s">
        <v>450</v>
      </c>
      <c r="K81" t="s">
        <v>451</v>
      </c>
      <c r="L81">
        <v>1348</v>
      </c>
      <c r="N81">
        <v>1009</v>
      </c>
      <c r="O81" t="s">
        <v>308</v>
      </c>
      <c r="P81" t="s">
        <v>308</v>
      </c>
      <c r="Q81">
        <v>1000</v>
      </c>
      <c r="X81">
        <v>1E-3</v>
      </c>
      <c r="Y81">
        <v>11534.49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1E-3</v>
      </c>
      <c r="AH81">
        <v>2</v>
      </c>
      <c r="AI81">
        <v>43157219</v>
      </c>
      <c r="AJ81">
        <v>79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ROW(Source!A42)</f>
        <v>42</v>
      </c>
      <c r="B82">
        <v>43157235</v>
      </c>
      <c r="C82">
        <v>43157207</v>
      </c>
      <c r="D82">
        <v>29165774</v>
      </c>
      <c r="E82">
        <v>1</v>
      </c>
      <c r="F82">
        <v>1</v>
      </c>
      <c r="G82">
        <v>1</v>
      </c>
      <c r="H82">
        <v>3</v>
      </c>
      <c r="I82" t="s">
        <v>452</v>
      </c>
      <c r="J82" t="s">
        <v>453</v>
      </c>
      <c r="K82" t="s">
        <v>454</v>
      </c>
      <c r="L82">
        <v>1358</v>
      </c>
      <c r="N82">
        <v>1010</v>
      </c>
      <c r="O82" t="s">
        <v>115</v>
      </c>
      <c r="P82" t="s">
        <v>115</v>
      </c>
      <c r="Q82">
        <v>10</v>
      </c>
      <c r="X82">
        <v>0.1</v>
      </c>
      <c r="Y82">
        <v>40.9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0.1</v>
      </c>
      <c r="AH82">
        <v>2</v>
      </c>
      <c r="AI82">
        <v>43157220</v>
      </c>
      <c r="AJ82">
        <v>80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ROW(Source!A42)</f>
        <v>42</v>
      </c>
      <c r="B83">
        <v>43157236</v>
      </c>
      <c r="C83">
        <v>43157207</v>
      </c>
      <c r="D83">
        <v>29171708</v>
      </c>
      <c r="E83">
        <v>1</v>
      </c>
      <c r="F83">
        <v>1</v>
      </c>
      <c r="G83">
        <v>1</v>
      </c>
      <c r="H83">
        <v>3</v>
      </c>
      <c r="I83" t="s">
        <v>455</v>
      </c>
      <c r="J83" t="s">
        <v>456</v>
      </c>
      <c r="K83" t="s">
        <v>457</v>
      </c>
      <c r="L83">
        <v>1346</v>
      </c>
      <c r="N83">
        <v>1009</v>
      </c>
      <c r="O83" t="s">
        <v>315</v>
      </c>
      <c r="P83" t="s">
        <v>315</v>
      </c>
      <c r="Q83">
        <v>1</v>
      </c>
      <c r="X83">
        <v>6.0000000000000001E-3</v>
      </c>
      <c r="Y83">
        <v>30.6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6.0000000000000001E-3</v>
      </c>
      <c r="AH83">
        <v>2</v>
      </c>
      <c r="AI83">
        <v>43157221</v>
      </c>
      <c r="AJ83">
        <v>81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ROW(Source!A42)</f>
        <v>42</v>
      </c>
      <c r="B84">
        <v>43157237</v>
      </c>
      <c r="C84">
        <v>43157207</v>
      </c>
      <c r="D84">
        <v>29171808</v>
      </c>
      <c r="E84">
        <v>1</v>
      </c>
      <c r="F84">
        <v>1</v>
      </c>
      <c r="G84">
        <v>1</v>
      </c>
      <c r="H84">
        <v>3</v>
      </c>
      <c r="I84" t="s">
        <v>334</v>
      </c>
      <c r="J84" t="s">
        <v>335</v>
      </c>
      <c r="K84" t="s">
        <v>336</v>
      </c>
      <c r="L84">
        <v>1374</v>
      </c>
      <c r="N84">
        <v>1013</v>
      </c>
      <c r="O84" t="s">
        <v>337</v>
      </c>
      <c r="P84" t="s">
        <v>337</v>
      </c>
      <c r="Q84">
        <v>1</v>
      </c>
      <c r="X84">
        <v>0.3</v>
      </c>
      <c r="Y84">
        <v>1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0.3</v>
      </c>
      <c r="AH84">
        <v>2</v>
      </c>
      <c r="AI84">
        <v>43157222</v>
      </c>
      <c r="AJ84">
        <v>82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ROW(Source!A45)</f>
        <v>45</v>
      </c>
      <c r="B85">
        <v>43157250</v>
      </c>
      <c r="C85">
        <v>43157240</v>
      </c>
      <c r="D85">
        <v>29361034</v>
      </c>
      <c r="E85">
        <v>1</v>
      </c>
      <c r="F85">
        <v>1</v>
      </c>
      <c r="G85">
        <v>1</v>
      </c>
      <c r="H85">
        <v>1</v>
      </c>
      <c r="I85" t="s">
        <v>458</v>
      </c>
      <c r="J85" t="s">
        <v>3</v>
      </c>
      <c r="K85" t="s">
        <v>459</v>
      </c>
      <c r="L85">
        <v>1369</v>
      </c>
      <c r="N85">
        <v>1013</v>
      </c>
      <c r="O85" t="s">
        <v>304</v>
      </c>
      <c r="P85" t="s">
        <v>304</v>
      </c>
      <c r="Q85">
        <v>1</v>
      </c>
      <c r="X85">
        <v>19.04</v>
      </c>
      <c r="Y85">
        <v>0</v>
      </c>
      <c r="Z85">
        <v>0</v>
      </c>
      <c r="AA85">
        <v>0</v>
      </c>
      <c r="AB85">
        <v>9.4</v>
      </c>
      <c r="AC85">
        <v>0</v>
      </c>
      <c r="AD85">
        <v>1</v>
      </c>
      <c r="AE85">
        <v>1</v>
      </c>
      <c r="AF85" t="s">
        <v>3</v>
      </c>
      <c r="AG85">
        <v>19.04</v>
      </c>
      <c r="AH85">
        <v>2</v>
      </c>
      <c r="AI85">
        <v>43157241</v>
      </c>
      <c r="AJ85">
        <v>83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ROW(Source!A45)</f>
        <v>45</v>
      </c>
      <c r="B86">
        <v>43157251</v>
      </c>
      <c r="C86">
        <v>43157240</v>
      </c>
      <c r="D86">
        <v>121548</v>
      </c>
      <c r="E86">
        <v>1</v>
      </c>
      <c r="F86">
        <v>1</v>
      </c>
      <c r="G86">
        <v>1</v>
      </c>
      <c r="H86">
        <v>1</v>
      </c>
      <c r="I86" t="s">
        <v>28</v>
      </c>
      <c r="J86" t="s">
        <v>3</v>
      </c>
      <c r="K86" t="s">
        <v>353</v>
      </c>
      <c r="L86">
        <v>608254</v>
      </c>
      <c r="N86">
        <v>1013</v>
      </c>
      <c r="O86" t="s">
        <v>354</v>
      </c>
      <c r="P86" t="s">
        <v>354</v>
      </c>
      <c r="Q86">
        <v>1</v>
      </c>
      <c r="X86">
        <v>0.09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2</v>
      </c>
      <c r="AF86" t="s">
        <v>3</v>
      </c>
      <c r="AG86">
        <v>0.09</v>
      </c>
      <c r="AH86">
        <v>2</v>
      </c>
      <c r="AI86">
        <v>43157242</v>
      </c>
      <c r="AJ86">
        <v>84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ROW(Source!A45)</f>
        <v>45</v>
      </c>
      <c r="B87">
        <v>43157252</v>
      </c>
      <c r="C87">
        <v>43157240</v>
      </c>
      <c r="D87">
        <v>29172362</v>
      </c>
      <c r="E87">
        <v>1</v>
      </c>
      <c r="F87">
        <v>1</v>
      </c>
      <c r="G87">
        <v>1</v>
      </c>
      <c r="H87">
        <v>2</v>
      </c>
      <c r="I87" t="s">
        <v>355</v>
      </c>
      <c r="J87" t="s">
        <v>356</v>
      </c>
      <c r="K87" t="s">
        <v>357</v>
      </c>
      <c r="L87">
        <v>1368</v>
      </c>
      <c r="N87">
        <v>1011</v>
      </c>
      <c r="O87" t="s">
        <v>343</v>
      </c>
      <c r="P87" t="s">
        <v>343</v>
      </c>
      <c r="Q87">
        <v>1</v>
      </c>
      <c r="X87">
        <v>0.09</v>
      </c>
      <c r="Y87">
        <v>0</v>
      </c>
      <c r="Z87">
        <v>134.65</v>
      </c>
      <c r="AA87">
        <v>13.5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0.09</v>
      </c>
      <c r="AH87">
        <v>2</v>
      </c>
      <c r="AI87">
        <v>43157243</v>
      </c>
      <c r="AJ87">
        <v>85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ROW(Source!A45)</f>
        <v>45</v>
      </c>
      <c r="B88">
        <v>43157253</v>
      </c>
      <c r="C88">
        <v>43157240</v>
      </c>
      <c r="D88">
        <v>29172657</v>
      </c>
      <c r="E88">
        <v>1</v>
      </c>
      <c r="F88">
        <v>1</v>
      </c>
      <c r="G88">
        <v>1</v>
      </c>
      <c r="H88">
        <v>2</v>
      </c>
      <c r="I88" t="s">
        <v>358</v>
      </c>
      <c r="J88" t="s">
        <v>359</v>
      </c>
      <c r="K88" t="s">
        <v>360</v>
      </c>
      <c r="L88">
        <v>1368</v>
      </c>
      <c r="N88">
        <v>1011</v>
      </c>
      <c r="O88" t="s">
        <v>343</v>
      </c>
      <c r="P88" t="s">
        <v>343</v>
      </c>
      <c r="Q88">
        <v>1</v>
      </c>
      <c r="X88">
        <v>2.16</v>
      </c>
      <c r="Y88">
        <v>0</v>
      </c>
      <c r="Z88">
        <v>8.1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2.16</v>
      </c>
      <c r="AH88">
        <v>2</v>
      </c>
      <c r="AI88">
        <v>43157244</v>
      </c>
      <c r="AJ88">
        <v>86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ROW(Source!A45)</f>
        <v>45</v>
      </c>
      <c r="B89">
        <v>43157254</v>
      </c>
      <c r="C89">
        <v>43157240</v>
      </c>
      <c r="D89">
        <v>29174580</v>
      </c>
      <c r="E89">
        <v>1</v>
      </c>
      <c r="F89">
        <v>1</v>
      </c>
      <c r="G89">
        <v>1</v>
      </c>
      <c r="H89">
        <v>2</v>
      </c>
      <c r="I89" t="s">
        <v>460</v>
      </c>
      <c r="J89" t="s">
        <v>461</v>
      </c>
      <c r="K89" t="s">
        <v>462</v>
      </c>
      <c r="L89">
        <v>1368</v>
      </c>
      <c r="N89">
        <v>1011</v>
      </c>
      <c r="O89" t="s">
        <v>343</v>
      </c>
      <c r="P89" t="s">
        <v>343</v>
      </c>
      <c r="Q89">
        <v>1</v>
      </c>
      <c r="X89">
        <v>3.87</v>
      </c>
      <c r="Y89">
        <v>0</v>
      </c>
      <c r="Z89">
        <v>2.08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3.87</v>
      </c>
      <c r="AH89">
        <v>2</v>
      </c>
      <c r="AI89">
        <v>43157245</v>
      </c>
      <c r="AJ89">
        <v>87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ROW(Source!A45)</f>
        <v>45</v>
      </c>
      <c r="B90">
        <v>43157255</v>
      </c>
      <c r="C90">
        <v>43157240</v>
      </c>
      <c r="D90">
        <v>29174913</v>
      </c>
      <c r="E90">
        <v>1</v>
      </c>
      <c r="F90">
        <v>1</v>
      </c>
      <c r="G90">
        <v>1</v>
      </c>
      <c r="H90">
        <v>2</v>
      </c>
      <c r="I90" t="s">
        <v>367</v>
      </c>
      <c r="J90" t="s">
        <v>368</v>
      </c>
      <c r="K90" t="s">
        <v>369</v>
      </c>
      <c r="L90">
        <v>1368</v>
      </c>
      <c r="N90">
        <v>1011</v>
      </c>
      <c r="O90" t="s">
        <v>343</v>
      </c>
      <c r="P90" t="s">
        <v>343</v>
      </c>
      <c r="Q90">
        <v>1</v>
      </c>
      <c r="X90">
        <v>0.09</v>
      </c>
      <c r="Y90">
        <v>0</v>
      </c>
      <c r="Z90">
        <v>87.17</v>
      </c>
      <c r="AA90">
        <v>11.6</v>
      </c>
      <c r="AB90">
        <v>0</v>
      </c>
      <c r="AC90">
        <v>0</v>
      </c>
      <c r="AD90">
        <v>1</v>
      </c>
      <c r="AE90">
        <v>0</v>
      </c>
      <c r="AF90" t="s">
        <v>3</v>
      </c>
      <c r="AG90">
        <v>0.09</v>
      </c>
      <c r="AH90">
        <v>2</v>
      </c>
      <c r="AI90">
        <v>43157246</v>
      </c>
      <c r="AJ90">
        <v>88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ROW(Source!A45)</f>
        <v>45</v>
      </c>
      <c r="B91">
        <v>43157256</v>
      </c>
      <c r="C91">
        <v>43157240</v>
      </c>
      <c r="D91">
        <v>29113980</v>
      </c>
      <c r="E91">
        <v>1</v>
      </c>
      <c r="F91">
        <v>1</v>
      </c>
      <c r="G91">
        <v>1</v>
      </c>
      <c r="H91">
        <v>3</v>
      </c>
      <c r="I91" t="s">
        <v>370</v>
      </c>
      <c r="J91" t="s">
        <v>371</v>
      </c>
      <c r="K91" t="s">
        <v>372</v>
      </c>
      <c r="L91">
        <v>1346</v>
      </c>
      <c r="N91">
        <v>1009</v>
      </c>
      <c r="O91" t="s">
        <v>315</v>
      </c>
      <c r="P91" t="s">
        <v>315</v>
      </c>
      <c r="Q91">
        <v>1</v>
      </c>
      <c r="X91">
        <v>0.96</v>
      </c>
      <c r="Y91">
        <v>14.31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3</v>
      </c>
      <c r="AG91">
        <v>0.96</v>
      </c>
      <c r="AH91">
        <v>2</v>
      </c>
      <c r="AI91">
        <v>43157247</v>
      </c>
      <c r="AJ91">
        <v>89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ROW(Source!A45)</f>
        <v>45</v>
      </c>
      <c r="B92">
        <v>43157257</v>
      </c>
      <c r="C92">
        <v>43157240</v>
      </c>
      <c r="D92">
        <v>29122308</v>
      </c>
      <c r="E92">
        <v>1</v>
      </c>
      <c r="F92">
        <v>1</v>
      </c>
      <c r="G92">
        <v>1</v>
      </c>
      <c r="H92">
        <v>3</v>
      </c>
      <c r="I92" t="s">
        <v>463</v>
      </c>
      <c r="J92" t="s">
        <v>464</v>
      </c>
      <c r="K92" t="s">
        <v>465</v>
      </c>
      <c r="L92">
        <v>1346</v>
      </c>
      <c r="N92">
        <v>1009</v>
      </c>
      <c r="O92" t="s">
        <v>315</v>
      </c>
      <c r="P92" t="s">
        <v>315</v>
      </c>
      <c r="Q92">
        <v>1</v>
      </c>
      <c r="X92">
        <v>0.2</v>
      </c>
      <c r="Y92">
        <v>34.020000000000003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0.2</v>
      </c>
      <c r="AH92">
        <v>2</v>
      </c>
      <c r="AI92">
        <v>43157248</v>
      </c>
      <c r="AJ92">
        <v>90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ROW(Source!A45)</f>
        <v>45</v>
      </c>
      <c r="B93">
        <v>43157258</v>
      </c>
      <c r="C93">
        <v>43157240</v>
      </c>
      <c r="D93">
        <v>29171808</v>
      </c>
      <c r="E93">
        <v>1</v>
      </c>
      <c r="F93">
        <v>1</v>
      </c>
      <c r="G93">
        <v>1</v>
      </c>
      <c r="H93">
        <v>3</v>
      </c>
      <c r="I93" t="s">
        <v>334</v>
      </c>
      <c r="J93" t="s">
        <v>335</v>
      </c>
      <c r="K93" t="s">
        <v>336</v>
      </c>
      <c r="L93">
        <v>1374</v>
      </c>
      <c r="N93">
        <v>1013</v>
      </c>
      <c r="O93" t="s">
        <v>337</v>
      </c>
      <c r="P93" t="s">
        <v>337</v>
      </c>
      <c r="Q93">
        <v>1</v>
      </c>
      <c r="X93">
        <v>3.58</v>
      </c>
      <c r="Y93">
        <v>1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3.58</v>
      </c>
      <c r="AH93">
        <v>2</v>
      </c>
      <c r="AI93">
        <v>43157249</v>
      </c>
      <c r="AJ93">
        <v>91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ROW(Source!A48)</f>
        <v>48</v>
      </c>
      <c r="B94">
        <v>43157270</v>
      </c>
      <c r="C94">
        <v>43157261</v>
      </c>
      <c r="D94">
        <v>18410280</v>
      </c>
      <c r="E94">
        <v>1</v>
      </c>
      <c r="F94">
        <v>1</v>
      </c>
      <c r="G94">
        <v>1</v>
      </c>
      <c r="H94">
        <v>1</v>
      </c>
      <c r="I94" t="s">
        <v>466</v>
      </c>
      <c r="J94" t="s">
        <v>3</v>
      </c>
      <c r="K94" t="s">
        <v>467</v>
      </c>
      <c r="L94">
        <v>1369</v>
      </c>
      <c r="N94">
        <v>1013</v>
      </c>
      <c r="O94" t="s">
        <v>304</v>
      </c>
      <c r="P94" t="s">
        <v>304</v>
      </c>
      <c r="Q94">
        <v>1</v>
      </c>
      <c r="X94">
        <v>16.29</v>
      </c>
      <c r="Y94">
        <v>0</v>
      </c>
      <c r="Z94">
        <v>0</v>
      </c>
      <c r="AA94">
        <v>0</v>
      </c>
      <c r="AB94">
        <v>9.51</v>
      </c>
      <c r="AC94">
        <v>0</v>
      </c>
      <c r="AD94">
        <v>1</v>
      </c>
      <c r="AE94">
        <v>1</v>
      </c>
      <c r="AF94" t="s">
        <v>3</v>
      </c>
      <c r="AG94">
        <v>16.29</v>
      </c>
      <c r="AH94">
        <v>2</v>
      </c>
      <c r="AI94">
        <v>43157262</v>
      </c>
      <c r="AJ94">
        <v>92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ROW(Source!A48)</f>
        <v>48</v>
      </c>
      <c r="B95">
        <v>43157271</v>
      </c>
      <c r="C95">
        <v>43157261</v>
      </c>
      <c r="D95">
        <v>121548</v>
      </c>
      <c r="E95">
        <v>1</v>
      </c>
      <c r="F95">
        <v>1</v>
      </c>
      <c r="G95">
        <v>1</v>
      </c>
      <c r="H95">
        <v>1</v>
      </c>
      <c r="I95" t="s">
        <v>28</v>
      </c>
      <c r="J95" t="s">
        <v>3</v>
      </c>
      <c r="K95" t="s">
        <v>353</v>
      </c>
      <c r="L95">
        <v>608254</v>
      </c>
      <c r="N95">
        <v>1013</v>
      </c>
      <c r="O95" t="s">
        <v>354</v>
      </c>
      <c r="P95" t="s">
        <v>354</v>
      </c>
      <c r="Q95">
        <v>1</v>
      </c>
      <c r="X95">
        <v>0.01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2</v>
      </c>
      <c r="AF95" t="s">
        <v>3</v>
      </c>
      <c r="AG95">
        <v>0.01</v>
      </c>
      <c r="AH95">
        <v>2</v>
      </c>
      <c r="AI95">
        <v>43157263</v>
      </c>
      <c r="AJ95">
        <v>93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ROW(Source!A48)</f>
        <v>48</v>
      </c>
      <c r="B96">
        <v>43157272</v>
      </c>
      <c r="C96">
        <v>43157261</v>
      </c>
      <c r="D96">
        <v>29172556</v>
      </c>
      <c r="E96">
        <v>1</v>
      </c>
      <c r="F96">
        <v>1</v>
      </c>
      <c r="G96">
        <v>1</v>
      </c>
      <c r="H96">
        <v>2</v>
      </c>
      <c r="I96" t="s">
        <v>468</v>
      </c>
      <c r="J96" t="s">
        <v>469</v>
      </c>
      <c r="K96" t="s">
        <v>470</v>
      </c>
      <c r="L96">
        <v>1368</v>
      </c>
      <c r="N96">
        <v>1011</v>
      </c>
      <c r="O96" t="s">
        <v>343</v>
      </c>
      <c r="P96" t="s">
        <v>343</v>
      </c>
      <c r="Q96">
        <v>1</v>
      </c>
      <c r="X96">
        <v>0.01</v>
      </c>
      <c r="Y96">
        <v>0</v>
      </c>
      <c r="Z96">
        <v>31.26</v>
      </c>
      <c r="AA96">
        <v>13.5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0.01</v>
      </c>
      <c r="AH96">
        <v>2</v>
      </c>
      <c r="AI96">
        <v>43157264</v>
      </c>
      <c r="AJ96">
        <v>94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ROW(Source!A48)</f>
        <v>48</v>
      </c>
      <c r="B97">
        <v>43157273</v>
      </c>
      <c r="C97">
        <v>43157261</v>
      </c>
      <c r="D97">
        <v>29173472</v>
      </c>
      <c r="E97">
        <v>1</v>
      </c>
      <c r="F97">
        <v>1</v>
      </c>
      <c r="G97">
        <v>1</v>
      </c>
      <c r="H97">
        <v>2</v>
      </c>
      <c r="I97" t="s">
        <v>471</v>
      </c>
      <c r="J97" t="s">
        <v>472</v>
      </c>
      <c r="K97" t="s">
        <v>473</v>
      </c>
      <c r="L97">
        <v>1368</v>
      </c>
      <c r="N97">
        <v>1011</v>
      </c>
      <c r="O97" t="s">
        <v>343</v>
      </c>
      <c r="P97" t="s">
        <v>343</v>
      </c>
      <c r="Q97">
        <v>1</v>
      </c>
      <c r="X97">
        <v>6.08</v>
      </c>
      <c r="Y97">
        <v>0</v>
      </c>
      <c r="Z97">
        <v>3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6.08</v>
      </c>
      <c r="AH97">
        <v>2</v>
      </c>
      <c r="AI97">
        <v>43157265</v>
      </c>
      <c r="AJ97">
        <v>95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ROW(Source!A48)</f>
        <v>48</v>
      </c>
      <c r="B98">
        <v>43157274</v>
      </c>
      <c r="C98">
        <v>43157261</v>
      </c>
      <c r="D98">
        <v>29174580</v>
      </c>
      <c r="E98">
        <v>1</v>
      </c>
      <c r="F98">
        <v>1</v>
      </c>
      <c r="G98">
        <v>1</v>
      </c>
      <c r="H98">
        <v>2</v>
      </c>
      <c r="I98" t="s">
        <v>460</v>
      </c>
      <c r="J98" t="s">
        <v>461</v>
      </c>
      <c r="K98" t="s">
        <v>462</v>
      </c>
      <c r="L98">
        <v>1368</v>
      </c>
      <c r="N98">
        <v>1011</v>
      </c>
      <c r="O98" t="s">
        <v>343</v>
      </c>
      <c r="P98" t="s">
        <v>343</v>
      </c>
      <c r="Q98">
        <v>1</v>
      </c>
      <c r="X98">
        <v>6.08</v>
      </c>
      <c r="Y98">
        <v>0</v>
      </c>
      <c r="Z98">
        <v>2.08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6.08</v>
      </c>
      <c r="AH98">
        <v>2</v>
      </c>
      <c r="AI98">
        <v>43157266</v>
      </c>
      <c r="AJ98">
        <v>96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ROW(Source!A48)</f>
        <v>48</v>
      </c>
      <c r="B99">
        <v>43157275</v>
      </c>
      <c r="C99">
        <v>43157261</v>
      </c>
      <c r="D99">
        <v>29114688</v>
      </c>
      <c r="E99">
        <v>1</v>
      </c>
      <c r="F99">
        <v>1</v>
      </c>
      <c r="G99">
        <v>1</v>
      </c>
      <c r="H99">
        <v>3</v>
      </c>
      <c r="I99" t="s">
        <v>474</v>
      </c>
      <c r="J99" t="s">
        <v>475</v>
      </c>
      <c r="K99" t="s">
        <v>476</v>
      </c>
      <c r="L99">
        <v>1348</v>
      </c>
      <c r="N99">
        <v>1009</v>
      </c>
      <c r="O99" t="s">
        <v>308</v>
      </c>
      <c r="P99" t="s">
        <v>308</v>
      </c>
      <c r="Q99">
        <v>1000</v>
      </c>
      <c r="X99">
        <v>1E-3</v>
      </c>
      <c r="Y99">
        <v>12430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1E-3</v>
      </c>
      <c r="AH99">
        <v>2</v>
      </c>
      <c r="AI99">
        <v>43157267</v>
      </c>
      <c r="AJ99">
        <v>97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ROW(Source!A48)</f>
        <v>48</v>
      </c>
      <c r="B100">
        <v>43157276</v>
      </c>
      <c r="C100">
        <v>43157261</v>
      </c>
      <c r="D100">
        <v>29114472</v>
      </c>
      <c r="E100">
        <v>1</v>
      </c>
      <c r="F100">
        <v>1</v>
      </c>
      <c r="G100">
        <v>1</v>
      </c>
      <c r="H100">
        <v>3</v>
      </c>
      <c r="I100" t="s">
        <v>477</v>
      </c>
      <c r="J100" t="s">
        <v>478</v>
      </c>
      <c r="K100" t="s">
        <v>479</v>
      </c>
      <c r="L100">
        <v>1356</v>
      </c>
      <c r="N100">
        <v>1010</v>
      </c>
      <c r="O100" t="s">
        <v>480</v>
      </c>
      <c r="P100" t="s">
        <v>480</v>
      </c>
      <c r="Q100">
        <v>1000</v>
      </c>
      <c r="X100">
        <v>0.2</v>
      </c>
      <c r="Y100">
        <v>179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0.2</v>
      </c>
      <c r="AH100">
        <v>2</v>
      </c>
      <c r="AI100">
        <v>43157268</v>
      </c>
      <c r="AJ100">
        <v>98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ROW(Source!A48)</f>
        <v>48</v>
      </c>
      <c r="B101">
        <v>43157277</v>
      </c>
      <c r="C101">
        <v>43157261</v>
      </c>
      <c r="D101">
        <v>29171808</v>
      </c>
      <c r="E101">
        <v>1</v>
      </c>
      <c r="F101">
        <v>1</v>
      </c>
      <c r="G101">
        <v>1</v>
      </c>
      <c r="H101">
        <v>3</v>
      </c>
      <c r="I101" t="s">
        <v>334</v>
      </c>
      <c r="J101" t="s">
        <v>335</v>
      </c>
      <c r="K101" t="s">
        <v>336</v>
      </c>
      <c r="L101">
        <v>1374</v>
      </c>
      <c r="N101">
        <v>1013</v>
      </c>
      <c r="O101" t="s">
        <v>337</v>
      </c>
      <c r="P101" t="s">
        <v>337</v>
      </c>
      <c r="Q101">
        <v>1</v>
      </c>
      <c r="X101">
        <v>3.1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3.1</v>
      </c>
      <c r="AH101">
        <v>2</v>
      </c>
      <c r="AI101">
        <v>43157269</v>
      </c>
      <c r="AJ101">
        <v>99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ROW(Source!A51)</f>
        <v>51</v>
      </c>
      <c r="B102">
        <v>43157291</v>
      </c>
      <c r="C102">
        <v>43157280</v>
      </c>
      <c r="D102">
        <v>29361034</v>
      </c>
      <c r="E102">
        <v>1</v>
      </c>
      <c r="F102">
        <v>1</v>
      </c>
      <c r="G102">
        <v>1</v>
      </c>
      <c r="H102">
        <v>1</v>
      </c>
      <c r="I102" t="s">
        <v>458</v>
      </c>
      <c r="J102" t="s">
        <v>3</v>
      </c>
      <c r="K102" t="s">
        <v>459</v>
      </c>
      <c r="L102">
        <v>1369</v>
      </c>
      <c r="N102">
        <v>1013</v>
      </c>
      <c r="O102" t="s">
        <v>304</v>
      </c>
      <c r="P102" t="s">
        <v>304</v>
      </c>
      <c r="Q102">
        <v>1</v>
      </c>
      <c r="X102">
        <v>5.39</v>
      </c>
      <c r="Y102">
        <v>0</v>
      </c>
      <c r="Z102">
        <v>0</v>
      </c>
      <c r="AA102">
        <v>0</v>
      </c>
      <c r="AB102">
        <v>9.4</v>
      </c>
      <c r="AC102">
        <v>0</v>
      </c>
      <c r="AD102">
        <v>1</v>
      </c>
      <c r="AE102">
        <v>1</v>
      </c>
      <c r="AF102" t="s">
        <v>3</v>
      </c>
      <c r="AG102">
        <v>5.39</v>
      </c>
      <c r="AH102">
        <v>2</v>
      </c>
      <c r="AI102">
        <v>43157281</v>
      </c>
      <c r="AJ102">
        <v>100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ROW(Source!A51)</f>
        <v>51</v>
      </c>
      <c r="B103">
        <v>43157292</v>
      </c>
      <c r="C103">
        <v>43157280</v>
      </c>
      <c r="D103">
        <v>121548</v>
      </c>
      <c r="E103">
        <v>1</v>
      </c>
      <c r="F103">
        <v>1</v>
      </c>
      <c r="G103">
        <v>1</v>
      </c>
      <c r="H103">
        <v>1</v>
      </c>
      <c r="I103" t="s">
        <v>28</v>
      </c>
      <c r="J103" t="s">
        <v>3</v>
      </c>
      <c r="K103" t="s">
        <v>353</v>
      </c>
      <c r="L103">
        <v>608254</v>
      </c>
      <c r="N103">
        <v>1013</v>
      </c>
      <c r="O103" t="s">
        <v>354</v>
      </c>
      <c r="P103" t="s">
        <v>354</v>
      </c>
      <c r="Q103">
        <v>1</v>
      </c>
      <c r="X103">
        <v>0.02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2</v>
      </c>
      <c r="AF103" t="s">
        <v>3</v>
      </c>
      <c r="AG103">
        <v>0.02</v>
      </c>
      <c r="AH103">
        <v>2</v>
      </c>
      <c r="AI103">
        <v>43157282</v>
      </c>
      <c r="AJ103">
        <v>101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ROW(Source!A51)</f>
        <v>51</v>
      </c>
      <c r="B104">
        <v>43157293</v>
      </c>
      <c r="C104">
        <v>43157280</v>
      </c>
      <c r="D104">
        <v>29172362</v>
      </c>
      <c r="E104">
        <v>1</v>
      </c>
      <c r="F104">
        <v>1</v>
      </c>
      <c r="G104">
        <v>1</v>
      </c>
      <c r="H104">
        <v>2</v>
      </c>
      <c r="I104" t="s">
        <v>355</v>
      </c>
      <c r="J104" t="s">
        <v>356</v>
      </c>
      <c r="K104" t="s">
        <v>357</v>
      </c>
      <c r="L104">
        <v>1368</v>
      </c>
      <c r="N104">
        <v>1011</v>
      </c>
      <c r="O104" t="s">
        <v>343</v>
      </c>
      <c r="P104" t="s">
        <v>343</v>
      </c>
      <c r="Q104">
        <v>1</v>
      </c>
      <c r="X104">
        <v>0.02</v>
      </c>
      <c r="Y104">
        <v>0</v>
      </c>
      <c r="Z104">
        <v>134.65</v>
      </c>
      <c r="AA104">
        <v>13.5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0.02</v>
      </c>
      <c r="AH104">
        <v>2</v>
      </c>
      <c r="AI104">
        <v>43157283</v>
      </c>
      <c r="AJ104">
        <v>102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ROW(Source!A51)</f>
        <v>51</v>
      </c>
      <c r="B105">
        <v>43157294</v>
      </c>
      <c r="C105">
        <v>43157280</v>
      </c>
      <c r="D105">
        <v>29174913</v>
      </c>
      <c r="E105">
        <v>1</v>
      </c>
      <c r="F105">
        <v>1</v>
      </c>
      <c r="G105">
        <v>1</v>
      </c>
      <c r="H105">
        <v>2</v>
      </c>
      <c r="I105" t="s">
        <v>367</v>
      </c>
      <c r="J105" t="s">
        <v>368</v>
      </c>
      <c r="K105" t="s">
        <v>369</v>
      </c>
      <c r="L105">
        <v>1368</v>
      </c>
      <c r="N105">
        <v>1011</v>
      </c>
      <c r="O105" t="s">
        <v>343</v>
      </c>
      <c r="P105" t="s">
        <v>343</v>
      </c>
      <c r="Q105">
        <v>1</v>
      </c>
      <c r="X105">
        <v>0.02</v>
      </c>
      <c r="Y105">
        <v>0</v>
      </c>
      <c r="Z105">
        <v>87.17</v>
      </c>
      <c r="AA105">
        <v>11.6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0.02</v>
      </c>
      <c r="AH105">
        <v>2</v>
      </c>
      <c r="AI105">
        <v>43157284</v>
      </c>
      <c r="AJ105">
        <v>103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ROW(Source!A51)</f>
        <v>51</v>
      </c>
      <c r="B106">
        <v>43157295</v>
      </c>
      <c r="C106">
        <v>43157280</v>
      </c>
      <c r="D106">
        <v>29108269</v>
      </c>
      <c r="E106">
        <v>1</v>
      </c>
      <c r="F106">
        <v>1</v>
      </c>
      <c r="G106">
        <v>1</v>
      </c>
      <c r="H106">
        <v>3</v>
      </c>
      <c r="I106" t="s">
        <v>481</v>
      </c>
      <c r="J106" t="s">
        <v>482</v>
      </c>
      <c r="K106" t="s">
        <v>483</v>
      </c>
      <c r="L106">
        <v>1348</v>
      </c>
      <c r="N106">
        <v>1009</v>
      </c>
      <c r="O106" t="s">
        <v>308</v>
      </c>
      <c r="P106" t="s">
        <v>308</v>
      </c>
      <c r="Q106">
        <v>1000</v>
      </c>
      <c r="X106">
        <v>5.9999999999999995E-4</v>
      </c>
      <c r="Y106">
        <v>1820.01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5.9999999999999995E-4</v>
      </c>
      <c r="AH106">
        <v>2</v>
      </c>
      <c r="AI106">
        <v>43157285</v>
      </c>
      <c r="AJ106">
        <v>104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ROW(Source!A51)</f>
        <v>51</v>
      </c>
      <c r="B107">
        <v>43157296</v>
      </c>
      <c r="C107">
        <v>43157280</v>
      </c>
      <c r="D107">
        <v>29110426</v>
      </c>
      <c r="E107">
        <v>1</v>
      </c>
      <c r="F107">
        <v>1</v>
      </c>
      <c r="G107">
        <v>1</v>
      </c>
      <c r="H107">
        <v>3</v>
      </c>
      <c r="I107" t="s">
        <v>376</v>
      </c>
      <c r="J107" t="s">
        <v>377</v>
      </c>
      <c r="K107" t="s">
        <v>378</v>
      </c>
      <c r="L107">
        <v>1346</v>
      </c>
      <c r="N107">
        <v>1009</v>
      </c>
      <c r="O107" t="s">
        <v>315</v>
      </c>
      <c r="P107" t="s">
        <v>315</v>
      </c>
      <c r="Q107">
        <v>1</v>
      </c>
      <c r="X107">
        <v>0.02</v>
      </c>
      <c r="Y107">
        <v>28.67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0.02</v>
      </c>
      <c r="AH107">
        <v>2</v>
      </c>
      <c r="AI107">
        <v>43157286</v>
      </c>
      <c r="AJ107">
        <v>105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ROW(Source!A51)</f>
        <v>51</v>
      </c>
      <c r="B108">
        <v>43157297</v>
      </c>
      <c r="C108">
        <v>43157280</v>
      </c>
      <c r="D108">
        <v>29110838</v>
      </c>
      <c r="E108">
        <v>1</v>
      </c>
      <c r="F108">
        <v>1</v>
      </c>
      <c r="G108">
        <v>1</v>
      </c>
      <c r="H108">
        <v>3</v>
      </c>
      <c r="I108" t="s">
        <v>443</v>
      </c>
      <c r="J108" t="s">
        <v>444</v>
      </c>
      <c r="K108" t="s">
        <v>445</v>
      </c>
      <c r="L108">
        <v>1346</v>
      </c>
      <c r="N108">
        <v>1009</v>
      </c>
      <c r="O108" t="s">
        <v>315</v>
      </c>
      <c r="P108" t="s">
        <v>315</v>
      </c>
      <c r="Q108">
        <v>1</v>
      </c>
      <c r="X108">
        <v>0.16</v>
      </c>
      <c r="Y108">
        <v>30.5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0.16</v>
      </c>
      <c r="AH108">
        <v>2</v>
      </c>
      <c r="AI108">
        <v>43157287</v>
      </c>
      <c r="AJ108">
        <v>106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ROW(Source!A51)</f>
        <v>51</v>
      </c>
      <c r="B109">
        <v>43157298</v>
      </c>
      <c r="C109">
        <v>43157280</v>
      </c>
      <c r="D109">
        <v>29170672</v>
      </c>
      <c r="E109">
        <v>1</v>
      </c>
      <c r="F109">
        <v>1</v>
      </c>
      <c r="G109">
        <v>1</v>
      </c>
      <c r="H109">
        <v>3</v>
      </c>
      <c r="I109" t="s">
        <v>484</v>
      </c>
      <c r="J109" t="s">
        <v>485</v>
      </c>
      <c r="K109" t="s">
        <v>486</v>
      </c>
      <c r="L109">
        <v>1356</v>
      </c>
      <c r="N109">
        <v>1010</v>
      </c>
      <c r="O109" t="s">
        <v>480</v>
      </c>
      <c r="P109" t="s">
        <v>480</v>
      </c>
      <c r="Q109">
        <v>1000</v>
      </c>
      <c r="X109">
        <v>1.2200000000000001E-2</v>
      </c>
      <c r="Y109">
        <v>78.8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1.2200000000000001E-2</v>
      </c>
      <c r="AH109">
        <v>2</v>
      </c>
      <c r="AI109">
        <v>43157288</v>
      </c>
      <c r="AJ109">
        <v>107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ROW(Source!A51)</f>
        <v>51</v>
      </c>
      <c r="B110">
        <v>43157299</v>
      </c>
      <c r="C110">
        <v>43157280</v>
      </c>
      <c r="D110">
        <v>29163450</v>
      </c>
      <c r="E110">
        <v>1</v>
      </c>
      <c r="F110">
        <v>1</v>
      </c>
      <c r="G110">
        <v>1</v>
      </c>
      <c r="H110">
        <v>3</v>
      </c>
      <c r="I110" t="s">
        <v>487</v>
      </c>
      <c r="J110" t="s">
        <v>488</v>
      </c>
      <c r="K110" t="s">
        <v>489</v>
      </c>
      <c r="L110">
        <v>1355</v>
      </c>
      <c r="N110">
        <v>1010</v>
      </c>
      <c r="O110" t="s">
        <v>347</v>
      </c>
      <c r="P110" t="s">
        <v>347</v>
      </c>
      <c r="Q110">
        <v>100</v>
      </c>
      <c r="X110">
        <v>0.05</v>
      </c>
      <c r="Y110">
        <v>112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0.05</v>
      </c>
      <c r="AH110">
        <v>2</v>
      </c>
      <c r="AI110">
        <v>43157289</v>
      </c>
      <c r="AJ110">
        <v>108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ROW(Source!A51)</f>
        <v>51</v>
      </c>
      <c r="B111">
        <v>43157300</v>
      </c>
      <c r="C111">
        <v>43157280</v>
      </c>
      <c r="D111">
        <v>29171808</v>
      </c>
      <c r="E111">
        <v>1</v>
      </c>
      <c r="F111">
        <v>1</v>
      </c>
      <c r="G111">
        <v>1</v>
      </c>
      <c r="H111">
        <v>3</v>
      </c>
      <c r="I111" t="s">
        <v>334</v>
      </c>
      <c r="J111" t="s">
        <v>335</v>
      </c>
      <c r="K111" t="s">
        <v>336</v>
      </c>
      <c r="L111">
        <v>1374</v>
      </c>
      <c r="N111">
        <v>1013</v>
      </c>
      <c r="O111" t="s">
        <v>337</v>
      </c>
      <c r="P111" t="s">
        <v>337</v>
      </c>
      <c r="Q111">
        <v>1</v>
      </c>
      <c r="X111">
        <v>1.01</v>
      </c>
      <c r="Y111">
        <v>1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1.01</v>
      </c>
      <c r="AH111">
        <v>2</v>
      </c>
      <c r="AI111">
        <v>43157290</v>
      </c>
      <c r="AJ111">
        <v>109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ROW(Source!A52)</f>
        <v>52</v>
      </c>
      <c r="B112">
        <v>43157310</v>
      </c>
      <c r="C112">
        <v>43157301</v>
      </c>
      <c r="D112">
        <v>29361034</v>
      </c>
      <c r="E112">
        <v>1</v>
      </c>
      <c r="F112">
        <v>1</v>
      </c>
      <c r="G112">
        <v>1</v>
      </c>
      <c r="H112">
        <v>1</v>
      </c>
      <c r="I112" t="s">
        <v>458</v>
      </c>
      <c r="J112" t="s">
        <v>3</v>
      </c>
      <c r="K112" t="s">
        <v>459</v>
      </c>
      <c r="L112">
        <v>1369</v>
      </c>
      <c r="N112">
        <v>1013</v>
      </c>
      <c r="O112" t="s">
        <v>304</v>
      </c>
      <c r="P112" t="s">
        <v>304</v>
      </c>
      <c r="Q112">
        <v>1</v>
      </c>
      <c r="X112">
        <v>2.82</v>
      </c>
      <c r="Y112">
        <v>0</v>
      </c>
      <c r="Z112">
        <v>0</v>
      </c>
      <c r="AA112">
        <v>0</v>
      </c>
      <c r="AB112">
        <v>9.4</v>
      </c>
      <c r="AC112">
        <v>0</v>
      </c>
      <c r="AD112">
        <v>1</v>
      </c>
      <c r="AE112">
        <v>1</v>
      </c>
      <c r="AF112" t="s">
        <v>3</v>
      </c>
      <c r="AG112">
        <v>2.82</v>
      </c>
      <c r="AH112">
        <v>2</v>
      </c>
      <c r="AI112">
        <v>43157302</v>
      </c>
      <c r="AJ112">
        <v>110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ROW(Source!A52)</f>
        <v>52</v>
      </c>
      <c r="B113">
        <v>43157311</v>
      </c>
      <c r="C113">
        <v>43157301</v>
      </c>
      <c r="D113">
        <v>121548</v>
      </c>
      <c r="E113">
        <v>1</v>
      </c>
      <c r="F113">
        <v>1</v>
      </c>
      <c r="G113">
        <v>1</v>
      </c>
      <c r="H113">
        <v>1</v>
      </c>
      <c r="I113" t="s">
        <v>28</v>
      </c>
      <c r="J113" t="s">
        <v>3</v>
      </c>
      <c r="K113" t="s">
        <v>353</v>
      </c>
      <c r="L113">
        <v>608254</v>
      </c>
      <c r="N113">
        <v>1013</v>
      </c>
      <c r="O113" t="s">
        <v>354</v>
      </c>
      <c r="P113" t="s">
        <v>354</v>
      </c>
      <c r="Q113">
        <v>1</v>
      </c>
      <c r="X113">
        <v>0.01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2</v>
      </c>
      <c r="AF113" t="s">
        <v>3</v>
      </c>
      <c r="AG113">
        <v>0.01</v>
      </c>
      <c r="AH113">
        <v>2</v>
      </c>
      <c r="AI113">
        <v>43157303</v>
      </c>
      <c r="AJ113">
        <v>111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ROW(Source!A52)</f>
        <v>52</v>
      </c>
      <c r="B114">
        <v>43157312</v>
      </c>
      <c r="C114">
        <v>43157301</v>
      </c>
      <c r="D114">
        <v>29172362</v>
      </c>
      <c r="E114">
        <v>1</v>
      </c>
      <c r="F114">
        <v>1</v>
      </c>
      <c r="G114">
        <v>1</v>
      </c>
      <c r="H114">
        <v>2</v>
      </c>
      <c r="I114" t="s">
        <v>355</v>
      </c>
      <c r="J114" t="s">
        <v>356</v>
      </c>
      <c r="K114" t="s">
        <v>357</v>
      </c>
      <c r="L114">
        <v>1368</v>
      </c>
      <c r="N114">
        <v>1011</v>
      </c>
      <c r="O114" t="s">
        <v>343</v>
      </c>
      <c r="P114" t="s">
        <v>343</v>
      </c>
      <c r="Q114">
        <v>1</v>
      </c>
      <c r="X114">
        <v>0.01</v>
      </c>
      <c r="Y114">
        <v>0</v>
      </c>
      <c r="Z114">
        <v>134.65</v>
      </c>
      <c r="AA114">
        <v>13.5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0.01</v>
      </c>
      <c r="AH114">
        <v>2</v>
      </c>
      <c r="AI114">
        <v>43157304</v>
      </c>
      <c r="AJ114">
        <v>112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ROW(Source!A52)</f>
        <v>52</v>
      </c>
      <c r="B115">
        <v>43157313</v>
      </c>
      <c r="C115">
        <v>43157301</v>
      </c>
      <c r="D115">
        <v>29174913</v>
      </c>
      <c r="E115">
        <v>1</v>
      </c>
      <c r="F115">
        <v>1</v>
      </c>
      <c r="G115">
        <v>1</v>
      </c>
      <c r="H115">
        <v>2</v>
      </c>
      <c r="I115" t="s">
        <v>367</v>
      </c>
      <c r="J115" t="s">
        <v>368</v>
      </c>
      <c r="K115" t="s">
        <v>369</v>
      </c>
      <c r="L115">
        <v>1368</v>
      </c>
      <c r="N115">
        <v>1011</v>
      </c>
      <c r="O115" t="s">
        <v>343</v>
      </c>
      <c r="P115" t="s">
        <v>343</v>
      </c>
      <c r="Q115">
        <v>1</v>
      </c>
      <c r="X115">
        <v>0.01</v>
      </c>
      <c r="Y115">
        <v>0</v>
      </c>
      <c r="Z115">
        <v>87.17</v>
      </c>
      <c r="AA115">
        <v>11.6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0.01</v>
      </c>
      <c r="AH115">
        <v>2</v>
      </c>
      <c r="AI115">
        <v>43157305</v>
      </c>
      <c r="AJ115">
        <v>113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ROW(Source!A52)</f>
        <v>52</v>
      </c>
      <c r="B116">
        <v>43157314</v>
      </c>
      <c r="C116">
        <v>43157301</v>
      </c>
      <c r="D116">
        <v>29110426</v>
      </c>
      <c r="E116">
        <v>1</v>
      </c>
      <c r="F116">
        <v>1</v>
      </c>
      <c r="G116">
        <v>1</v>
      </c>
      <c r="H116">
        <v>3</v>
      </c>
      <c r="I116" t="s">
        <v>376</v>
      </c>
      <c r="J116" t="s">
        <v>377</v>
      </c>
      <c r="K116" t="s">
        <v>378</v>
      </c>
      <c r="L116">
        <v>1346</v>
      </c>
      <c r="N116">
        <v>1009</v>
      </c>
      <c r="O116" t="s">
        <v>315</v>
      </c>
      <c r="P116" t="s">
        <v>315</v>
      </c>
      <c r="Q116">
        <v>1</v>
      </c>
      <c r="X116">
        <v>0.05</v>
      </c>
      <c r="Y116">
        <v>28.67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0.05</v>
      </c>
      <c r="AH116">
        <v>2</v>
      </c>
      <c r="AI116">
        <v>43157306</v>
      </c>
      <c r="AJ116">
        <v>114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ROW(Source!A52)</f>
        <v>52</v>
      </c>
      <c r="B117">
        <v>43157315</v>
      </c>
      <c r="C117">
        <v>43157301</v>
      </c>
      <c r="D117">
        <v>29110793</v>
      </c>
      <c r="E117">
        <v>1</v>
      </c>
      <c r="F117">
        <v>1</v>
      </c>
      <c r="G117">
        <v>1</v>
      </c>
      <c r="H117">
        <v>3</v>
      </c>
      <c r="I117" t="s">
        <v>490</v>
      </c>
      <c r="J117" t="s">
        <v>491</v>
      </c>
      <c r="K117" t="s">
        <v>492</v>
      </c>
      <c r="L117">
        <v>1308</v>
      </c>
      <c r="N117">
        <v>1003</v>
      </c>
      <c r="O117" t="s">
        <v>120</v>
      </c>
      <c r="P117" t="s">
        <v>120</v>
      </c>
      <c r="Q117">
        <v>100</v>
      </c>
      <c r="X117">
        <v>0.05</v>
      </c>
      <c r="Y117">
        <v>120.36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0.05</v>
      </c>
      <c r="AH117">
        <v>2</v>
      </c>
      <c r="AI117">
        <v>43157307</v>
      </c>
      <c r="AJ117">
        <v>115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ROW(Source!A52)</f>
        <v>52</v>
      </c>
      <c r="B118">
        <v>43157316</v>
      </c>
      <c r="C118">
        <v>43157301</v>
      </c>
      <c r="D118">
        <v>29110838</v>
      </c>
      <c r="E118">
        <v>1</v>
      </c>
      <c r="F118">
        <v>1</v>
      </c>
      <c r="G118">
        <v>1</v>
      </c>
      <c r="H118">
        <v>3</v>
      </c>
      <c r="I118" t="s">
        <v>443</v>
      </c>
      <c r="J118" t="s">
        <v>444</v>
      </c>
      <c r="K118" t="s">
        <v>445</v>
      </c>
      <c r="L118">
        <v>1346</v>
      </c>
      <c r="N118">
        <v>1009</v>
      </c>
      <c r="O118" t="s">
        <v>315</v>
      </c>
      <c r="P118" t="s">
        <v>315</v>
      </c>
      <c r="Q118">
        <v>1</v>
      </c>
      <c r="X118">
        <v>0.16</v>
      </c>
      <c r="Y118">
        <v>30.5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3</v>
      </c>
      <c r="AG118">
        <v>0.16</v>
      </c>
      <c r="AH118">
        <v>2</v>
      </c>
      <c r="AI118">
        <v>43157308</v>
      </c>
      <c r="AJ118">
        <v>116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ROW(Source!A52)</f>
        <v>52</v>
      </c>
      <c r="B119">
        <v>43157317</v>
      </c>
      <c r="C119">
        <v>43157301</v>
      </c>
      <c r="D119">
        <v>29171808</v>
      </c>
      <c r="E119">
        <v>1</v>
      </c>
      <c r="F119">
        <v>1</v>
      </c>
      <c r="G119">
        <v>1</v>
      </c>
      <c r="H119">
        <v>3</v>
      </c>
      <c r="I119" t="s">
        <v>334</v>
      </c>
      <c r="J119" t="s">
        <v>335</v>
      </c>
      <c r="K119" t="s">
        <v>336</v>
      </c>
      <c r="L119">
        <v>1374</v>
      </c>
      <c r="N119">
        <v>1013</v>
      </c>
      <c r="O119" t="s">
        <v>337</v>
      </c>
      <c r="P119" t="s">
        <v>337</v>
      </c>
      <c r="Q119">
        <v>1</v>
      </c>
      <c r="X119">
        <v>0.53</v>
      </c>
      <c r="Y119">
        <v>1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0.53</v>
      </c>
      <c r="AH119">
        <v>2</v>
      </c>
      <c r="AI119">
        <v>43157309</v>
      </c>
      <c r="AJ119">
        <v>117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ROW(Source!A57)</f>
        <v>57</v>
      </c>
      <c r="B120">
        <v>43159501</v>
      </c>
      <c r="C120">
        <v>43159500</v>
      </c>
      <c r="D120">
        <v>29412067</v>
      </c>
      <c r="E120">
        <v>1</v>
      </c>
      <c r="F120">
        <v>1</v>
      </c>
      <c r="G120">
        <v>1</v>
      </c>
      <c r="H120">
        <v>1</v>
      </c>
      <c r="I120" t="s">
        <v>493</v>
      </c>
      <c r="J120" t="s">
        <v>3</v>
      </c>
      <c r="K120" t="s">
        <v>494</v>
      </c>
      <c r="L120">
        <v>1369</v>
      </c>
      <c r="N120">
        <v>1013</v>
      </c>
      <c r="O120" t="s">
        <v>304</v>
      </c>
      <c r="P120" t="s">
        <v>304</v>
      </c>
      <c r="Q120">
        <v>1</v>
      </c>
      <c r="X120">
        <v>3.52</v>
      </c>
      <c r="Y120">
        <v>0</v>
      </c>
      <c r="Z120">
        <v>0</v>
      </c>
      <c r="AA120">
        <v>0</v>
      </c>
      <c r="AB120">
        <v>15.49</v>
      </c>
      <c r="AC120">
        <v>0</v>
      </c>
      <c r="AD120">
        <v>1</v>
      </c>
      <c r="AE120">
        <v>1</v>
      </c>
      <c r="AF120" t="s">
        <v>3</v>
      </c>
      <c r="AG120">
        <v>3.52</v>
      </c>
      <c r="AH120">
        <v>2</v>
      </c>
      <c r="AI120">
        <v>43159501</v>
      </c>
      <c r="AJ120">
        <v>118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ROW(Source!A57)</f>
        <v>57</v>
      </c>
      <c r="B121">
        <v>43159502</v>
      </c>
      <c r="C121">
        <v>43159500</v>
      </c>
      <c r="D121">
        <v>29420508</v>
      </c>
      <c r="E121">
        <v>1</v>
      </c>
      <c r="F121">
        <v>1</v>
      </c>
      <c r="G121">
        <v>1</v>
      </c>
      <c r="H121">
        <v>1</v>
      </c>
      <c r="I121" t="s">
        <v>495</v>
      </c>
      <c r="J121" t="s">
        <v>3</v>
      </c>
      <c r="K121" t="s">
        <v>496</v>
      </c>
      <c r="L121">
        <v>1369</v>
      </c>
      <c r="N121">
        <v>1013</v>
      </c>
      <c r="O121" t="s">
        <v>304</v>
      </c>
      <c r="P121" t="s">
        <v>304</v>
      </c>
      <c r="Q121">
        <v>1</v>
      </c>
      <c r="X121">
        <v>8.8000000000000007</v>
      </c>
      <c r="Y121">
        <v>0</v>
      </c>
      <c r="Z121">
        <v>0</v>
      </c>
      <c r="AA121">
        <v>0</v>
      </c>
      <c r="AB121">
        <v>14.09</v>
      </c>
      <c r="AC121">
        <v>0</v>
      </c>
      <c r="AD121">
        <v>1</v>
      </c>
      <c r="AE121">
        <v>1</v>
      </c>
      <c r="AF121" t="s">
        <v>3</v>
      </c>
      <c r="AG121">
        <v>8.8000000000000007</v>
      </c>
      <c r="AH121">
        <v>2</v>
      </c>
      <c r="AI121">
        <v>43159502</v>
      </c>
      <c r="AJ121">
        <v>119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ROW(Source!A57)</f>
        <v>57</v>
      </c>
      <c r="B122">
        <v>43159503</v>
      </c>
      <c r="C122">
        <v>43159500</v>
      </c>
      <c r="D122">
        <v>29479234</v>
      </c>
      <c r="E122">
        <v>1</v>
      </c>
      <c r="F122">
        <v>1</v>
      </c>
      <c r="G122">
        <v>1</v>
      </c>
      <c r="H122">
        <v>1</v>
      </c>
      <c r="I122" t="s">
        <v>497</v>
      </c>
      <c r="J122" t="s">
        <v>3</v>
      </c>
      <c r="K122" t="s">
        <v>498</v>
      </c>
      <c r="L122">
        <v>1369</v>
      </c>
      <c r="N122">
        <v>1013</v>
      </c>
      <c r="O122" t="s">
        <v>304</v>
      </c>
      <c r="P122" t="s">
        <v>304</v>
      </c>
      <c r="Q122">
        <v>1</v>
      </c>
      <c r="X122">
        <v>1.76</v>
      </c>
      <c r="Y122">
        <v>0</v>
      </c>
      <c r="Z122">
        <v>0</v>
      </c>
      <c r="AA122">
        <v>0</v>
      </c>
      <c r="AB122">
        <v>12.69</v>
      </c>
      <c r="AC122">
        <v>0</v>
      </c>
      <c r="AD122">
        <v>1</v>
      </c>
      <c r="AE122">
        <v>1</v>
      </c>
      <c r="AF122" t="s">
        <v>3</v>
      </c>
      <c r="AG122">
        <v>1.76</v>
      </c>
      <c r="AH122">
        <v>2</v>
      </c>
      <c r="AI122">
        <v>43159503</v>
      </c>
      <c r="AJ122">
        <v>120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ROW(Source!A57)</f>
        <v>57</v>
      </c>
      <c r="B123">
        <v>43159504</v>
      </c>
      <c r="C123">
        <v>43159500</v>
      </c>
      <c r="D123">
        <v>29420467</v>
      </c>
      <c r="E123">
        <v>1</v>
      </c>
      <c r="F123">
        <v>1</v>
      </c>
      <c r="G123">
        <v>1</v>
      </c>
      <c r="H123">
        <v>1</v>
      </c>
      <c r="I123" t="s">
        <v>499</v>
      </c>
      <c r="J123" t="s">
        <v>3</v>
      </c>
      <c r="K123" t="s">
        <v>500</v>
      </c>
      <c r="L123">
        <v>1369</v>
      </c>
      <c r="N123">
        <v>1013</v>
      </c>
      <c r="O123" t="s">
        <v>304</v>
      </c>
      <c r="P123" t="s">
        <v>304</v>
      </c>
      <c r="Q123">
        <v>1</v>
      </c>
      <c r="X123">
        <v>3.52</v>
      </c>
      <c r="Y123">
        <v>0</v>
      </c>
      <c r="Z123">
        <v>0</v>
      </c>
      <c r="AA123">
        <v>0</v>
      </c>
      <c r="AB123">
        <v>16.93</v>
      </c>
      <c r="AC123">
        <v>0</v>
      </c>
      <c r="AD123">
        <v>1</v>
      </c>
      <c r="AE123">
        <v>1</v>
      </c>
      <c r="AF123" t="s">
        <v>3</v>
      </c>
      <c r="AG123">
        <v>3.52</v>
      </c>
      <c r="AH123">
        <v>2</v>
      </c>
      <c r="AI123">
        <v>43159504</v>
      </c>
      <c r="AJ123">
        <v>121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Фрагмент ООО</dc:creator>
  <cp:lastModifiedBy>Admin</cp:lastModifiedBy>
  <dcterms:created xsi:type="dcterms:W3CDTF">2020-10-29T11:20:19Z</dcterms:created>
  <dcterms:modified xsi:type="dcterms:W3CDTF">2021-01-15T12:45:55Z</dcterms:modified>
</cp:coreProperties>
</file>